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2.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omments3.xml" ContentType="application/vnd.openxmlformats-officedocument.spreadsheetml.comments+xml"/>
  <Override PartName="/xl/drawings/drawing20.xml" ContentType="application/vnd.openxmlformats-officedocument.drawing+xml"/>
  <Override PartName="/xl/comments4.xml" ContentType="application/vnd.openxmlformats-officedocument.spreadsheetml.comments+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donwa\Downloads\"/>
    </mc:Choice>
  </mc:AlternateContent>
  <xr:revisionPtr revIDLastSave="0" documentId="13_ncr:1_{D2A6499A-5991-4F0F-A00D-AF29ADC21A96}" xr6:coauthVersionLast="47" xr6:coauthVersionMax="47" xr10:uidLastSave="{00000000-0000-0000-0000-000000000000}"/>
  <bookViews>
    <workbookView xWindow="-108" yWindow="-108" windowWidth="23256" windowHeight="12456" tabRatio="855" activeTab="1" xr2:uid="{00000000-000D-0000-FFFF-FFFF00000000}"/>
  </bookViews>
  <sheets>
    <sheet name="HOME" sheetId="20" r:id="rId1"/>
    <sheet name="DATA" sheetId="26" r:id="rId2"/>
    <sheet name="AHSP" sheetId="6" r:id="rId3"/>
    <sheet name="HSP" sheetId="7" r:id="rId4"/>
    <sheet name="BAHAN" sheetId="8" r:id="rId5"/>
    <sheet name="UPAH" sheetId="9" r:id="rId6"/>
    <sheet name="HITUNG VOLUME" sheetId="18" r:id="rId7"/>
    <sheet name="HITUNG RAB" sheetId="4" r:id="rId8"/>
    <sheet name="REKAPITULASI" sheetId="27" r:id="rId9"/>
    <sheet name="REKAP VOLUME" sheetId="5" r:id="rId10"/>
    <sheet name="REKAP RAB" sheetId="10" r:id="rId11"/>
    <sheet name="REKAP PEKERJA" sheetId="14" r:id="rId12"/>
    <sheet name="PERH. TULANGAN" sheetId="13" r:id="rId13"/>
    <sheet name="BOBOT PEKERJAAN" sheetId="11" r:id="rId14"/>
    <sheet name="KURVA-S" sheetId="12" r:id="rId15"/>
    <sheet name="RAB SMKK" sheetId="21" r:id="rId16"/>
    <sheet name="DOKUMEN" sheetId="22" r:id="rId17"/>
    <sheet name="PENAWARAN" sheetId="16" r:id="rId18"/>
    <sheet name="C. C. O" sheetId="23" r:id="rId19"/>
    <sheet name="ABSENSI PEKERJA" sheetId="24" r:id="rId20"/>
    <sheet name="PANDUAN" sheetId="25" r:id="rId21"/>
  </sheets>
  <externalReferences>
    <externalReference r:id="rId22"/>
  </externalReferences>
  <definedNames>
    <definedName name="AHSP">AHSP!$E$8:$M$8073</definedName>
    <definedName name="Bahan">BAHAN!$F$6:$K$510</definedName>
    <definedName name="k_bgl_kolom_1515">'PERH. TULANGAN'!#REF!</definedName>
    <definedName name="k_bgl_sloof_1520">'PERH. TULANGAN'!#REF!</definedName>
    <definedName name="k_tlg_kolom_1515">'PERH. TULANGAN'!$O$8</definedName>
    <definedName name="k_tlg_sloof_d10">'PERH. TULANGAN'!$O$7</definedName>
    <definedName name="_xlnm.Print_Area" localSheetId="17">PENAWARAN!$E$1:$L$71</definedName>
    <definedName name="RekapVolume">'REKAP VOLUME'!$F$6:$H$117</definedName>
    <definedName name="TB" localSheetId="1">DATA!#REF!</definedName>
    <definedName name="TB" localSheetId="8">REKAPITULASI!#REF!</definedName>
    <definedName name="TB">HOME!#REF!</definedName>
    <definedName name="Upah">UPAH!$G$6:$N$45</definedName>
    <definedName name="v__balok2030">'[1]vol pek'!$C$58</definedName>
    <definedName name="v__kolom2550">'[1]vol pek'!$C$44</definedName>
    <definedName name="V_ACIAN">'[1]vol pek'!$C$115</definedName>
    <definedName name="v_atap">'[1]vol pek'!$C$101</definedName>
    <definedName name="v_bakcucipiring">'[1]vol pek'!$C$158</definedName>
    <definedName name="v_bakkontrol">'[1]vol pek'!$C$168</definedName>
    <definedName name="v_balok1520">'[1]vol pek'!$C$53</definedName>
    <definedName name="v_balok1525">'[1]vol pek'!$C$54</definedName>
    <definedName name="v_balok1530">'[1]vol pek'!$C$55</definedName>
    <definedName name="v_balok2020">'[1]vol pek'!$C$56</definedName>
    <definedName name="v_balok2025">'[1]vol pek'!$C$57</definedName>
    <definedName name="v_balok2035">'[1]vol pek'!$C$59</definedName>
    <definedName name="v_balok2040">'[1]vol pek'!$C$60</definedName>
    <definedName name="v_balok2525">'[1]vol pek'!$C$61</definedName>
    <definedName name="v_balok2535">'[1]vol pek'!$C$63</definedName>
    <definedName name="v_balok2540">'[1]vol pek'!$C$64</definedName>
    <definedName name="v_balok2545">'[1]vol pek'!$C$65</definedName>
    <definedName name="v_balok2550">'[1]vol pek'!$C$66</definedName>
    <definedName name="v_balok3035">'[1]vol pek'!$C$68</definedName>
    <definedName name="v_balok3040">'[1]vol pek'!$C$69</definedName>
    <definedName name="v_balok3545">'[1]vol pek'!$C$70</definedName>
    <definedName name="v_balok3550">'[1]vol pek'!$C$71</definedName>
    <definedName name="v_balok4040">'[1]vol pek'!$C$72</definedName>
    <definedName name="v_balok4045">'[1]vol pek'!$C$73</definedName>
    <definedName name="v_balok4050">'[1]vol pek'!$C$74</definedName>
    <definedName name="v_balokdinding">'[1]vol pek'!$C$93</definedName>
    <definedName name="v_blk_3030">'[1]vol pek'!$C$67</definedName>
    <definedName name="v_cat_kayu">'[1]vol pek'!$C$141</definedName>
    <definedName name="v_cat_tembok">'[1]vol pek'!$C$143</definedName>
    <definedName name="v_dempul">'[1]vol pek'!$C$139</definedName>
    <definedName name="v_dinding_1_2">'[1]vol pek'!$C$85</definedName>
    <definedName name="v_dinding_1_4">'[1]vol pek'!$C$84</definedName>
    <definedName name="v_dinding1_2">'[1]vol pek'!$C$113</definedName>
    <definedName name="v_dinding1_4">'[1]vol pek'!$C$114</definedName>
    <definedName name="v_engsel">'[1]vol pek'!$C$134</definedName>
    <definedName name="v_floordrain">'[1]vol pek'!$C$157</definedName>
    <definedName name="v_galian_2m">'[1]vol pek'!$C$14</definedName>
    <definedName name="v_galian_3m">'[1]vol pek'!$C$15</definedName>
    <definedName name="v_galian_cadas">'[1]vol pek'!$C$17</definedName>
    <definedName name="v_galian_keras">'[1]vol pek'!$C$16</definedName>
    <definedName name="v_galian_lumpur">'[1]vol pek'!$C$18</definedName>
    <definedName name="v_galiantanahpondasi">'[1]vol pek'!$C$13</definedName>
    <definedName name="v_gording">'[1]vol pek'!$C$98</definedName>
    <definedName name="v_gudangsemen">'[1]vol pek'!$C$9</definedName>
    <definedName name="v_kaca_15mm">'[1]vol pek'!$C$132</definedName>
    <definedName name="v_keran">'[1]vol pek'!$C$163</definedName>
    <definedName name="v_klosetduduk">'[1]vol pek'!$C$156</definedName>
    <definedName name="v_klosetjongkok">'[1]vol pek'!$C$155</definedName>
    <definedName name="v_kolom1515">'[1]vol pek'!$C$30</definedName>
    <definedName name="v_kolom1520">'[1]vol pek'!$C$31</definedName>
    <definedName name="v_kolom1525">'[1]vol pek'!$C$32</definedName>
    <definedName name="v_kolom1530">'[1]vol pek'!$C$33</definedName>
    <definedName name="v_kolom2020">'[1]vol pek'!$C$34</definedName>
    <definedName name="v_kolom2025">'[1]vol pek'!$C$35</definedName>
    <definedName name="v_kolom2030">'[1]vol pek'!$C$36</definedName>
    <definedName name="v_kolom2035">'[1]vol pek'!$C$37</definedName>
    <definedName name="v_kolom2040">'[1]vol pek'!$C$38</definedName>
    <definedName name="v_kolom2525">'[1]vol pek'!$C$39</definedName>
    <definedName name="v_kolom2530">'[1]vol pek'!$C$40</definedName>
    <definedName name="v_kolom2535">'[1]vol pek'!$C$41</definedName>
    <definedName name="v_kolom2540">'[1]vol pek'!$C$42</definedName>
    <definedName name="v_kolom2545">'[1]vol pek'!$C$43</definedName>
    <definedName name="v_kolom3030">'[1]vol pek'!$C$45</definedName>
    <definedName name="v_kolom3035">'[1]vol pek'!$C$46</definedName>
    <definedName name="v_kolom3040">'[1]vol pek'!$C$47</definedName>
    <definedName name="v_kolom3545">'[1]vol pek'!$C$48</definedName>
    <definedName name="v_kolom3550">'[1]vol pek'!$C$49</definedName>
    <definedName name="v_kolom4040">'[1]vol pek'!$C$50</definedName>
    <definedName name="v_kolom4045">'[1]vol pek'!$C$51</definedName>
    <definedName name="v_kolom4050">'[1]vol pek'!$C$52</definedName>
    <definedName name="v_kuda2">'[1]vol pek'!$C$94</definedName>
    <definedName name="v_kusen">'[1]vol pek'!$C$88</definedName>
    <definedName name="v_lisplafon">'[1]vol pek'!$C$109</definedName>
    <definedName name="v_lisplank">'[1]vol pek'!$C$96</definedName>
    <definedName name="v_pasangan_keramik20">'[1]vol pek'!$C$125</definedName>
    <definedName name="v_pasangan_keramik33">'[1]vol pek'!$C$124</definedName>
    <definedName name="v_pasangan_kunci">'[1]vol pek'!$C$136</definedName>
    <definedName name="v_pemadatan">'[1]vol pek'!$C$20</definedName>
    <definedName name="v_pemasanganbouplank">'[1]vol pek'!$C$7</definedName>
    <definedName name="v_pembersihanlapangan">'[1]vol pek'!$C$6</definedName>
    <definedName name="v_perabung">'[1]vol pek'!$C$102</definedName>
    <definedName name="v_pintu_jendela">'[1]vol pek'!$C$129</definedName>
    <definedName name="v_pipa_1_2">'[1]vol pek'!$C$162</definedName>
    <definedName name="v_Pipa_3_4">'[1]vol pek'!$C$161</definedName>
    <definedName name="v_pipa_3dim">'[1]vol pek'!$C$160</definedName>
    <definedName name="v_plafon">'[1]vol pek'!$C$108</definedName>
    <definedName name="v_plat">'[1]vol pek'!$C$75</definedName>
    <definedName name="v_pondasi_plat">'[1]vol pek'!$C$29</definedName>
    <definedName name="v_pondasibatukali">'[1]vol pek'!$C$24</definedName>
    <definedName name="v_pondasibatukosong">'[1]vol pek'!$C$23</definedName>
    <definedName name="v_rabatbeton">'[1]vol pek'!$C$167</definedName>
    <definedName name="v_rangkaatap">'[1]vol pek'!$C$95</definedName>
    <definedName name="v_rangkaplafon">'[1]vol pek'!$C$106</definedName>
    <definedName name="v_resapan">'[1]vol pek'!$C$169</definedName>
    <definedName name="v_ringbalok">'[1]vol pek'!$C$76</definedName>
    <definedName name="v_septictank">'[1]vol pek'!$C$170</definedName>
    <definedName name="v_sloof">'[1]vol pek'!$C$28</definedName>
    <definedName name="v_talang">'[1]vol pek'!$C$99</definedName>
    <definedName name="v_tangga">'[1]vol pek'!$C$77</definedName>
    <definedName name="v_turapporslen">'[1]vol pek'!$C$117</definedName>
    <definedName name="v_urugankembali">'[1]vol pek'!$C$19</definedName>
    <definedName name="v_uruganpasir_bawahpondasi">'[1]vol pek'!$C$22</definedName>
    <definedName name="v_uruganpasir_bwhlantai">'[1]vol pek'!$C$122</definedName>
    <definedName name="v_wastafel">'[1]vol pek'!$C$159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13" l="1"/>
  <c r="M8" i="13"/>
  <c r="M9" i="13"/>
  <c r="M10" i="13"/>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V242" i="18"/>
  <c r="U242" i="18"/>
  <c r="T218" i="18"/>
  <c r="T196" i="18"/>
  <c r="V179" i="18"/>
  <c r="V134" i="18"/>
  <c r="V155" i="18"/>
  <c r="T160" i="18"/>
  <c r="S149" i="18"/>
  <c r="S172" i="18"/>
  <c r="S148" i="18"/>
  <c r="S127" i="18"/>
  <c r="U98" i="18"/>
  <c r="S98" i="18"/>
  <c r="K117" i="18"/>
  <c r="L117" i="18"/>
  <c r="L116" i="18"/>
  <c r="T98" i="18" s="1"/>
  <c r="V77" i="18"/>
  <c r="U77" i="18"/>
  <c r="T77" i="18"/>
  <c r="V76" i="18"/>
  <c r="U76" i="18"/>
  <c r="T76" i="18"/>
  <c r="T11" i="18"/>
  <c r="S11" i="18"/>
  <c r="T8" i="18"/>
  <c r="S8" i="18"/>
  <c r="U69" i="18"/>
  <c r="T69" i="18"/>
  <c r="S30" i="18"/>
  <c r="S29" i="18"/>
  <c r="U63" i="18"/>
  <c r="Y99" i="18" l="1"/>
  <c r="U55" i="18" l="1"/>
  <c r="T55" i="18"/>
  <c r="U48" i="18"/>
  <c r="V30" i="18"/>
  <c r="U30" i="18"/>
  <c r="T30" i="18"/>
  <c r="V29" i="18"/>
  <c r="U29" i="18"/>
  <c r="T29" i="18"/>
  <c r="H77" i="5"/>
  <c r="H78" i="5"/>
  <c r="H79" i="5"/>
  <c r="H80" i="5"/>
  <c r="H81" i="5"/>
  <c r="H82" i="5"/>
  <c r="H83" i="5"/>
  <c r="H84" i="5"/>
  <c r="H85" i="5"/>
  <c r="H86" i="5"/>
  <c r="H87" i="5"/>
  <c r="H76" i="5"/>
  <c r="H69" i="5"/>
  <c r="H70" i="5"/>
  <c r="H68" i="5"/>
  <c r="H67" i="5"/>
  <c r="H110" i="5"/>
  <c r="H109" i="5"/>
  <c r="Y535" i="18"/>
  <c r="Y524" i="18"/>
  <c r="Y523" i="18"/>
  <c r="Y522" i="18"/>
  <c r="U513" i="18"/>
  <c r="T513" i="18"/>
  <c r="U487" i="18"/>
  <c r="T487" i="18"/>
  <c r="U479" i="18"/>
  <c r="U478" i="18"/>
  <c r="T479" i="18"/>
  <c r="T478" i="18"/>
  <c r="U495" i="18"/>
  <c r="T495" i="18"/>
  <c r="U504" i="18"/>
  <c r="U506" i="18"/>
  <c r="U505" i="18"/>
  <c r="T506" i="18"/>
  <c r="T505" i="18"/>
  <c r="T504" i="18"/>
  <c r="Y474" i="18"/>
  <c r="Y473" i="18"/>
  <c r="Y470" i="18"/>
  <c r="H101" i="5" s="1"/>
  <c r="Y467" i="18"/>
  <c r="H100" i="5" s="1"/>
  <c r="Y464" i="18"/>
  <c r="H99" i="5" s="1"/>
  <c r="Y461" i="18"/>
  <c r="H98" i="5" s="1"/>
  <c r="Y453" i="18"/>
  <c r="Y455" i="18"/>
  <c r="Y454" i="18"/>
  <c r="Y448" i="18"/>
  <c r="Y447" i="18"/>
  <c r="Y446" i="18"/>
  <c r="Y406" i="18"/>
  <c r="H73" i="5" s="1"/>
  <c r="Y405" i="18"/>
  <c r="H72" i="5" s="1"/>
  <c r="Y404" i="18"/>
  <c r="H71" i="5" s="1"/>
  <c r="T385" i="18"/>
  <c r="T381" i="18"/>
  <c r="S381" i="18"/>
  <c r="S380" i="18"/>
  <c r="S385" i="18" s="1"/>
  <c r="T379" i="18"/>
  <c r="S379" i="18"/>
  <c r="T378" i="18"/>
  <c r="S378" i="18"/>
  <c r="Y372" i="18"/>
  <c r="H60" i="5" s="1"/>
  <c r="Y368" i="18"/>
  <c r="Y367" i="18"/>
  <c r="Y364" i="18"/>
  <c r="H58" i="5" s="1"/>
  <c r="Y361" i="18"/>
  <c r="H57" i="5" s="1"/>
  <c r="S348" i="18"/>
  <c r="S351" i="18" s="1"/>
  <c r="X358" i="18" s="1"/>
  <c r="S337" i="18"/>
  <c r="S340" i="18" s="1"/>
  <c r="W358" i="18" s="1"/>
  <c r="S326" i="18"/>
  <c r="S329" i="18" s="1"/>
  <c r="V358" i="18" s="1"/>
  <c r="S311" i="18"/>
  <c r="S314" i="18" s="1"/>
  <c r="U358" i="18" s="1"/>
  <c r="S298" i="18"/>
  <c r="S301" i="18" s="1"/>
  <c r="T358" i="18" s="1"/>
  <c r="S281" i="18"/>
  <c r="S284" i="18" s="1"/>
  <c r="S358" i="18" s="1"/>
  <c r="S264" i="18"/>
  <c r="S267" i="18" s="1"/>
  <c r="R358" i="18" s="1"/>
  <c r="T257" i="18"/>
  <c r="S257" i="18"/>
  <c r="T254" i="18"/>
  <c r="S254" i="18"/>
  <c r="V248" i="18"/>
  <c r="V245" i="18"/>
  <c r="U248" i="18"/>
  <c r="U245" i="18"/>
  <c r="T248" i="18"/>
  <c r="S248" i="18"/>
  <c r="T251" i="18"/>
  <c r="S251" i="18"/>
  <c r="T245" i="18"/>
  <c r="S245" i="18"/>
  <c r="T242" i="18"/>
  <c r="S242" i="18"/>
  <c r="U231" i="18"/>
  <c r="T231" i="18"/>
  <c r="S231" i="18"/>
  <c r="T228" i="18"/>
  <c r="S228" i="18"/>
  <c r="S221" i="18"/>
  <c r="T220" i="18"/>
  <c r="S220" i="18"/>
  <c r="S219" i="18"/>
  <c r="S218" i="18"/>
  <c r="Y218" i="18" s="1"/>
  <c r="U219" i="18" s="1"/>
  <c r="U209" i="18"/>
  <c r="T209" i="18"/>
  <c r="S209" i="18"/>
  <c r="T206" i="18"/>
  <c r="S206" i="18"/>
  <c r="S199" i="18"/>
  <c r="T198" i="18"/>
  <c r="S198" i="18"/>
  <c r="S197" i="18"/>
  <c r="S196" i="18"/>
  <c r="Y196" i="18" s="1"/>
  <c r="U197" i="18" s="1"/>
  <c r="T189" i="18"/>
  <c r="T192" i="18"/>
  <c r="S192" i="18"/>
  <c r="T179" i="18"/>
  <c r="S179" i="18"/>
  <c r="T168" i="18"/>
  <c r="S168" i="18"/>
  <c r="V168" i="18"/>
  <c r="U165" i="18"/>
  <c r="S165" i="18"/>
  <c r="T165" i="18"/>
  <c r="T161" i="18"/>
  <c r="W155" i="18"/>
  <c r="T155" i="18"/>
  <c r="S155" i="18"/>
  <c r="S150" i="18"/>
  <c r="S151" i="18" s="1"/>
  <c r="S152" i="18" s="1"/>
  <c r="T144" i="18"/>
  <c r="S144" i="18"/>
  <c r="T141" i="18"/>
  <c r="T134" i="18"/>
  <c r="S134" i="18"/>
  <c r="S128" i="18"/>
  <c r="S129" i="18" s="1"/>
  <c r="S130" i="18" s="1"/>
  <c r="S131" i="18" s="1"/>
  <c r="Y98" i="18"/>
  <c r="Y115" i="18"/>
  <c r="Y116" i="18"/>
  <c r="Y117" i="18"/>
  <c r="Y118" i="18"/>
  <c r="Y119" i="18"/>
  <c r="Y114" i="18"/>
  <c r="S77" i="18"/>
  <c r="Y77" i="18" s="1"/>
  <c r="S76" i="18"/>
  <c r="Y76" i="18" s="1"/>
  <c r="S69" i="18"/>
  <c r="E63" i="16"/>
  <c r="Y120" i="18" l="1"/>
  <c r="Y110" i="18" s="1"/>
  <c r="Y456" i="18"/>
  <c r="Y513" i="18"/>
  <c r="Y514" i="18" s="1"/>
  <c r="H107" i="5" s="1"/>
  <c r="Y525" i="18"/>
  <c r="H108" i="5" s="1"/>
  <c r="Y478" i="18"/>
  <c r="Y487" i="18"/>
  <c r="Y488" i="18" s="1"/>
  <c r="H104" i="5" s="1"/>
  <c r="Y479" i="18"/>
  <c r="Y495" i="18"/>
  <c r="H105" i="5" s="1"/>
  <c r="Y505" i="18"/>
  <c r="Y475" i="18"/>
  <c r="H102" i="5" s="1"/>
  <c r="Y506" i="18"/>
  <c r="Y449" i="18"/>
  <c r="H96" i="5" s="1"/>
  <c r="Y504" i="18"/>
  <c r="S438" i="18"/>
  <c r="Y438" i="18" s="1"/>
  <c r="Y378" i="18"/>
  <c r="Y381" i="18"/>
  <c r="Y385" i="18"/>
  <c r="H64" i="5" s="1"/>
  <c r="Y379" i="18"/>
  <c r="Y369" i="18"/>
  <c r="H59" i="5" s="1"/>
  <c r="Y380" i="18"/>
  <c r="Y358" i="18"/>
  <c r="H56" i="5" s="1"/>
  <c r="Y254" i="18"/>
  <c r="Y245" i="18"/>
  <c r="Y257" i="18"/>
  <c r="H53" i="5" s="1"/>
  <c r="Y248" i="18"/>
  <c r="H50" i="5" s="1"/>
  <c r="Y242" i="18"/>
  <c r="H48" i="5" s="1"/>
  <c r="Y251" i="18"/>
  <c r="H51" i="5" s="1"/>
  <c r="Y219" i="18"/>
  <c r="Y220" i="18"/>
  <c r="U221" i="18" s="1"/>
  <c r="Y221" i="18" s="1"/>
  <c r="Y231" i="18"/>
  <c r="H45" i="5" s="1"/>
  <c r="Y228" i="18"/>
  <c r="H44" i="5" s="1"/>
  <c r="Y197" i="18"/>
  <c r="Y209" i="18"/>
  <c r="H41" i="5" s="1"/>
  <c r="Y206" i="18"/>
  <c r="H40" i="5" s="1"/>
  <c r="Y198" i="18"/>
  <c r="U199" i="18" s="1"/>
  <c r="Y199" i="18" s="1"/>
  <c r="S173" i="18"/>
  <c r="Y165" i="18"/>
  <c r="H32" i="5" s="1"/>
  <c r="Y168" i="18"/>
  <c r="H33" i="5" s="1"/>
  <c r="Y155" i="18"/>
  <c r="S160" i="18"/>
  <c r="Y160" i="18" s="1"/>
  <c r="W134" i="18"/>
  <c r="Y134" i="18" s="1"/>
  <c r="S141" i="18"/>
  <c r="Y141" i="18" s="1"/>
  <c r="H28" i="5" s="1"/>
  <c r="U144" i="18"/>
  <c r="Y144" i="18" s="1"/>
  <c r="H29" i="5" s="1"/>
  <c r="Y69" i="18"/>
  <c r="Y70" i="18" s="1"/>
  <c r="H19" i="5" s="1"/>
  <c r="Y78" i="18"/>
  <c r="H20" i="5" s="1"/>
  <c r="L61" i="21"/>
  <c r="L60" i="21"/>
  <c r="L59" i="21"/>
  <c r="E59" i="21"/>
  <c r="L58" i="21"/>
  <c r="L56" i="21"/>
  <c r="L52" i="21"/>
  <c r="L51" i="21"/>
  <c r="L50" i="21"/>
  <c r="L49" i="21"/>
  <c r="L48" i="21"/>
  <c r="L47" i="21"/>
  <c r="L46" i="21"/>
  <c r="L45" i="21"/>
  <c r="L44" i="21"/>
  <c r="E44" i="21"/>
  <c r="E45" i="21" s="1"/>
  <c r="E46" i="21" s="1"/>
  <c r="E47" i="21" s="1"/>
  <c r="E48" i="21" s="1"/>
  <c r="E49" i="21" s="1"/>
  <c r="E50" i="21" s="1"/>
  <c r="E51" i="21" s="1"/>
  <c r="E52" i="21" s="1"/>
  <c r="L43" i="21"/>
  <c r="L41" i="21"/>
  <c r="L40" i="21"/>
  <c r="L37" i="21"/>
  <c r="L38" i="21" s="1"/>
  <c r="L35" i="21"/>
  <c r="L31" i="21"/>
  <c r="L30" i="21"/>
  <c r="L29" i="21"/>
  <c r="L28" i="21"/>
  <c r="L27" i="21"/>
  <c r="L26" i="21"/>
  <c r="L25" i="21"/>
  <c r="L24" i="21"/>
  <c r="L23" i="21"/>
  <c r="L20" i="21"/>
  <c r="L19" i="21"/>
  <c r="L18" i="21"/>
  <c r="E18" i="21"/>
  <c r="E19" i="21" s="1"/>
  <c r="E20" i="21" s="1"/>
  <c r="L17" i="21"/>
  <c r="L16" i="21"/>
  <c r="L15" i="21"/>
  <c r="L14" i="21"/>
  <c r="L13" i="21"/>
  <c r="L12" i="21"/>
  <c r="L9" i="21"/>
  <c r="L8" i="21"/>
  <c r="E8" i="21"/>
  <c r="E9" i="21" s="1"/>
  <c r="L7" i="21"/>
  <c r="Y480" i="18" l="1"/>
  <c r="H103" i="5" s="1"/>
  <c r="V534" i="18"/>
  <c r="Y534" i="18" s="1"/>
  <c r="Y536" i="18" s="1"/>
  <c r="H111" i="5" s="1"/>
  <c r="H97" i="5"/>
  <c r="Y507" i="18"/>
  <c r="H106" i="5" s="1"/>
  <c r="H49" i="5"/>
  <c r="S439" i="18"/>
  <c r="Y439" i="18" s="1"/>
  <c r="Y440" i="18" s="1"/>
  <c r="H52" i="5"/>
  <c r="Y435" i="18"/>
  <c r="H91" i="5" s="1"/>
  <c r="Y382" i="18"/>
  <c r="H63" i="5" s="1"/>
  <c r="Y223" i="18"/>
  <c r="Y224" i="18" s="1"/>
  <c r="Y225" i="18" s="1"/>
  <c r="H43" i="5" s="1"/>
  <c r="S135" i="18"/>
  <c r="S136" i="18" s="1"/>
  <c r="Y138" i="18" s="1"/>
  <c r="H27" i="5" s="1"/>
  <c r="S161" i="18"/>
  <c r="Y161" i="18" s="1"/>
  <c r="Y162" i="18" s="1"/>
  <c r="H31" i="5" s="1"/>
  <c r="S156" i="18"/>
  <c r="S157" i="18" s="1"/>
  <c r="Y201" i="18"/>
  <c r="Y202" i="18" s="1"/>
  <c r="Y203" i="18" s="1"/>
  <c r="H39" i="5" s="1"/>
  <c r="W179" i="18"/>
  <c r="Y179" i="18" s="1"/>
  <c r="S180" i="18" s="1"/>
  <c r="S181" i="18" s="1"/>
  <c r="U192" i="18"/>
  <c r="Y192" i="18" s="1"/>
  <c r="H37" i="5" s="1"/>
  <c r="S174" i="18"/>
  <c r="S175" i="18" s="1"/>
  <c r="S176" i="18" s="1"/>
  <c r="S189" i="18"/>
  <c r="Y189" i="18" s="1"/>
  <c r="H36" i="5" s="1"/>
  <c r="Y100" i="18"/>
  <c r="Y105" i="18"/>
  <c r="L10" i="21"/>
  <c r="L62" i="21"/>
  <c r="L21" i="21"/>
  <c r="L32" i="21"/>
  <c r="L53" i="21"/>
  <c r="L63" i="21"/>
  <c r="Y101" i="18" l="1"/>
  <c r="H21" i="5" s="1"/>
  <c r="H93" i="5"/>
  <c r="H92" i="5"/>
  <c r="Y184" i="18"/>
  <c r="Y185" i="18"/>
  <c r="AM34" i="24"/>
  <c r="AO34" i="24" s="1"/>
  <c r="AL34" i="24"/>
  <c r="AN34" i="24" s="1"/>
  <c r="AM33" i="24"/>
  <c r="AO33" i="24" s="1"/>
  <c r="AL33" i="24"/>
  <c r="AN33" i="24" s="1"/>
  <c r="AM32" i="24"/>
  <c r="AO32" i="24" s="1"/>
  <c r="AL32" i="24"/>
  <c r="AN32" i="24" s="1"/>
  <c r="AM31" i="24"/>
  <c r="AO31" i="24" s="1"/>
  <c r="AL31" i="24"/>
  <c r="AN31" i="24" s="1"/>
  <c r="AM30" i="24"/>
  <c r="AO30" i="24" s="1"/>
  <c r="AL30" i="24"/>
  <c r="AN30" i="24" s="1"/>
  <c r="AM29" i="24"/>
  <c r="AO29" i="24" s="1"/>
  <c r="AL29" i="24"/>
  <c r="AN29" i="24" s="1"/>
  <c r="AM28" i="24"/>
  <c r="AO28" i="24" s="1"/>
  <c r="AL28" i="24"/>
  <c r="AN28" i="24" s="1"/>
  <c r="AM27" i="24"/>
  <c r="AO27" i="24" s="1"/>
  <c r="AL27" i="24"/>
  <c r="AN27" i="24" s="1"/>
  <c r="AM26" i="24"/>
  <c r="AO26" i="24" s="1"/>
  <c r="AL26" i="24"/>
  <c r="AN26" i="24" s="1"/>
  <c r="AM25" i="24"/>
  <c r="AO25" i="24" s="1"/>
  <c r="AL25" i="24"/>
  <c r="AN25" i="24" s="1"/>
  <c r="AM24" i="24"/>
  <c r="AO24" i="24" s="1"/>
  <c r="AL24" i="24"/>
  <c r="AN24" i="24" s="1"/>
  <c r="AM23" i="24"/>
  <c r="AO23" i="24" s="1"/>
  <c r="AL23" i="24"/>
  <c r="AN23" i="24" s="1"/>
  <c r="AM22" i="24"/>
  <c r="AO22" i="24" s="1"/>
  <c r="AL22" i="24"/>
  <c r="AN22" i="24" s="1"/>
  <c r="AM21" i="24"/>
  <c r="AO21" i="24" s="1"/>
  <c r="AL21" i="24"/>
  <c r="AN21" i="24" s="1"/>
  <c r="AM20" i="24"/>
  <c r="AO20" i="24" s="1"/>
  <c r="AL20" i="24"/>
  <c r="AN20" i="24" s="1"/>
  <c r="AM19" i="24"/>
  <c r="AO19" i="24" s="1"/>
  <c r="AL19" i="24"/>
  <c r="AN19" i="24" s="1"/>
  <c r="AM18" i="24"/>
  <c r="AO18" i="24" s="1"/>
  <c r="AL18" i="24"/>
  <c r="AN18" i="24" s="1"/>
  <c r="AM17" i="24"/>
  <c r="AO17" i="24" s="1"/>
  <c r="AL17" i="24"/>
  <c r="AN17" i="24" s="1"/>
  <c r="AM16" i="24"/>
  <c r="AO16" i="24" s="1"/>
  <c r="AL16" i="24"/>
  <c r="AN16" i="24" s="1"/>
  <c r="AM15" i="24"/>
  <c r="AO15" i="24" s="1"/>
  <c r="AL15" i="24"/>
  <c r="AN15" i="24" s="1"/>
  <c r="AM14" i="24"/>
  <c r="AO14" i="24" s="1"/>
  <c r="AL14" i="24"/>
  <c r="AN14" i="24" s="1"/>
  <c r="AM13" i="24"/>
  <c r="AO13" i="24" s="1"/>
  <c r="AL13" i="24"/>
  <c r="AN13" i="24" s="1"/>
  <c r="AM12" i="24"/>
  <c r="AO12" i="24" s="1"/>
  <c r="AL12" i="24"/>
  <c r="AN12" i="24" s="1"/>
  <c r="AM11" i="24"/>
  <c r="AO11" i="24" s="1"/>
  <c r="AL11" i="24"/>
  <c r="AN11" i="24" s="1"/>
  <c r="AM10" i="24"/>
  <c r="AO10" i="24" s="1"/>
  <c r="AL10" i="24"/>
  <c r="AN10" i="24" s="1"/>
  <c r="AM9" i="24"/>
  <c r="AO9" i="24" s="1"/>
  <c r="AL9" i="24"/>
  <c r="AN9" i="24" s="1"/>
  <c r="E9" i="24"/>
  <c r="E10" i="24" s="1"/>
  <c r="E11" i="24" s="1"/>
  <c r="E12" i="24" s="1"/>
  <c r="E13" i="24" s="1"/>
  <c r="E14" i="24" s="1"/>
  <c r="E15" i="24" s="1"/>
  <c r="E16" i="24" s="1"/>
  <c r="E17" i="24" s="1"/>
  <c r="E18" i="24" s="1"/>
  <c r="E19" i="24" s="1"/>
  <c r="E20" i="24" s="1"/>
  <c r="E21" i="24" s="1"/>
  <c r="E22" i="24" s="1"/>
  <c r="E23" i="24" s="1"/>
  <c r="E24" i="24" s="1"/>
  <c r="E25" i="24" s="1"/>
  <c r="E26" i="24" s="1"/>
  <c r="E27" i="24" s="1"/>
  <c r="E28" i="24" s="1"/>
  <c r="E29" i="24" s="1"/>
  <c r="E30" i="24" s="1"/>
  <c r="E31" i="24" s="1"/>
  <c r="E32" i="24" s="1"/>
  <c r="E33" i="24" s="1"/>
  <c r="E34" i="24" s="1"/>
  <c r="AM8" i="24"/>
  <c r="AO8" i="24" s="1"/>
  <c r="AL8" i="24"/>
  <c r="AN8" i="24" s="1"/>
  <c r="L6" i="24"/>
  <c r="N6" i="24" s="1"/>
  <c r="N5" i="24" s="1"/>
  <c r="J5" i="24"/>
  <c r="U270" i="23"/>
  <c r="T270" i="23"/>
  <c r="S270" i="23"/>
  <c r="L270" i="23"/>
  <c r="U269" i="23"/>
  <c r="T269" i="23"/>
  <c r="S269" i="23"/>
  <c r="L269" i="23"/>
  <c r="U268" i="23"/>
  <c r="T268" i="23"/>
  <c r="S268" i="23"/>
  <c r="L268" i="23"/>
  <c r="U267" i="23"/>
  <c r="T267" i="23"/>
  <c r="S267" i="23"/>
  <c r="L267" i="23"/>
  <c r="U266" i="23"/>
  <c r="T266" i="23"/>
  <c r="S266" i="23"/>
  <c r="L266" i="23"/>
  <c r="U265" i="23"/>
  <c r="T265" i="23"/>
  <c r="S265" i="23"/>
  <c r="L265" i="23"/>
  <c r="U264" i="23"/>
  <c r="T264" i="23"/>
  <c r="S264" i="23"/>
  <c r="L264" i="23"/>
  <c r="U263" i="23"/>
  <c r="T263" i="23"/>
  <c r="S263" i="23"/>
  <c r="L263" i="23"/>
  <c r="U262" i="23"/>
  <c r="T262" i="23"/>
  <c r="S262" i="23"/>
  <c r="V262" i="23" s="1"/>
  <c r="L262" i="23"/>
  <c r="L261" i="23" s="1"/>
  <c r="R261" i="23"/>
  <c r="O261" i="23"/>
  <c r="U259" i="23"/>
  <c r="T259" i="23"/>
  <c r="S259" i="23"/>
  <c r="L259" i="23"/>
  <c r="U258" i="23"/>
  <c r="T258" i="23"/>
  <c r="Q258" i="23"/>
  <c r="P258" i="23"/>
  <c r="S258" i="23" s="1"/>
  <c r="L258" i="23"/>
  <c r="L257" i="23"/>
  <c r="L256" i="23"/>
  <c r="U255" i="23"/>
  <c r="T255" i="23"/>
  <c r="Q255" i="23"/>
  <c r="P255" i="23"/>
  <c r="S255" i="23" s="1"/>
  <c r="L255" i="23"/>
  <c r="L254" i="23"/>
  <c r="L253" i="23"/>
  <c r="U252" i="23"/>
  <c r="S252" i="23"/>
  <c r="O252" i="23"/>
  <c r="U251" i="23"/>
  <c r="T251" i="23"/>
  <c r="S251" i="23"/>
  <c r="L251" i="23"/>
  <c r="L250" i="23"/>
  <c r="L249" i="23"/>
  <c r="U248" i="23"/>
  <c r="S248" i="23"/>
  <c r="O248" i="23"/>
  <c r="U247" i="23"/>
  <c r="S247" i="23"/>
  <c r="O247" i="23"/>
  <c r="U246" i="23"/>
  <c r="T246" i="23"/>
  <c r="S246" i="23"/>
  <c r="L246" i="23"/>
  <c r="U245" i="23"/>
  <c r="T245" i="23"/>
  <c r="S245" i="23"/>
  <c r="L245" i="23"/>
  <c r="U244" i="23"/>
  <c r="T244" i="23"/>
  <c r="S244" i="23"/>
  <c r="L244" i="23"/>
  <c r="U243" i="23"/>
  <c r="T243" i="23"/>
  <c r="S243" i="23"/>
  <c r="L243" i="23"/>
  <c r="U242" i="23"/>
  <c r="T242" i="23"/>
  <c r="S242" i="23"/>
  <c r="L242" i="23"/>
  <c r="L241" i="23"/>
  <c r="L240" i="23"/>
  <c r="U239" i="23"/>
  <c r="S239" i="23"/>
  <c r="O239" i="23"/>
  <c r="U238" i="23"/>
  <c r="S238" i="23"/>
  <c r="O238" i="23"/>
  <c r="U237" i="23"/>
  <c r="T237" i="23"/>
  <c r="S237" i="23"/>
  <c r="L237" i="23"/>
  <c r="U236" i="23"/>
  <c r="T236" i="23"/>
  <c r="S236" i="23"/>
  <c r="L236" i="23"/>
  <c r="U235" i="23"/>
  <c r="T235" i="23"/>
  <c r="S235" i="23"/>
  <c r="L235" i="23"/>
  <c r="U234" i="23"/>
  <c r="T234" i="23"/>
  <c r="S234" i="23"/>
  <c r="L234" i="23"/>
  <c r="U233" i="23"/>
  <c r="T233" i="23"/>
  <c r="S233" i="23"/>
  <c r="L233" i="23"/>
  <c r="U232" i="23"/>
  <c r="T232" i="23"/>
  <c r="S232" i="23"/>
  <c r="L232" i="23"/>
  <c r="U231" i="23"/>
  <c r="T231" i="23"/>
  <c r="S231" i="23"/>
  <c r="L231" i="23"/>
  <c r="U227" i="23"/>
  <c r="S227" i="23"/>
  <c r="O227" i="23"/>
  <c r="U226" i="23"/>
  <c r="S226" i="23"/>
  <c r="O226" i="23"/>
  <c r="U225" i="23"/>
  <c r="S225" i="23"/>
  <c r="O225" i="23"/>
  <c r="U224" i="23"/>
  <c r="S224" i="23"/>
  <c r="O224" i="23"/>
  <c r="U223" i="23"/>
  <c r="S223" i="23"/>
  <c r="O223" i="23"/>
  <c r="U222" i="23"/>
  <c r="S222" i="23"/>
  <c r="O222" i="23"/>
  <c r="U221" i="23"/>
  <c r="S221" i="23"/>
  <c r="O221" i="23"/>
  <c r="U220" i="23"/>
  <c r="T220" i="23"/>
  <c r="S220" i="23"/>
  <c r="L220" i="23"/>
  <c r="U219" i="23"/>
  <c r="T219" i="23"/>
  <c r="S219" i="23"/>
  <c r="R219" i="23"/>
  <c r="L219" i="23"/>
  <c r="U218" i="23"/>
  <c r="T218" i="23"/>
  <c r="S218" i="23"/>
  <c r="L218" i="23"/>
  <c r="U217" i="23"/>
  <c r="T217" i="23"/>
  <c r="S217" i="23"/>
  <c r="L217" i="23"/>
  <c r="U216" i="23"/>
  <c r="T216" i="23"/>
  <c r="S216" i="23"/>
  <c r="L216" i="23"/>
  <c r="U215" i="23"/>
  <c r="T215" i="23"/>
  <c r="S215" i="23"/>
  <c r="L215" i="23"/>
  <c r="U214" i="23"/>
  <c r="T214" i="23"/>
  <c r="Q214" i="23"/>
  <c r="P214" i="23"/>
  <c r="S214" i="23" s="1"/>
  <c r="V214" i="23" s="1"/>
  <c r="L214" i="23"/>
  <c r="E214" i="23"/>
  <c r="E215" i="23" s="1"/>
  <c r="E216" i="23" s="1"/>
  <c r="E217" i="23" s="1"/>
  <c r="E218" i="23" s="1"/>
  <c r="E219" i="23" s="1"/>
  <c r="E220" i="23" s="1"/>
  <c r="E221" i="23" s="1"/>
  <c r="E222" i="23" s="1"/>
  <c r="E223" i="23" s="1"/>
  <c r="E224" i="23" s="1"/>
  <c r="U213" i="23"/>
  <c r="T213" i="23"/>
  <c r="M213" i="23"/>
  <c r="S213" i="23" s="1"/>
  <c r="L213" i="23"/>
  <c r="U210" i="23"/>
  <c r="T210" i="23"/>
  <c r="S210" i="23"/>
  <c r="L210" i="23"/>
  <c r="U209" i="23"/>
  <c r="S209" i="23"/>
  <c r="O209" i="23"/>
  <c r="U208" i="23"/>
  <c r="T208" i="23"/>
  <c r="S208" i="23"/>
  <c r="L208" i="23"/>
  <c r="U207" i="23"/>
  <c r="T207" i="23"/>
  <c r="S207" i="23"/>
  <c r="L207" i="23"/>
  <c r="U206" i="23"/>
  <c r="T206" i="23"/>
  <c r="S206" i="23"/>
  <c r="L206" i="23"/>
  <c r="U205" i="23"/>
  <c r="T205" i="23"/>
  <c r="S205" i="23"/>
  <c r="L205" i="23"/>
  <c r="U204" i="23"/>
  <c r="T204" i="23"/>
  <c r="S204" i="23"/>
  <c r="L204" i="23"/>
  <c r="U203" i="23"/>
  <c r="T203" i="23"/>
  <c r="S203" i="23"/>
  <c r="L203" i="23"/>
  <c r="U202" i="23"/>
  <c r="T202" i="23"/>
  <c r="S202" i="23"/>
  <c r="L202" i="23"/>
  <c r="U201" i="23"/>
  <c r="T201" i="23"/>
  <c r="S201" i="23"/>
  <c r="L201" i="23"/>
  <c r="U200" i="23"/>
  <c r="S200" i="23"/>
  <c r="V200" i="23" s="1"/>
  <c r="O200" i="23"/>
  <c r="U199" i="23"/>
  <c r="T199" i="23"/>
  <c r="S199" i="23"/>
  <c r="Q199" i="23"/>
  <c r="R199" i="23" s="1"/>
  <c r="L199" i="23"/>
  <c r="U198" i="23"/>
  <c r="T198" i="23"/>
  <c r="S198" i="23"/>
  <c r="Q198" i="23"/>
  <c r="R198" i="23" s="1"/>
  <c r="L198" i="23"/>
  <c r="U197" i="23"/>
  <c r="V197" i="23" s="1"/>
  <c r="T197" i="23"/>
  <c r="S197" i="23"/>
  <c r="L197" i="23"/>
  <c r="U196" i="23"/>
  <c r="T196" i="23"/>
  <c r="S196" i="23"/>
  <c r="L196" i="23"/>
  <c r="U195" i="23"/>
  <c r="T195" i="23"/>
  <c r="S195" i="23"/>
  <c r="L195" i="23"/>
  <c r="U194" i="23"/>
  <c r="T194" i="23"/>
  <c r="S194" i="23"/>
  <c r="L194" i="23"/>
  <c r="U193" i="23"/>
  <c r="T193" i="23"/>
  <c r="S193" i="23"/>
  <c r="Q193" i="23"/>
  <c r="R193" i="23" s="1"/>
  <c r="L193" i="23"/>
  <c r="E193" i="23"/>
  <c r="E194" i="23" s="1"/>
  <c r="E195" i="23" s="1"/>
  <c r="E196" i="23" s="1"/>
  <c r="E197" i="23" s="1"/>
  <c r="E198" i="23" s="1"/>
  <c r="E199" i="23" s="1"/>
  <c r="E200" i="23" s="1"/>
  <c r="E201" i="23" s="1"/>
  <c r="E202" i="23" s="1"/>
  <c r="E203" i="23" s="1"/>
  <c r="E204" i="23" s="1"/>
  <c r="E205" i="23" s="1"/>
  <c r="E206" i="23" s="1"/>
  <c r="E207" i="23" s="1"/>
  <c r="E208" i="23" s="1"/>
  <c r="E209" i="23" s="1"/>
  <c r="E210" i="23" s="1"/>
  <c r="U192" i="23"/>
  <c r="T192" i="23"/>
  <c r="S192" i="23"/>
  <c r="L192" i="23"/>
  <c r="U188" i="23"/>
  <c r="S188" i="23"/>
  <c r="O188" i="23"/>
  <c r="U187" i="23"/>
  <c r="T187" i="23"/>
  <c r="S187" i="23"/>
  <c r="L187" i="23"/>
  <c r="U186" i="23"/>
  <c r="T186" i="23"/>
  <c r="S186" i="23"/>
  <c r="L186" i="23"/>
  <c r="U185" i="23"/>
  <c r="T185" i="23"/>
  <c r="S185" i="23"/>
  <c r="L185" i="23"/>
  <c r="U184" i="23"/>
  <c r="T184" i="23"/>
  <c r="S184" i="23"/>
  <c r="N184" i="23"/>
  <c r="O184" i="23" s="1"/>
  <c r="O172" i="23" s="1"/>
  <c r="L184" i="23"/>
  <c r="U183" i="23"/>
  <c r="T183" i="23"/>
  <c r="S183" i="23"/>
  <c r="L183" i="23"/>
  <c r="U182" i="23"/>
  <c r="T182" i="23"/>
  <c r="S182" i="23"/>
  <c r="L182" i="23"/>
  <c r="U181" i="23"/>
  <c r="T181" i="23"/>
  <c r="S181" i="23"/>
  <c r="L181" i="23"/>
  <c r="U180" i="23"/>
  <c r="T180" i="23"/>
  <c r="S180" i="23"/>
  <c r="L180" i="23"/>
  <c r="U179" i="23"/>
  <c r="T179" i="23"/>
  <c r="S179" i="23"/>
  <c r="L179" i="23"/>
  <c r="U178" i="23"/>
  <c r="T178" i="23"/>
  <c r="S178" i="23"/>
  <c r="L178" i="23"/>
  <c r="U177" i="23"/>
  <c r="T177" i="23"/>
  <c r="S177" i="23"/>
  <c r="L177" i="23"/>
  <c r="U176" i="23"/>
  <c r="T176" i="23"/>
  <c r="S176" i="23"/>
  <c r="L176" i="23"/>
  <c r="U175" i="23"/>
  <c r="T175" i="23"/>
  <c r="S175" i="23"/>
  <c r="L175" i="23"/>
  <c r="U174" i="23"/>
  <c r="T174" i="23"/>
  <c r="S174" i="23"/>
  <c r="L174" i="23"/>
  <c r="R172" i="23"/>
  <c r="U170" i="23"/>
  <c r="T170" i="23"/>
  <c r="S170" i="23"/>
  <c r="L170" i="23"/>
  <c r="U169" i="23"/>
  <c r="T169" i="23"/>
  <c r="S169" i="23"/>
  <c r="L169" i="23"/>
  <c r="U168" i="23"/>
  <c r="T168" i="23"/>
  <c r="S168" i="23"/>
  <c r="L168" i="23"/>
  <c r="U167" i="23"/>
  <c r="T167" i="23"/>
  <c r="S167" i="23"/>
  <c r="L167" i="23"/>
  <c r="R165" i="23"/>
  <c r="O165" i="23"/>
  <c r="L164" i="23"/>
  <c r="U163" i="23"/>
  <c r="S163" i="23"/>
  <c r="O163" i="23"/>
  <c r="O159" i="23" s="1"/>
  <c r="U162" i="23"/>
  <c r="T162" i="23"/>
  <c r="S162" i="23"/>
  <c r="L162" i="23"/>
  <c r="U161" i="23"/>
  <c r="T161" i="23"/>
  <c r="S161" i="23"/>
  <c r="L161" i="23"/>
  <c r="L160" i="23"/>
  <c r="R159" i="23"/>
  <c r="U157" i="23"/>
  <c r="M157" i="23"/>
  <c r="S157" i="23" s="1"/>
  <c r="U156" i="23"/>
  <c r="T156" i="23"/>
  <c r="S156" i="23"/>
  <c r="Q156" i="23"/>
  <c r="R156" i="23" s="1"/>
  <c r="R152" i="23" s="1"/>
  <c r="L156" i="23"/>
  <c r="U155" i="23"/>
  <c r="T155" i="23"/>
  <c r="N155" i="23"/>
  <c r="M155" i="23"/>
  <c r="S155" i="23" s="1"/>
  <c r="V155" i="23" s="1"/>
  <c r="L155" i="23"/>
  <c r="U154" i="23"/>
  <c r="T154" i="23"/>
  <c r="S154" i="23"/>
  <c r="L154" i="23"/>
  <c r="L153" i="23"/>
  <c r="U150" i="23"/>
  <c r="M150" i="23"/>
  <c r="S150" i="23" s="1"/>
  <c r="U149" i="23"/>
  <c r="T149" i="23"/>
  <c r="S149" i="23"/>
  <c r="L149" i="23"/>
  <c r="U148" i="23"/>
  <c r="T148" i="23"/>
  <c r="S148" i="23"/>
  <c r="L148" i="23"/>
  <c r="U147" i="23"/>
  <c r="T147" i="23"/>
  <c r="S147" i="23"/>
  <c r="L147" i="23"/>
  <c r="U146" i="23"/>
  <c r="T146" i="23"/>
  <c r="S146" i="23"/>
  <c r="L146" i="23"/>
  <c r="L145" i="23"/>
  <c r="R144" i="23"/>
  <c r="U142" i="23"/>
  <c r="T142" i="23"/>
  <c r="S142" i="23"/>
  <c r="L142" i="23"/>
  <c r="U141" i="23"/>
  <c r="T141" i="23"/>
  <c r="S141" i="23"/>
  <c r="L141" i="23"/>
  <c r="U140" i="23"/>
  <c r="T140" i="23"/>
  <c r="S140" i="23"/>
  <c r="L140" i="23"/>
  <c r="L139" i="23" s="1"/>
  <c r="R139" i="23"/>
  <c r="O139" i="23"/>
  <c r="U137" i="23"/>
  <c r="T137" i="23"/>
  <c r="S137" i="23"/>
  <c r="L137" i="23"/>
  <c r="U136" i="23"/>
  <c r="T136" i="23"/>
  <c r="S136" i="23"/>
  <c r="L136" i="23"/>
  <c r="U135" i="23"/>
  <c r="T135" i="23"/>
  <c r="S135" i="23"/>
  <c r="L135" i="23"/>
  <c r="L134" i="23"/>
  <c r="U133" i="23"/>
  <c r="S133" i="23"/>
  <c r="O133" i="23"/>
  <c r="U132" i="23"/>
  <c r="S132" i="23"/>
  <c r="V132" i="23" s="1"/>
  <c r="O132" i="23"/>
  <c r="U131" i="23"/>
  <c r="S131" i="23"/>
  <c r="O131" i="23"/>
  <c r="U130" i="23"/>
  <c r="S130" i="23"/>
  <c r="O130" i="23"/>
  <c r="U128" i="23"/>
  <c r="T128" i="23"/>
  <c r="S128" i="23"/>
  <c r="L128" i="23"/>
  <c r="U127" i="23"/>
  <c r="T127" i="23"/>
  <c r="S127" i="23"/>
  <c r="L127" i="23"/>
  <c r="U126" i="23"/>
  <c r="T126" i="23"/>
  <c r="S126" i="23"/>
  <c r="L126" i="23"/>
  <c r="U125" i="23"/>
  <c r="T125" i="23"/>
  <c r="S125" i="23"/>
  <c r="L125" i="23"/>
  <c r="L124" i="23"/>
  <c r="R123" i="23"/>
  <c r="U121" i="23"/>
  <c r="T121" i="23"/>
  <c r="S121" i="23"/>
  <c r="L121" i="23"/>
  <c r="U120" i="23"/>
  <c r="T120" i="23"/>
  <c r="S120" i="23"/>
  <c r="L120" i="23"/>
  <c r="U119" i="23"/>
  <c r="T119" i="23"/>
  <c r="S119" i="23"/>
  <c r="L119" i="23"/>
  <c r="L118" i="23"/>
  <c r="U117" i="23"/>
  <c r="T117" i="23"/>
  <c r="S117" i="23"/>
  <c r="L117" i="23"/>
  <c r="U116" i="23"/>
  <c r="T116" i="23"/>
  <c r="S116" i="23"/>
  <c r="L116" i="23"/>
  <c r="U115" i="23"/>
  <c r="T115" i="23"/>
  <c r="S115" i="23"/>
  <c r="L115" i="23"/>
  <c r="L114" i="23"/>
  <c r="U113" i="23"/>
  <c r="T113" i="23"/>
  <c r="S113" i="23"/>
  <c r="L113" i="23"/>
  <c r="U112" i="23"/>
  <c r="T112" i="23"/>
  <c r="S112" i="23"/>
  <c r="L112" i="23"/>
  <c r="U111" i="23"/>
  <c r="T111" i="23"/>
  <c r="S111" i="23"/>
  <c r="L111" i="23"/>
  <c r="L110" i="23"/>
  <c r="U109" i="23"/>
  <c r="T109" i="23"/>
  <c r="S109" i="23"/>
  <c r="L109" i="23"/>
  <c r="U108" i="23"/>
  <c r="T108" i="23"/>
  <c r="S108" i="23"/>
  <c r="L108" i="23"/>
  <c r="U107" i="23"/>
  <c r="T107" i="23"/>
  <c r="S107" i="23"/>
  <c r="L107" i="23"/>
  <c r="L106" i="23"/>
  <c r="L105" i="23"/>
  <c r="L104" i="23"/>
  <c r="U103" i="23"/>
  <c r="T103" i="23"/>
  <c r="S103" i="23"/>
  <c r="L103" i="23"/>
  <c r="U102" i="23"/>
  <c r="T102" i="23"/>
  <c r="S102" i="23"/>
  <c r="L102" i="23"/>
  <c r="U101" i="23"/>
  <c r="T101" i="23"/>
  <c r="S101" i="23"/>
  <c r="L101" i="23"/>
  <c r="L100" i="23"/>
  <c r="U99" i="23"/>
  <c r="T99" i="23"/>
  <c r="S99" i="23"/>
  <c r="O99" i="23"/>
  <c r="L99" i="23"/>
  <c r="U98" i="23"/>
  <c r="T98" i="23"/>
  <c r="S98" i="23"/>
  <c r="O98" i="23"/>
  <c r="L98" i="23"/>
  <c r="U97" i="23"/>
  <c r="T97" i="23"/>
  <c r="S97" i="23"/>
  <c r="O97" i="23"/>
  <c r="L97" i="23"/>
  <c r="L96" i="23"/>
  <c r="U95" i="23"/>
  <c r="T95" i="23"/>
  <c r="S95" i="23"/>
  <c r="L95" i="23"/>
  <c r="U94" i="23"/>
  <c r="T94" i="23"/>
  <c r="S94" i="23"/>
  <c r="L94" i="23"/>
  <c r="U93" i="23"/>
  <c r="T93" i="23"/>
  <c r="S93" i="23"/>
  <c r="L93" i="23"/>
  <c r="L92" i="23"/>
  <c r="U91" i="23"/>
  <c r="T91" i="23"/>
  <c r="S91" i="23"/>
  <c r="L91" i="23"/>
  <c r="U90" i="23"/>
  <c r="T90" i="23"/>
  <c r="S90" i="23"/>
  <c r="L90" i="23"/>
  <c r="U89" i="23"/>
  <c r="T89" i="23"/>
  <c r="S89" i="23"/>
  <c r="L89" i="23"/>
  <c r="L88" i="23"/>
  <c r="U87" i="23"/>
  <c r="T87" i="23"/>
  <c r="S87" i="23"/>
  <c r="L87" i="23"/>
  <c r="U86" i="23"/>
  <c r="T86" i="23"/>
  <c r="S86" i="23"/>
  <c r="L86" i="23"/>
  <c r="U85" i="23"/>
  <c r="T85" i="23"/>
  <c r="S85" i="23"/>
  <c r="L85" i="23"/>
  <c r="L84" i="23"/>
  <c r="U83" i="23"/>
  <c r="T83" i="23"/>
  <c r="S83" i="23"/>
  <c r="L83" i="23"/>
  <c r="U82" i="23"/>
  <c r="T82" i="23"/>
  <c r="S82" i="23"/>
  <c r="L82" i="23"/>
  <c r="U81" i="23"/>
  <c r="T81" i="23"/>
  <c r="S81" i="23"/>
  <c r="L81" i="23"/>
  <c r="L80" i="23"/>
  <c r="U79" i="23"/>
  <c r="T79" i="23"/>
  <c r="S79" i="23"/>
  <c r="L79" i="23"/>
  <c r="U78" i="23"/>
  <c r="T78" i="23"/>
  <c r="S78" i="23"/>
  <c r="L78" i="23"/>
  <c r="U77" i="23"/>
  <c r="T77" i="23"/>
  <c r="S77" i="23"/>
  <c r="L77" i="23"/>
  <c r="L76" i="23"/>
  <c r="U75" i="23"/>
  <c r="T75" i="23"/>
  <c r="S75" i="23"/>
  <c r="L75" i="23"/>
  <c r="U74" i="23"/>
  <c r="T74" i="23"/>
  <c r="S74" i="23"/>
  <c r="L74" i="23"/>
  <c r="U73" i="23"/>
  <c r="T73" i="23"/>
  <c r="S73" i="23"/>
  <c r="L73" i="23"/>
  <c r="L72" i="23"/>
  <c r="U71" i="23"/>
  <c r="T71" i="23"/>
  <c r="S71" i="23"/>
  <c r="L71" i="23"/>
  <c r="U70" i="23"/>
  <c r="T70" i="23"/>
  <c r="S70" i="23"/>
  <c r="L70" i="23"/>
  <c r="U69" i="23"/>
  <c r="T69" i="23"/>
  <c r="S69" i="23"/>
  <c r="L69" i="23"/>
  <c r="L68" i="23"/>
  <c r="U67" i="23"/>
  <c r="T67" i="23"/>
  <c r="S67" i="23"/>
  <c r="L67" i="23"/>
  <c r="U66" i="23"/>
  <c r="T66" i="23"/>
  <c r="S66" i="23"/>
  <c r="L66" i="23"/>
  <c r="U65" i="23"/>
  <c r="T65" i="23"/>
  <c r="S65" i="23"/>
  <c r="L65" i="23"/>
  <c r="L64" i="23"/>
  <c r="U63" i="23"/>
  <c r="T63" i="23"/>
  <c r="S63" i="23"/>
  <c r="L63" i="23"/>
  <c r="U62" i="23"/>
  <c r="T62" i="23"/>
  <c r="S62" i="23"/>
  <c r="L62" i="23"/>
  <c r="U61" i="23"/>
  <c r="T61" i="23"/>
  <c r="S61" i="23"/>
  <c r="L61" i="23"/>
  <c r="L60" i="23"/>
  <c r="U59" i="23"/>
  <c r="T59" i="23"/>
  <c r="S59" i="23"/>
  <c r="L59" i="23"/>
  <c r="L58" i="23"/>
  <c r="U57" i="23"/>
  <c r="T57" i="23"/>
  <c r="S57" i="23"/>
  <c r="L57" i="23"/>
  <c r="U56" i="23"/>
  <c r="T56" i="23"/>
  <c r="S56" i="23"/>
  <c r="L56" i="23"/>
  <c r="U55" i="23"/>
  <c r="T55" i="23"/>
  <c r="S55" i="23"/>
  <c r="L55" i="23"/>
  <c r="L54" i="23"/>
  <c r="U53" i="23"/>
  <c r="T53" i="23"/>
  <c r="S53" i="23"/>
  <c r="L53" i="23"/>
  <c r="U52" i="23"/>
  <c r="T52" i="23"/>
  <c r="S52" i="23"/>
  <c r="L52" i="23"/>
  <c r="U51" i="23"/>
  <c r="T51" i="23"/>
  <c r="S51" i="23"/>
  <c r="L51" i="23"/>
  <c r="L50" i="23"/>
  <c r="U49" i="23"/>
  <c r="T49" i="23"/>
  <c r="S49" i="23"/>
  <c r="L49" i="23"/>
  <c r="U48" i="23"/>
  <c r="T48" i="23"/>
  <c r="S48" i="23"/>
  <c r="L48" i="23"/>
  <c r="U47" i="23"/>
  <c r="T47" i="23"/>
  <c r="S47" i="23"/>
  <c r="L47" i="23"/>
  <c r="R44" i="23"/>
  <c r="U42" i="23"/>
  <c r="T42" i="23"/>
  <c r="S42" i="23"/>
  <c r="L42" i="23"/>
  <c r="U41" i="23"/>
  <c r="T41" i="23"/>
  <c r="S41" i="23"/>
  <c r="L41" i="23"/>
  <c r="U40" i="23"/>
  <c r="T40" i="23"/>
  <c r="S40" i="23"/>
  <c r="L40" i="23"/>
  <c r="U39" i="23"/>
  <c r="T39" i="23"/>
  <c r="S39" i="23"/>
  <c r="L39" i="23"/>
  <c r="U38" i="23"/>
  <c r="T38" i="23"/>
  <c r="S38" i="23"/>
  <c r="L38" i="23"/>
  <c r="U37" i="23"/>
  <c r="T37" i="23"/>
  <c r="S37" i="23"/>
  <c r="L37" i="23"/>
  <c r="U35" i="23"/>
  <c r="T35" i="23"/>
  <c r="S35" i="23"/>
  <c r="L35" i="23"/>
  <c r="U34" i="23"/>
  <c r="T34" i="23"/>
  <c r="S34" i="23"/>
  <c r="L34" i="23"/>
  <c r="U33" i="23"/>
  <c r="T33" i="23"/>
  <c r="S33" i="23"/>
  <c r="L33" i="23"/>
  <c r="U31" i="23"/>
  <c r="T31" i="23"/>
  <c r="S31" i="23"/>
  <c r="L31" i="23"/>
  <c r="U30" i="23"/>
  <c r="T30" i="23"/>
  <c r="S30" i="23"/>
  <c r="L30" i="23"/>
  <c r="U29" i="23"/>
  <c r="T29" i="23"/>
  <c r="S29" i="23"/>
  <c r="L29" i="23"/>
  <c r="U27" i="23"/>
  <c r="T27" i="23"/>
  <c r="S27" i="23"/>
  <c r="L27" i="23"/>
  <c r="U26" i="23"/>
  <c r="T26" i="23"/>
  <c r="S26" i="23"/>
  <c r="L26" i="23"/>
  <c r="R25" i="23"/>
  <c r="O25" i="23"/>
  <c r="U23" i="23"/>
  <c r="T23" i="23"/>
  <c r="S23" i="23"/>
  <c r="L23" i="23"/>
  <c r="U22" i="23"/>
  <c r="T22" i="23"/>
  <c r="S22" i="23"/>
  <c r="L22" i="23"/>
  <c r="U21" i="23"/>
  <c r="T21" i="23"/>
  <c r="S21" i="23"/>
  <c r="L21" i="23"/>
  <c r="U20" i="23"/>
  <c r="T20" i="23"/>
  <c r="S20" i="23"/>
  <c r="L20" i="23"/>
  <c r="U19" i="23"/>
  <c r="T19" i="23"/>
  <c r="S19" i="23"/>
  <c r="L19" i="23"/>
  <c r="U18" i="23"/>
  <c r="T18" i="23"/>
  <c r="S18" i="23"/>
  <c r="L18" i="23"/>
  <c r="R17" i="23"/>
  <c r="O17" i="23"/>
  <c r="U15" i="23"/>
  <c r="T15" i="23"/>
  <c r="S15" i="23"/>
  <c r="L15" i="23"/>
  <c r="U14" i="23"/>
  <c r="T14" i="23"/>
  <c r="S14" i="23"/>
  <c r="L14" i="23"/>
  <c r="U13" i="23"/>
  <c r="T13" i="23"/>
  <c r="S13" i="23"/>
  <c r="V13" i="23" s="1"/>
  <c r="L13" i="23"/>
  <c r="U12" i="23"/>
  <c r="T12" i="23"/>
  <c r="S12" i="23"/>
  <c r="L12" i="23"/>
  <c r="U11" i="23"/>
  <c r="T11" i="23"/>
  <c r="S11" i="23"/>
  <c r="L11" i="23"/>
  <c r="U10" i="23"/>
  <c r="T10" i="23"/>
  <c r="S10" i="23"/>
  <c r="L10" i="23"/>
  <c r="U9" i="23"/>
  <c r="T9" i="23"/>
  <c r="S9" i="23"/>
  <c r="V9" i="23" s="1"/>
  <c r="L9" i="23"/>
  <c r="R8" i="23"/>
  <c r="O8" i="23"/>
  <c r="T48" i="18"/>
  <c r="S63" i="18"/>
  <c r="S55" i="18"/>
  <c r="Y55" i="18" s="1"/>
  <c r="H15" i="5" s="1"/>
  <c r="J48" i="14" s="1"/>
  <c r="J49" i="14" s="1"/>
  <c r="Y30" i="18"/>
  <c r="Y17" i="18"/>
  <c r="H10" i="5" s="1"/>
  <c r="Y14" i="18"/>
  <c r="H9" i="5" s="1"/>
  <c r="J10" i="4" s="1"/>
  <c r="Y8" i="18"/>
  <c r="H7" i="5" s="1"/>
  <c r="Y29" i="18"/>
  <c r="H9" i="7"/>
  <c r="E70" i="16"/>
  <c r="E41" i="16"/>
  <c r="E27" i="16"/>
  <c r="E26" i="16"/>
  <c r="E40" i="16"/>
  <c r="E36" i="16"/>
  <c r="E35" i="16"/>
  <c r="E34" i="16"/>
  <c r="E23" i="16"/>
  <c r="H112" i="14"/>
  <c r="H111" i="14"/>
  <c r="H110" i="14"/>
  <c r="H109" i="14"/>
  <c r="H108" i="14"/>
  <c r="H107" i="14"/>
  <c r="H106" i="14"/>
  <c r="H105" i="14"/>
  <c r="H104" i="14"/>
  <c r="H103" i="14"/>
  <c r="H102" i="14"/>
  <c r="H101" i="14"/>
  <c r="H99" i="14"/>
  <c r="I99" i="14" s="1"/>
  <c r="H98" i="14"/>
  <c r="I98" i="14" s="1"/>
  <c r="H97" i="14"/>
  <c r="I97" i="14" s="1"/>
  <c r="H96" i="14"/>
  <c r="I96" i="14" s="1"/>
  <c r="H95" i="14"/>
  <c r="I95" i="14" s="1"/>
  <c r="H94" i="14"/>
  <c r="I94" i="14" s="1"/>
  <c r="H93" i="14"/>
  <c r="I93" i="14" s="1"/>
  <c r="H92" i="14"/>
  <c r="I92" i="14" s="1"/>
  <c r="H91" i="14"/>
  <c r="I91" i="14" s="1"/>
  <c r="H90" i="14"/>
  <c r="I90" i="14" s="1"/>
  <c r="H89" i="14"/>
  <c r="I89" i="14" s="1"/>
  <c r="H88" i="14"/>
  <c r="I88" i="14" s="1"/>
  <c r="H86" i="14"/>
  <c r="I86" i="14" s="1"/>
  <c r="H85" i="14"/>
  <c r="I85" i="14" s="1"/>
  <c r="H84" i="14"/>
  <c r="I84" i="14" s="1"/>
  <c r="H83" i="14"/>
  <c r="I83" i="14" s="1"/>
  <c r="H82" i="14"/>
  <c r="I82" i="14" s="1"/>
  <c r="H81" i="14"/>
  <c r="I81" i="14" s="1"/>
  <c r="H80" i="14"/>
  <c r="I80" i="14" s="1"/>
  <c r="H79" i="14"/>
  <c r="I79" i="14" s="1"/>
  <c r="H78" i="14"/>
  <c r="I78" i="14" s="1"/>
  <c r="H77" i="14"/>
  <c r="I77" i="14" s="1"/>
  <c r="H76" i="14"/>
  <c r="I76" i="14" s="1"/>
  <c r="H75" i="14"/>
  <c r="I75" i="14" s="1"/>
  <c r="H57" i="14"/>
  <c r="I57" i="14" s="1"/>
  <c r="H58" i="14"/>
  <c r="I58" i="14" s="1"/>
  <c r="H59" i="14"/>
  <c r="I59" i="14" s="1"/>
  <c r="H56" i="14"/>
  <c r="I56" i="14" s="1"/>
  <c r="H52" i="14"/>
  <c r="I52" i="14" s="1"/>
  <c r="H53" i="14"/>
  <c r="I53" i="14" s="1"/>
  <c r="H54" i="14"/>
  <c r="I54" i="14" s="1"/>
  <c r="H51" i="14"/>
  <c r="I51" i="14" s="1"/>
  <c r="H49" i="14"/>
  <c r="I49" i="14" s="1"/>
  <c r="H48" i="14"/>
  <c r="I48" i="14" s="1"/>
  <c r="H45" i="14"/>
  <c r="I45" i="14" s="1"/>
  <c r="H44" i="14"/>
  <c r="I44" i="14" s="1"/>
  <c r="H42" i="14"/>
  <c r="I42" i="14" s="1"/>
  <c r="H41" i="14"/>
  <c r="H39" i="14"/>
  <c r="I39" i="14" s="1"/>
  <c r="H38" i="14"/>
  <c r="I38" i="14" s="1"/>
  <c r="H36" i="14"/>
  <c r="I36" i="14" s="1"/>
  <c r="H35" i="14"/>
  <c r="I35" i="14" s="1"/>
  <c r="H33" i="14"/>
  <c r="I33" i="14" s="1"/>
  <c r="H32" i="14"/>
  <c r="I32" i="14" s="1"/>
  <c r="H30" i="14"/>
  <c r="I30" i="14" s="1"/>
  <c r="H29" i="14"/>
  <c r="I29" i="14" s="1"/>
  <c r="H27" i="14"/>
  <c r="I27" i="14" s="1"/>
  <c r="H26" i="14"/>
  <c r="I26" i="14" s="1"/>
  <c r="H24" i="14"/>
  <c r="I24" i="14" s="1"/>
  <c r="H23" i="14"/>
  <c r="I23" i="14" s="1"/>
  <c r="H14" i="14"/>
  <c r="I14" i="14" s="1"/>
  <c r="H15" i="14"/>
  <c r="I15" i="14" s="1"/>
  <c r="H16" i="14"/>
  <c r="H13" i="14"/>
  <c r="I13" i="14" s="1"/>
  <c r="H11" i="14"/>
  <c r="I11" i="14" s="1"/>
  <c r="H10" i="14"/>
  <c r="I10" i="14" s="1"/>
  <c r="I579" i="14"/>
  <c r="I578" i="14"/>
  <c r="I577" i="14"/>
  <c r="I576" i="14"/>
  <c r="I575" i="14"/>
  <c r="I574" i="14"/>
  <c r="I572" i="14"/>
  <c r="I571" i="14"/>
  <c r="I570" i="14"/>
  <c r="I569" i="14"/>
  <c r="I567" i="14"/>
  <c r="I566" i="14"/>
  <c r="I565" i="14"/>
  <c r="I564" i="14"/>
  <c r="I562" i="14"/>
  <c r="I561" i="14"/>
  <c r="I560" i="14"/>
  <c r="I559" i="14"/>
  <c r="I557" i="14"/>
  <c r="I556" i="14"/>
  <c r="I555" i="14"/>
  <c r="I554" i="14"/>
  <c r="I552" i="14"/>
  <c r="I551" i="14"/>
  <c r="I550" i="14"/>
  <c r="I549" i="14"/>
  <c r="I547" i="14"/>
  <c r="I546" i="14"/>
  <c r="I545" i="14"/>
  <c r="I544" i="14"/>
  <c r="I542" i="14"/>
  <c r="I541" i="14"/>
  <c r="I540" i="14"/>
  <c r="I539" i="14"/>
  <c r="I537" i="14"/>
  <c r="I536" i="14"/>
  <c r="I535" i="14"/>
  <c r="I534" i="14"/>
  <c r="I532" i="14"/>
  <c r="I531" i="14"/>
  <c r="I530" i="14"/>
  <c r="I529" i="14"/>
  <c r="I527" i="14"/>
  <c r="I526" i="14"/>
  <c r="I525" i="14"/>
  <c r="I524" i="14"/>
  <c r="I522" i="14"/>
  <c r="I521" i="14"/>
  <c r="I520" i="14"/>
  <c r="I519" i="14"/>
  <c r="I517" i="14"/>
  <c r="I516" i="14"/>
  <c r="I515" i="14"/>
  <c r="I514" i="14"/>
  <c r="I509" i="14"/>
  <c r="I508" i="14"/>
  <c r="I507" i="14"/>
  <c r="I506" i="14"/>
  <c r="I504" i="14"/>
  <c r="I503" i="14"/>
  <c r="I502" i="14"/>
  <c r="I501" i="14"/>
  <c r="I499" i="14"/>
  <c r="I498" i="14"/>
  <c r="I497" i="14"/>
  <c r="I496" i="14"/>
  <c r="I494" i="14"/>
  <c r="I493" i="14"/>
  <c r="I492" i="14"/>
  <c r="I491" i="14"/>
  <c r="I489" i="14"/>
  <c r="I488" i="14"/>
  <c r="I487" i="14"/>
  <c r="I486" i="14"/>
  <c r="I484" i="14"/>
  <c r="I483" i="14"/>
  <c r="I482" i="14"/>
  <c r="I481" i="14"/>
  <c r="I479" i="14"/>
  <c r="I478" i="14"/>
  <c r="I477" i="14"/>
  <c r="I476" i="14"/>
  <c r="I473" i="14"/>
  <c r="I472" i="14"/>
  <c r="I471" i="14"/>
  <c r="I470" i="14"/>
  <c r="I468" i="14"/>
  <c r="I467" i="14"/>
  <c r="I466" i="14"/>
  <c r="I465" i="14"/>
  <c r="I463" i="14"/>
  <c r="I462" i="14"/>
  <c r="I460" i="14"/>
  <c r="I459" i="14"/>
  <c r="I458" i="14"/>
  <c r="I457" i="14"/>
  <c r="I455" i="14"/>
  <c r="I454" i="14"/>
  <c r="I453" i="14"/>
  <c r="I451" i="14"/>
  <c r="I450" i="14"/>
  <c r="I449" i="14"/>
  <c r="I448" i="14"/>
  <c r="I446" i="14"/>
  <c r="I445" i="14"/>
  <c r="I444" i="14"/>
  <c r="I443" i="14"/>
  <c r="I441" i="14"/>
  <c r="I440" i="14"/>
  <c r="I439" i="14"/>
  <c r="I438" i="14"/>
  <c r="I436" i="14"/>
  <c r="I435" i="14"/>
  <c r="I434" i="14"/>
  <c r="I433" i="14"/>
  <c r="I431" i="14"/>
  <c r="I430" i="14"/>
  <c r="I429" i="14"/>
  <c r="I428" i="14"/>
  <c r="I426" i="14"/>
  <c r="I425" i="14"/>
  <c r="I424" i="14"/>
  <c r="I423" i="14"/>
  <c r="I421" i="14"/>
  <c r="I420" i="14"/>
  <c r="I419" i="14"/>
  <c r="I418" i="14"/>
  <c r="I416" i="14"/>
  <c r="I415" i="14"/>
  <c r="I414" i="14"/>
  <c r="I413" i="14"/>
  <c r="I411" i="14"/>
  <c r="I410" i="14"/>
  <c r="I409" i="14"/>
  <c r="I408" i="14"/>
  <c r="I406" i="14"/>
  <c r="I405" i="14"/>
  <c r="I404" i="14"/>
  <c r="I403" i="14"/>
  <c r="I401" i="14"/>
  <c r="I400" i="14"/>
  <c r="I399" i="14"/>
  <c r="I398" i="14"/>
  <c r="I396" i="14"/>
  <c r="I395" i="14"/>
  <c r="I394" i="14"/>
  <c r="I393" i="14"/>
  <c r="I392" i="14"/>
  <c r="I391" i="14"/>
  <c r="I390" i="14"/>
  <c r="I389" i="14"/>
  <c r="I387" i="14"/>
  <c r="I386" i="14"/>
  <c r="I385" i="14"/>
  <c r="I384" i="14"/>
  <c r="I382" i="14"/>
  <c r="I381" i="14"/>
  <c r="I380" i="14"/>
  <c r="I379" i="14"/>
  <c r="I377" i="14"/>
  <c r="I376" i="14"/>
  <c r="I375" i="14"/>
  <c r="I374" i="14"/>
  <c r="I372" i="14"/>
  <c r="I371" i="14"/>
  <c r="I370" i="14"/>
  <c r="I369" i="14"/>
  <c r="I367" i="14"/>
  <c r="I366" i="14"/>
  <c r="I365" i="14"/>
  <c r="I364" i="14"/>
  <c r="I362" i="14"/>
  <c r="I361" i="14"/>
  <c r="I360" i="14"/>
  <c r="I359" i="14"/>
  <c r="I357" i="14"/>
  <c r="I356" i="14"/>
  <c r="I355" i="14"/>
  <c r="I354" i="14"/>
  <c r="I352" i="14"/>
  <c r="I351" i="14"/>
  <c r="I350" i="14"/>
  <c r="I349" i="14"/>
  <c r="I347" i="14"/>
  <c r="I346" i="14"/>
  <c r="I345" i="14"/>
  <c r="I344" i="14"/>
  <c r="I342" i="14"/>
  <c r="I341" i="14"/>
  <c r="I340" i="14"/>
  <c r="I339" i="14"/>
  <c r="I337" i="14"/>
  <c r="I336" i="14"/>
  <c r="I335" i="14"/>
  <c r="I334" i="14"/>
  <c r="I332" i="14"/>
  <c r="I331" i="14"/>
  <c r="I330" i="14"/>
  <c r="I329" i="14"/>
  <c r="I327" i="14"/>
  <c r="I326" i="14"/>
  <c r="I325" i="14"/>
  <c r="I324" i="14"/>
  <c r="I322" i="14"/>
  <c r="I321" i="14"/>
  <c r="I320" i="14"/>
  <c r="I319" i="14"/>
  <c r="I317" i="14"/>
  <c r="I316" i="14"/>
  <c r="I315" i="14"/>
  <c r="I314" i="14"/>
  <c r="I312" i="14"/>
  <c r="I311" i="14"/>
  <c r="I310" i="14"/>
  <c r="I309" i="14"/>
  <c r="I307" i="14"/>
  <c r="I306" i="14"/>
  <c r="I305" i="14"/>
  <c r="I304" i="14"/>
  <c r="I302" i="14"/>
  <c r="I301" i="14"/>
  <c r="I300" i="14"/>
  <c r="I299" i="14"/>
  <c r="I297" i="14"/>
  <c r="I296" i="14"/>
  <c r="I295" i="14"/>
  <c r="I294" i="14"/>
  <c r="I292" i="14"/>
  <c r="I291" i="14"/>
  <c r="I290" i="14"/>
  <c r="I289" i="14"/>
  <c r="I287" i="14"/>
  <c r="I286" i="14"/>
  <c r="I285" i="14"/>
  <c r="I284" i="14"/>
  <c r="I282" i="14"/>
  <c r="I281" i="14"/>
  <c r="I280" i="14"/>
  <c r="I279" i="14"/>
  <c r="I277" i="14"/>
  <c r="I276" i="14"/>
  <c r="I275" i="14"/>
  <c r="I274" i="14"/>
  <c r="I272" i="14"/>
  <c r="I271" i="14"/>
  <c r="I270" i="14"/>
  <c r="I269" i="14"/>
  <c r="I267" i="14"/>
  <c r="I266" i="14"/>
  <c r="I265" i="14"/>
  <c r="I264" i="14"/>
  <c r="I262" i="14"/>
  <c r="I261" i="14"/>
  <c r="I260" i="14"/>
  <c r="I259" i="14"/>
  <c r="I257" i="14"/>
  <c r="I256" i="14"/>
  <c r="I255" i="14"/>
  <c r="I254" i="14"/>
  <c r="I252" i="14"/>
  <c r="I251" i="14"/>
  <c r="I250" i="14"/>
  <c r="I249" i="14"/>
  <c r="I247" i="14"/>
  <c r="I246" i="14"/>
  <c r="I245" i="14"/>
  <c r="I244" i="14"/>
  <c r="I242" i="14"/>
  <c r="I241" i="14"/>
  <c r="I240" i="14"/>
  <c r="I239" i="14"/>
  <c r="I237" i="14"/>
  <c r="I236" i="14"/>
  <c r="I235" i="14"/>
  <c r="I234" i="14"/>
  <c r="I232" i="14"/>
  <c r="I231" i="14"/>
  <c r="I230" i="14"/>
  <c r="I229" i="14"/>
  <c r="I227" i="14"/>
  <c r="I226" i="14"/>
  <c r="I225" i="14"/>
  <c r="I224" i="14"/>
  <c r="I222" i="14"/>
  <c r="I221" i="14"/>
  <c r="I220" i="14"/>
  <c r="I219" i="14"/>
  <c r="I217" i="14"/>
  <c r="I216" i="14"/>
  <c r="I215" i="14"/>
  <c r="I214" i="14"/>
  <c r="I212" i="14"/>
  <c r="I211" i="14"/>
  <c r="I210" i="14"/>
  <c r="I209" i="14"/>
  <c r="I207" i="14"/>
  <c r="I206" i="14"/>
  <c r="I205" i="14"/>
  <c r="I204" i="14"/>
  <c r="I202" i="14"/>
  <c r="I201" i="14"/>
  <c r="I200" i="14"/>
  <c r="I199" i="14"/>
  <c r="I197" i="14"/>
  <c r="I196" i="14"/>
  <c r="I195" i="14"/>
  <c r="I194" i="14"/>
  <c r="I192" i="14"/>
  <c r="I191" i="14"/>
  <c r="I190" i="14"/>
  <c r="I189" i="14"/>
  <c r="I187" i="14"/>
  <c r="I186" i="14"/>
  <c r="I185" i="14"/>
  <c r="I184" i="14"/>
  <c r="I182" i="14"/>
  <c r="I181" i="14"/>
  <c r="I180" i="14"/>
  <c r="I179" i="14"/>
  <c r="I177" i="14"/>
  <c r="I176" i="14"/>
  <c r="I175" i="14"/>
  <c r="I174" i="14"/>
  <c r="I172" i="14"/>
  <c r="I171" i="14"/>
  <c r="I170" i="14"/>
  <c r="I169" i="14"/>
  <c r="I167" i="14"/>
  <c r="I166" i="14"/>
  <c r="I165" i="14"/>
  <c r="I164" i="14"/>
  <c r="I162" i="14"/>
  <c r="I161" i="14"/>
  <c r="I160" i="14"/>
  <c r="I159" i="14"/>
  <c r="I157" i="14"/>
  <c r="I156" i="14"/>
  <c r="I155" i="14"/>
  <c r="I154" i="14"/>
  <c r="I152" i="14"/>
  <c r="I151" i="14"/>
  <c r="I150" i="14"/>
  <c r="I149" i="14"/>
  <c r="I147" i="14"/>
  <c r="I146" i="14"/>
  <c r="I145" i="14"/>
  <c r="I144" i="14"/>
  <c r="I142" i="14"/>
  <c r="I141" i="14"/>
  <c r="I140" i="14"/>
  <c r="I139" i="14"/>
  <c r="I137" i="14"/>
  <c r="I136" i="14"/>
  <c r="I135" i="14"/>
  <c r="I134" i="14"/>
  <c r="I132" i="14"/>
  <c r="I131" i="14"/>
  <c r="I130" i="14"/>
  <c r="I129" i="14"/>
  <c r="I127" i="14"/>
  <c r="I126" i="14"/>
  <c r="I125" i="14"/>
  <c r="I124" i="14"/>
  <c r="I41" i="14"/>
  <c r="I21" i="14"/>
  <c r="I20" i="14"/>
  <c r="I19" i="14"/>
  <c r="I18" i="14"/>
  <c r="I16" i="14"/>
  <c r="R61" i="13"/>
  <c r="N61" i="13"/>
  <c r="I61" i="13"/>
  <c r="Q61" i="13" s="1"/>
  <c r="R60" i="13"/>
  <c r="N60" i="13"/>
  <c r="I60" i="13"/>
  <c r="R59" i="13"/>
  <c r="N59" i="13"/>
  <c r="I59" i="13"/>
  <c r="Q59" i="13" s="1"/>
  <c r="R58" i="13"/>
  <c r="N58" i="13"/>
  <c r="I58" i="13"/>
  <c r="R57" i="13"/>
  <c r="N57" i="13"/>
  <c r="I57" i="13"/>
  <c r="Q57" i="13" s="1"/>
  <c r="R56" i="13"/>
  <c r="N56" i="13"/>
  <c r="I56" i="13"/>
  <c r="R55" i="13"/>
  <c r="N55" i="13"/>
  <c r="I55" i="13"/>
  <c r="Q55" i="13" s="1"/>
  <c r="R54" i="13"/>
  <c r="J54" i="13"/>
  <c r="I54" i="13"/>
  <c r="R53" i="13"/>
  <c r="N53" i="13"/>
  <c r="I53" i="13"/>
  <c r="Q53" i="13" s="1"/>
  <c r="R52" i="13"/>
  <c r="N52" i="13"/>
  <c r="I52" i="13"/>
  <c r="Q52" i="13" s="1"/>
  <c r="R51" i="13"/>
  <c r="N51" i="13"/>
  <c r="I51" i="13"/>
  <c r="R50" i="13"/>
  <c r="N50" i="13"/>
  <c r="I50" i="13"/>
  <c r="Q50" i="13" s="1"/>
  <c r="R49" i="13"/>
  <c r="N49" i="13"/>
  <c r="I49" i="13"/>
  <c r="Q49" i="13" s="1"/>
  <c r="R48" i="13"/>
  <c r="N48" i="13"/>
  <c r="I48" i="13"/>
  <c r="Q48" i="13" s="1"/>
  <c r="R47" i="13"/>
  <c r="N47" i="13"/>
  <c r="I47" i="13"/>
  <c r="R46" i="13"/>
  <c r="N46" i="13"/>
  <c r="I46" i="13"/>
  <c r="Q46" i="13" s="1"/>
  <c r="R45" i="13"/>
  <c r="N45" i="13"/>
  <c r="I45" i="13"/>
  <c r="Q45" i="13" s="1"/>
  <c r="R44" i="13"/>
  <c r="N44" i="13"/>
  <c r="I44" i="13"/>
  <c r="Q44" i="13" s="1"/>
  <c r="R43" i="13"/>
  <c r="N43" i="13"/>
  <c r="I43" i="13"/>
  <c r="R42" i="13"/>
  <c r="N42" i="13"/>
  <c r="I42" i="13"/>
  <c r="Q42" i="13" s="1"/>
  <c r="R41" i="13"/>
  <c r="N41" i="13"/>
  <c r="I41" i="13"/>
  <c r="Q41" i="13" s="1"/>
  <c r="R40" i="13"/>
  <c r="N40" i="13"/>
  <c r="I40" i="13"/>
  <c r="Q40" i="13" s="1"/>
  <c r="R39" i="13"/>
  <c r="N39" i="13"/>
  <c r="I39" i="13"/>
  <c r="R38" i="13"/>
  <c r="N38" i="13"/>
  <c r="I38" i="13"/>
  <c r="Q38" i="13" s="1"/>
  <c r="R37" i="13"/>
  <c r="N37" i="13"/>
  <c r="I37" i="13"/>
  <c r="Q37" i="13" s="1"/>
  <c r="R36" i="13"/>
  <c r="N36" i="13"/>
  <c r="I36" i="13"/>
  <c r="Q36" i="13" s="1"/>
  <c r="R35" i="13"/>
  <c r="N35" i="13"/>
  <c r="I35" i="13"/>
  <c r="R34" i="13"/>
  <c r="N34" i="13"/>
  <c r="I34" i="13"/>
  <c r="Q34" i="13" s="1"/>
  <c r="R33" i="13"/>
  <c r="N33" i="13"/>
  <c r="I33" i="13"/>
  <c r="Q33" i="13" s="1"/>
  <c r="R32" i="13"/>
  <c r="N32" i="13"/>
  <c r="I32" i="13"/>
  <c r="Q32" i="13" s="1"/>
  <c r="R31" i="13"/>
  <c r="N31" i="13"/>
  <c r="I31" i="13"/>
  <c r="R30" i="13"/>
  <c r="N30" i="13"/>
  <c r="I30" i="13"/>
  <c r="Q30" i="13" s="1"/>
  <c r="R29" i="13"/>
  <c r="N29" i="13"/>
  <c r="I29" i="13"/>
  <c r="Q29" i="13" s="1"/>
  <c r="R28" i="13"/>
  <c r="N28" i="13"/>
  <c r="I28" i="13"/>
  <c r="Q28" i="13" s="1"/>
  <c r="R27" i="13"/>
  <c r="N27" i="13"/>
  <c r="I27" i="13"/>
  <c r="Q27" i="13" s="1"/>
  <c r="R26" i="13"/>
  <c r="N26" i="13"/>
  <c r="I26" i="13"/>
  <c r="Q26" i="13" s="1"/>
  <c r="R25" i="13"/>
  <c r="N25" i="13"/>
  <c r="I25" i="13"/>
  <c r="Q25" i="13" s="1"/>
  <c r="R24" i="13"/>
  <c r="N24" i="13"/>
  <c r="I24" i="13"/>
  <c r="R23" i="13"/>
  <c r="N23" i="13"/>
  <c r="I23" i="13"/>
  <c r="Q23" i="13" s="1"/>
  <c r="R22" i="13"/>
  <c r="N22" i="13"/>
  <c r="I22" i="13"/>
  <c r="Q22" i="13" s="1"/>
  <c r="R21" i="13"/>
  <c r="N21" i="13"/>
  <c r="I21" i="13"/>
  <c r="Q21" i="13" s="1"/>
  <c r="R20" i="13"/>
  <c r="N20" i="13"/>
  <c r="I20" i="13"/>
  <c r="R19" i="13"/>
  <c r="N19" i="13"/>
  <c r="I19" i="13"/>
  <c r="Q19" i="13" s="1"/>
  <c r="R18" i="13"/>
  <c r="N18" i="13"/>
  <c r="I18" i="13"/>
  <c r="Q18" i="13" s="1"/>
  <c r="R17" i="13"/>
  <c r="N17" i="13"/>
  <c r="I17" i="13"/>
  <c r="Q17" i="13" s="1"/>
  <c r="R16" i="13"/>
  <c r="N16" i="13"/>
  <c r="I16" i="13"/>
  <c r="R15" i="13"/>
  <c r="N15" i="13"/>
  <c r="I15" i="13"/>
  <c r="Q15" i="13" s="1"/>
  <c r="R14" i="13"/>
  <c r="N14" i="13"/>
  <c r="I14" i="13"/>
  <c r="Q14" i="13" s="1"/>
  <c r="R13" i="13"/>
  <c r="N13" i="13"/>
  <c r="I13" i="13"/>
  <c r="Q13" i="13" s="1"/>
  <c r="R12" i="13"/>
  <c r="N12" i="13"/>
  <c r="I12" i="13"/>
  <c r="R11" i="13"/>
  <c r="N11" i="13"/>
  <c r="I11" i="13"/>
  <c r="Q11" i="13" s="1"/>
  <c r="R10" i="13"/>
  <c r="N10" i="13"/>
  <c r="I10" i="13"/>
  <c r="Q10" i="13" s="1"/>
  <c r="R9" i="13"/>
  <c r="N9" i="13"/>
  <c r="I9" i="13"/>
  <c r="Q9" i="13" s="1"/>
  <c r="R8" i="13"/>
  <c r="N8" i="13"/>
  <c r="I8" i="13"/>
  <c r="R7" i="13"/>
  <c r="N7" i="13"/>
  <c r="I7" i="13"/>
  <c r="Q7" i="13" s="1"/>
  <c r="V104" i="18" l="1"/>
  <c r="Y104" i="18" s="1"/>
  <c r="Y106" i="18" s="1"/>
  <c r="H22" i="5" s="1"/>
  <c r="V109" i="18"/>
  <c r="Y109" i="18" s="1"/>
  <c r="Y111" i="18" s="1"/>
  <c r="H23" i="5" s="1"/>
  <c r="Y186" i="18"/>
  <c r="H35" i="5" s="1"/>
  <c r="Y31" i="18"/>
  <c r="H13" i="5" s="1"/>
  <c r="J23" i="14" s="1"/>
  <c r="J24" i="14" s="1"/>
  <c r="K24" i="14" s="1"/>
  <c r="M24" i="14" s="1"/>
  <c r="N24" i="14" s="1"/>
  <c r="V167" i="23"/>
  <c r="V168" i="23"/>
  <c r="V169" i="23"/>
  <c r="V170" i="23"/>
  <c r="V201" i="23"/>
  <c r="V202" i="23"/>
  <c r="V203" i="23"/>
  <c r="V204" i="23"/>
  <c r="V205" i="23"/>
  <c r="V227" i="23"/>
  <c r="AP11" i="24"/>
  <c r="O17" i="13"/>
  <c r="P17" i="13" s="1"/>
  <c r="O25" i="13"/>
  <c r="P25" i="13" s="1"/>
  <c r="V237" i="23"/>
  <c r="V238" i="23"/>
  <c r="L5" i="24"/>
  <c r="AP12" i="24"/>
  <c r="AP9" i="24"/>
  <c r="AP10" i="24"/>
  <c r="AR10" i="24" s="1"/>
  <c r="V19" i="23"/>
  <c r="V91" i="23"/>
  <c r="V120" i="23"/>
  <c r="V188" i="23"/>
  <c r="V226" i="23"/>
  <c r="V108" i="23"/>
  <c r="V23" i="23"/>
  <c r="V51" i="23"/>
  <c r="O44" i="23"/>
  <c r="V206" i="23"/>
  <c r="V208" i="23"/>
  <c r="V67" i="23"/>
  <c r="V83" i="23"/>
  <c r="V112" i="23"/>
  <c r="L144" i="23"/>
  <c r="V161" i="23"/>
  <c r="V162" i="23"/>
  <c r="V163" i="23"/>
  <c r="V187" i="23"/>
  <c r="V195" i="23"/>
  <c r="V196" i="23"/>
  <c r="V35" i="23"/>
  <c r="V37" i="23"/>
  <c r="V38" i="23"/>
  <c r="V39" i="23"/>
  <c r="V40" i="23"/>
  <c r="V41" i="23"/>
  <c r="V42" i="23"/>
  <c r="V55" i="23"/>
  <c r="V57" i="23"/>
  <c r="V69" i="23"/>
  <c r="V70" i="23"/>
  <c r="V71" i="23"/>
  <c r="V86" i="23"/>
  <c r="V87" i="23"/>
  <c r="V116" i="23"/>
  <c r="V125" i="23"/>
  <c r="V146" i="23"/>
  <c r="V147" i="23"/>
  <c r="V148" i="23"/>
  <c r="V149" i="23"/>
  <c r="V156" i="23"/>
  <c r="L212" i="23"/>
  <c r="V220" i="23"/>
  <c r="V225" i="23"/>
  <c r="V133" i="23"/>
  <c r="V157" i="23"/>
  <c r="V209" i="23"/>
  <c r="V89" i="23"/>
  <c r="V255" i="23"/>
  <c r="L172" i="23"/>
  <c r="V231" i="23"/>
  <c r="V233" i="23"/>
  <c r="V234" i="23"/>
  <c r="V235" i="23"/>
  <c r="V243" i="23"/>
  <c r="V244" i="23"/>
  <c r="V251" i="23"/>
  <c r="V263" i="23"/>
  <c r="V264" i="23"/>
  <c r="V266" i="23"/>
  <c r="V267" i="23"/>
  <c r="V14" i="23"/>
  <c r="V15" i="23"/>
  <c r="V52" i="23"/>
  <c r="V59" i="23"/>
  <c r="V75" i="23"/>
  <c r="V98" i="23"/>
  <c r="V102" i="23"/>
  <c r="V113" i="23"/>
  <c r="V117" i="23"/>
  <c r="V127" i="23"/>
  <c r="V128" i="23"/>
  <c r="V130" i="23"/>
  <c r="L152" i="23"/>
  <c r="O157" i="23"/>
  <c r="V177" i="23"/>
  <c r="V178" i="23"/>
  <c r="V179" i="23"/>
  <c r="V180" i="23"/>
  <c r="V181" i="23"/>
  <c r="V182" i="23"/>
  <c r="V183" i="23"/>
  <c r="V215" i="23"/>
  <c r="V217" i="23"/>
  <c r="V224" i="23"/>
  <c r="V239" i="23"/>
  <c r="V248" i="23"/>
  <c r="V30" i="23"/>
  <c r="V47" i="23"/>
  <c r="V49" i="23"/>
  <c r="V61" i="23"/>
  <c r="V62" i="23"/>
  <c r="V63" i="23"/>
  <c r="V77" i="23"/>
  <c r="V78" i="23"/>
  <c r="V79" i="23"/>
  <c r="V94" i="23"/>
  <c r="V95" i="23"/>
  <c r="V99" i="23"/>
  <c r="V107" i="23"/>
  <c r="V115" i="23"/>
  <c r="V150" i="23"/>
  <c r="L159" i="23"/>
  <c r="V192" i="23"/>
  <c r="V194" i="23"/>
  <c r="V199" i="23"/>
  <c r="V219" i="23"/>
  <c r="L8" i="23"/>
  <c r="L17" i="23"/>
  <c r="L25" i="23"/>
  <c r="L123" i="23"/>
  <c r="O150" i="23"/>
  <c r="O144" i="23" s="1"/>
  <c r="R190" i="23"/>
  <c r="O190" i="23"/>
  <c r="V221" i="23"/>
  <c r="L229" i="23"/>
  <c r="V65" i="23"/>
  <c r="V66" i="23"/>
  <c r="V73" i="23"/>
  <c r="V74" i="23"/>
  <c r="V81" i="23"/>
  <c r="V82" i="23"/>
  <c r="V85" i="23"/>
  <c r="V90" i="23"/>
  <c r="V93" i="23"/>
  <c r="V101" i="23"/>
  <c r="V103" i="23"/>
  <c r="V109" i="23"/>
  <c r="V121" i="23"/>
  <c r="V126" i="23"/>
  <c r="L165" i="23"/>
  <c r="V184" i="23"/>
  <c r="V185" i="23"/>
  <c r="V186" i="23"/>
  <c r="V213" i="23"/>
  <c r="V216" i="23"/>
  <c r="V218" i="23"/>
  <c r="V223" i="23"/>
  <c r="V232" i="23"/>
  <c r="V242" i="23"/>
  <c r="O229" i="23"/>
  <c r="R255" i="23"/>
  <c r="V258" i="23"/>
  <c r="V265" i="23"/>
  <c r="V18" i="23"/>
  <c r="V26" i="23"/>
  <c r="V27" i="23"/>
  <c r="V29" i="23"/>
  <c r="V10" i="23"/>
  <c r="V11" i="23"/>
  <c r="V12" i="23"/>
  <c r="V20" i="23"/>
  <c r="V21" i="23"/>
  <c r="V22" i="23"/>
  <c r="V31" i="23"/>
  <c r="V33" i="23"/>
  <c r="V34" i="23"/>
  <c r="L44" i="23"/>
  <c r="V48" i="23"/>
  <c r="V53" i="23"/>
  <c r="V56" i="23"/>
  <c r="V97" i="23"/>
  <c r="V111" i="23"/>
  <c r="V119" i="23"/>
  <c r="O123" i="23"/>
  <c r="V131" i="23"/>
  <c r="V135" i="23"/>
  <c r="V136" i="23"/>
  <c r="V137" i="23"/>
  <c r="V140" i="23"/>
  <c r="V141" i="23"/>
  <c r="V142" i="23"/>
  <c r="V154" i="23"/>
  <c r="V152" i="23" s="1"/>
  <c r="V174" i="23"/>
  <c r="V175" i="23"/>
  <c r="V176" i="23"/>
  <c r="L190" i="23"/>
  <c r="V193" i="23"/>
  <c r="V198" i="23"/>
  <c r="V207" i="23"/>
  <c r="V210" i="23"/>
  <c r="R214" i="23"/>
  <c r="R212" i="23" s="1"/>
  <c r="V222" i="23"/>
  <c r="V236" i="23"/>
  <c r="V245" i="23"/>
  <c r="V246" i="23"/>
  <c r="V247" i="23"/>
  <c r="V252" i="23"/>
  <c r="V259" i="23"/>
  <c r="V268" i="23"/>
  <c r="V269" i="23"/>
  <c r="V270" i="23"/>
  <c r="AR9" i="24"/>
  <c r="O11" i="13"/>
  <c r="P11" i="13" s="1"/>
  <c r="O36" i="13"/>
  <c r="P36" i="13" s="1"/>
  <c r="O52" i="13"/>
  <c r="P52" i="13" s="1"/>
  <c r="O34" i="13"/>
  <c r="P34" i="13" s="1"/>
  <c r="AN35" i="24"/>
  <c r="AP8" i="24"/>
  <c r="AR8" i="24" s="1"/>
  <c r="AR12" i="24"/>
  <c r="P6" i="24"/>
  <c r="AQ35" i="24"/>
  <c r="AP13" i="24"/>
  <c r="AR13" i="24" s="1"/>
  <c r="AP14" i="24"/>
  <c r="AR14" i="24" s="1"/>
  <c r="AP15" i="24"/>
  <c r="AR15" i="24" s="1"/>
  <c r="AP16" i="24"/>
  <c r="AR16" i="24" s="1"/>
  <c r="AP17" i="24"/>
  <c r="AR17" i="24" s="1"/>
  <c r="AP18" i="24"/>
  <c r="AR18" i="24" s="1"/>
  <c r="AP19" i="24"/>
  <c r="AR19" i="24" s="1"/>
  <c r="AP20" i="24"/>
  <c r="AR20" i="24" s="1"/>
  <c r="AP21" i="24"/>
  <c r="AR21" i="24" s="1"/>
  <c r="AP22" i="24"/>
  <c r="AR22" i="24" s="1"/>
  <c r="AP23" i="24"/>
  <c r="AR23" i="24" s="1"/>
  <c r="AP24" i="24"/>
  <c r="AR24" i="24" s="1"/>
  <c r="AP25" i="24"/>
  <c r="AR25" i="24" s="1"/>
  <c r="AP26" i="24"/>
  <c r="AR26" i="24" s="1"/>
  <c r="AP27" i="24"/>
  <c r="AR27" i="24" s="1"/>
  <c r="AP28" i="24"/>
  <c r="AR28" i="24" s="1"/>
  <c r="AP29" i="24"/>
  <c r="AR29" i="24" s="1"/>
  <c r="AP30" i="24"/>
  <c r="AR30" i="24" s="1"/>
  <c r="AP31" i="24"/>
  <c r="AR31" i="24" s="1"/>
  <c r="AP32" i="24"/>
  <c r="AR32" i="24" s="1"/>
  <c r="AP33" i="24"/>
  <c r="AR33" i="24" s="1"/>
  <c r="AP34" i="24"/>
  <c r="AR34" i="24" s="1"/>
  <c r="AR11" i="24"/>
  <c r="V144" i="23"/>
  <c r="V8" i="23"/>
  <c r="O155" i="23"/>
  <c r="O152" i="23" s="1"/>
  <c r="O213" i="23"/>
  <c r="O212" i="23" s="1"/>
  <c r="R258" i="23"/>
  <c r="R229" i="23" s="1"/>
  <c r="R272" i="23" s="1"/>
  <c r="T63" i="18"/>
  <c r="Y63" i="18" s="1"/>
  <c r="H16" i="5" s="1"/>
  <c r="Y11" i="18"/>
  <c r="H8" i="5" s="1"/>
  <c r="J9" i="4" s="1"/>
  <c r="S48" i="18"/>
  <c r="Y48" i="18" s="1"/>
  <c r="Y47" i="18"/>
  <c r="K48" i="14"/>
  <c r="M48" i="14" s="1"/>
  <c r="N48" i="14" s="1"/>
  <c r="K489" i="14"/>
  <c r="M489" i="14" s="1"/>
  <c r="K242" i="14"/>
  <c r="M242" i="14" s="1"/>
  <c r="N242" i="14" s="1"/>
  <c r="K547" i="14"/>
  <c r="M547" i="14" s="1"/>
  <c r="K561" i="14"/>
  <c r="M561" i="14" s="1"/>
  <c r="K140" i="14"/>
  <c r="M140" i="14" s="1"/>
  <c r="K438" i="14"/>
  <c r="M438" i="14" s="1"/>
  <c r="N438" i="14" s="1"/>
  <c r="K212" i="14"/>
  <c r="M212" i="14" s="1"/>
  <c r="N212" i="14" s="1"/>
  <c r="K349" i="14"/>
  <c r="M349" i="14" s="1"/>
  <c r="N349" i="14" s="1"/>
  <c r="K502" i="14"/>
  <c r="M502" i="14" s="1"/>
  <c r="K532" i="14"/>
  <c r="M532" i="14" s="1"/>
  <c r="K571" i="14"/>
  <c r="M571" i="14" s="1"/>
  <c r="K404" i="14"/>
  <c r="M404" i="14" s="1"/>
  <c r="K406" i="14"/>
  <c r="M406" i="14" s="1"/>
  <c r="K409" i="14"/>
  <c r="M409" i="14" s="1"/>
  <c r="K192" i="14"/>
  <c r="M192" i="14" s="1"/>
  <c r="N192" i="14" s="1"/>
  <c r="K381" i="14"/>
  <c r="M381" i="14" s="1"/>
  <c r="K544" i="14"/>
  <c r="M544" i="14" s="1"/>
  <c r="K261" i="14"/>
  <c r="M261" i="14" s="1"/>
  <c r="N261" i="14" s="1"/>
  <c r="K264" i="14"/>
  <c r="M264" i="14" s="1"/>
  <c r="N264" i="14" s="1"/>
  <c r="K266" i="14"/>
  <c r="M266" i="14" s="1"/>
  <c r="N266" i="14" s="1"/>
  <c r="K269" i="14"/>
  <c r="M269" i="14" s="1"/>
  <c r="N269" i="14" s="1"/>
  <c r="K274" i="14"/>
  <c r="M274" i="14" s="1"/>
  <c r="N274" i="14" s="1"/>
  <c r="K276" i="14"/>
  <c r="M276" i="14" s="1"/>
  <c r="N276" i="14" s="1"/>
  <c r="K284" i="14"/>
  <c r="M284" i="14" s="1"/>
  <c r="N284" i="14" s="1"/>
  <c r="K446" i="14"/>
  <c r="M446" i="14" s="1"/>
  <c r="K454" i="14"/>
  <c r="M454" i="14" s="1"/>
  <c r="K575" i="14"/>
  <c r="M575" i="14" s="1"/>
  <c r="K370" i="14"/>
  <c r="M370" i="14" s="1"/>
  <c r="N370" i="14" s="1"/>
  <c r="K477" i="14"/>
  <c r="M477" i="14" s="1"/>
  <c r="K541" i="14"/>
  <c r="M541" i="14" s="1"/>
  <c r="K549" i="14"/>
  <c r="M549" i="14" s="1"/>
  <c r="K560" i="14"/>
  <c r="M560" i="14" s="1"/>
  <c r="K45" i="14"/>
  <c r="M45" i="14" s="1"/>
  <c r="N45" i="14" s="1"/>
  <c r="K127" i="14"/>
  <c r="M127" i="14" s="1"/>
  <c r="K169" i="14"/>
  <c r="M169" i="14" s="1"/>
  <c r="N169" i="14" s="1"/>
  <c r="K182" i="14"/>
  <c r="M182" i="14" s="1"/>
  <c r="N182" i="14" s="1"/>
  <c r="K185" i="14"/>
  <c r="M185" i="14" s="1"/>
  <c r="N185" i="14" s="1"/>
  <c r="K251" i="14"/>
  <c r="M251" i="14" s="1"/>
  <c r="K257" i="14"/>
  <c r="M257" i="14" s="1"/>
  <c r="N257" i="14" s="1"/>
  <c r="K329" i="14"/>
  <c r="M329" i="14" s="1"/>
  <c r="N329" i="14" s="1"/>
  <c r="K379" i="14"/>
  <c r="M379" i="14" s="1"/>
  <c r="K401" i="14"/>
  <c r="M401" i="14" s="1"/>
  <c r="K439" i="14"/>
  <c r="M439" i="14" s="1"/>
  <c r="N439" i="14" s="1"/>
  <c r="K450" i="14"/>
  <c r="M450" i="14" s="1"/>
  <c r="K457" i="14"/>
  <c r="M457" i="14" s="1"/>
  <c r="K478" i="14"/>
  <c r="M478" i="14" s="1"/>
  <c r="K488" i="14"/>
  <c r="M488" i="14" s="1"/>
  <c r="K525" i="14"/>
  <c r="M525" i="14" s="1"/>
  <c r="N525" i="14" s="1"/>
  <c r="K529" i="14"/>
  <c r="M529" i="14" s="1"/>
  <c r="K552" i="14"/>
  <c r="M552" i="14" s="1"/>
  <c r="K559" i="14"/>
  <c r="M559" i="14" s="1"/>
  <c r="K232" i="14"/>
  <c r="M232" i="14" s="1"/>
  <c r="N232" i="14" s="1"/>
  <c r="K327" i="14"/>
  <c r="M327" i="14" s="1"/>
  <c r="K411" i="14"/>
  <c r="M411" i="14" s="1"/>
  <c r="K416" i="14"/>
  <c r="M416" i="14" s="1"/>
  <c r="K434" i="14"/>
  <c r="M434" i="14" s="1"/>
  <c r="K465" i="14"/>
  <c r="M465" i="14" s="1"/>
  <c r="K484" i="14"/>
  <c r="M484" i="14" s="1"/>
  <c r="K530" i="14"/>
  <c r="M530" i="14" s="1"/>
  <c r="K577" i="14"/>
  <c r="M577" i="14" s="1"/>
  <c r="K167" i="14"/>
  <c r="M167" i="14" s="1"/>
  <c r="K202" i="14"/>
  <c r="M202" i="14" s="1"/>
  <c r="N202" i="14" s="1"/>
  <c r="K222" i="14"/>
  <c r="M222" i="14" s="1"/>
  <c r="N222" i="14" s="1"/>
  <c r="K389" i="14"/>
  <c r="M389" i="14" s="1"/>
  <c r="K400" i="14"/>
  <c r="M400" i="14" s="1"/>
  <c r="K467" i="14"/>
  <c r="M467" i="14" s="1"/>
  <c r="K494" i="14"/>
  <c r="M494" i="14" s="1"/>
  <c r="K515" i="14"/>
  <c r="M515" i="14" s="1"/>
  <c r="N515" i="14" s="1"/>
  <c r="K534" i="14"/>
  <c r="M534" i="14" s="1"/>
  <c r="K537" i="14"/>
  <c r="M537" i="14" s="1"/>
  <c r="O21" i="13"/>
  <c r="P21" i="13" s="1"/>
  <c r="O50" i="13"/>
  <c r="P50" i="13" s="1"/>
  <c r="O57" i="13"/>
  <c r="P57" i="13" s="1"/>
  <c r="O43" i="13"/>
  <c r="P43" i="13" s="1"/>
  <c r="O13" i="13"/>
  <c r="P13" i="13" s="1"/>
  <c r="N54" i="13"/>
  <c r="O54" i="13" s="1"/>
  <c r="P54" i="13" s="1"/>
  <c r="O7" i="13"/>
  <c r="P7" i="13" s="1"/>
  <c r="O15" i="13"/>
  <c r="P15" i="13" s="1"/>
  <c r="O23" i="13"/>
  <c r="P23" i="13" s="1"/>
  <c r="O30" i="13"/>
  <c r="P30" i="13" s="1"/>
  <c r="O40" i="13"/>
  <c r="P40" i="13" s="1"/>
  <c r="O46" i="13"/>
  <c r="P46" i="13" s="1"/>
  <c r="O61" i="13"/>
  <c r="P61" i="13" s="1"/>
  <c r="O9" i="13"/>
  <c r="P9" i="13" s="1"/>
  <c r="O42" i="13"/>
  <c r="P42" i="13" s="1"/>
  <c r="O44" i="13"/>
  <c r="P44" i="13" s="1"/>
  <c r="O19" i="13"/>
  <c r="P19" i="13" s="1"/>
  <c r="O27" i="13"/>
  <c r="P27" i="13" s="1"/>
  <c r="O32" i="13"/>
  <c r="P32" i="13" s="1"/>
  <c r="O38" i="13"/>
  <c r="P38" i="13" s="1"/>
  <c r="O48" i="13"/>
  <c r="P48" i="13" s="1"/>
  <c r="O59" i="13"/>
  <c r="P59" i="13" s="1"/>
  <c r="K524" i="14"/>
  <c r="M524" i="14" s="1"/>
  <c r="K527" i="14"/>
  <c r="M527" i="14" s="1"/>
  <c r="K578" i="14"/>
  <c r="M578" i="14" s="1"/>
  <c r="K20" i="14"/>
  <c r="M20" i="14" s="1"/>
  <c r="N20" i="14" s="1"/>
  <c r="K142" i="14"/>
  <c r="M142" i="14" s="1"/>
  <c r="K354" i="14"/>
  <c r="M354" i="14" s="1"/>
  <c r="N354" i="14" s="1"/>
  <c r="K369" i="14"/>
  <c r="M369" i="14" s="1"/>
  <c r="N369" i="14" s="1"/>
  <c r="K391" i="14"/>
  <c r="M391" i="14" s="1"/>
  <c r="K393" i="14"/>
  <c r="M393" i="14" s="1"/>
  <c r="K399" i="14"/>
  <c r="M399" i="14" s="1"/>
  <c r="K420" i="14"/>
  <c r="M420" i="14" s="1"/>
  <c r="K424" i="14"/>
  <c r="M424" i="14" s="1"/>
  <c r="N424" i="14" s="1"/>
  <c r="K445" i="14"/>
  <c r="M445" i="14" s="1"/>
  <c r="K459" i="14"/>
  <c r="M459" i="14" s="1"/>
  <c r="K26" i="14"/>
  <c r="M26" i="14" s="1"/>
  <c r="N26" i="14" s="1"/>
  <c r="K29" i="14"/>
  <c r="M29" i="14" s="1"/>
  <c r="N29" i="14" s="1"/>
  <c r="K32" i="14"/>
  <c r="M32" i="14" s="1"/>
  <c r="N32" i="14" s="1"/>
  <c r="K130" i="14"/>
  <c r="M130" i="14" s="1"/>
  <c r="K139" i="14"/>
  <c r="M139" i="14" s="1"/>
  <c r="K141" i="14"/>
  <c r="M141" i="14" s="1"/>
  <c r="K256" i="14"/>
  <c r="M256" i="14" s="1"/>
  <c r="N256" i="14" s="1"/>
  <c r="K334" i="14"/>
  <c r="M334" i="14" s="1"/>
  <c r="N334" i="14" s="1"/>
  <c r="K364" i="14"/>
  <c r="M364" i="14" s="1"/>
  <c r="N364" i="14" s="1"/>
  <c r="K366" i="14"/>
  <c r="M366" i="14" s="1"/>
  <c r="K372" i="14"/>
  <c r="M372" i="14" s="1"/>
  <c r="K384" i="14"/>
  <c r="M384" i="14" s="1"/>
  <c r="K395" i="14"/>
  <c r="M395" i="14" s="1"/>
  <c r="K413" i="14"/>
  <c r="M413" i="14" s="1"/>
  <c r="K425" i="14"/>
  <c r="M425" i="14" s="1"/>
  <c r="K429" i="14"/>
  <c r="M429" i="14" s="1"/>
  <c r="N429" i="14" s="1"/>
  <c r="K449" i="14"/>
  <c r="M449" i="14" s="1"/>
  <c r="K491" i="14"/>
  <c r="M491" i="14" s="1"/>
  <c r="K531" i="14"/>
  <c r="M531" i="14" s="1"/>
  <c r="K536" i="14"/>
  <c r="M536" i="14" s="1"/>
  <c r="K35" i="14"/>
  <c r="M35" i="14" s="1"/>
  <c r="N35" i="14" s="1"/>
  <c r="K38" i="14"/>
  <c r="M38" i="14" s="1"/>
  <c r="N38" i="14" s="1"/>
  <c r="K49" i="14"/>
  <c r="M49" i="14" s="1"/>
  <c r="N49" i="14" s="1"/>
  <c r="K124" i="14"/>
  <c r="M124" i="14" s="1"/>
  <c r="K126" i="14"/>
  <c r="M126" i="14" s="1"/>
  <c r="K132" i="14"/>
  <c r="M132" i="14" s="1"/>
  <c r="K144" i="14"/>
  <c r="K146" i="14"/>
  <c r="M146" i="14" s="1"/>
  <c r="N146" i="14" s="1"/>
  <c r="K149" i="14"/>
  <c r="M149" i="14" s="1"/>
  <c r="N149" i="14" s="1"/>
  <c r="K151" i="14"/>
  <c r="M151" i="14" s="1"/>
  <c r="N151" i="14" s="1"/>
  <c r="K154" i="14"/>
  <c r="M154" i="14" s="1"/>
  <c r="N154" i="14" s="1"/>
  <c r="K156" i="14"/>
  <c r="M156" i="14" s="1"/>
  <c r="N156" i="14" s="1"/>
  <c r="K159" i="14"/>
  <c r="M159" i="14" s="1"/>
  <c r="N159" i="14" s="1"/>
  <c r="K161" i="14"/>
  <c r="M161" i="14" s="1"/>
  <c r="N161" i="14" s="1"/>
  <c r="K164" i="14"/>
  <c r="M164" i="14" s="1"/>
  <c r="N164" i="14" s="1"/>
  <c r="K166" i="14"/>
  <c r="M166" i="14" s="1"/>
  <c r="K172" i="14"/>
  <c r="M172" i="14" s="1"/>
  <c r="N172" i="14" s="1"/>
  <c r="K175" i="14"/>
  <c r="M175" i="14" s="1"/>
  <c r="N175" i="14" s="1"/>
  <c r="K177" i="14"/>
  <c r="M177" i="14" s="1"/>
  <c r="N177" i="14" s="1"/>
  <c r="K180" i="14"/>
  <c r="M180" i="14" s="1"/>
  <c r="N180" i="14" s="1"/>
  <c r="K281" i="14"/>
  <c r="M281" i="14" s="1"/>
  <c r="N281" i="14" s="1"/>
  <c r="K325" i="14"/>
  <c r="M325" i="14" s="1"/>
  <c r="K339" i="14"/>
  <c r="M339" i="14" s="1"/>
  <c r="N339" i="14" s="1"/>
  <c r="K359" i="14"/>
  <c r="M359" i="14" s="1"/>
  <c r="K362" i="14"/>
  <c r="M362" i="14" s="1"/>
  <c r="K367" i="14"/>
  <c r="M367" i="14" s="1"/>
  <c r="K375" i="14"/>
  <c r="M375" i="14" s="1"/>
  <c r="K382" i="14"/>
  <c r="M382" i="14" s="1"/>
  <c r="K415" i="14"/>
  <c r="M415" i="14" s="1"/>
  <c r="K419" i="14"/>
  <c r="M419" i="14" s="1"/>
  <c r="K423" i="14"/>
  <c r="M423" i="14" s="1"/>
  <c r="N423" i="14" s="1"/>
  <c r="K431" i="14"/>
  <c r="M431" i="14" s="1"/>
  <c r="K441" i="14"/>
  <c r="M441" i="14" s="1"/>
  <c r="K455" i="14"/>
  <c r="M455" i="14" s="1"/>
  <c r="K463" i="14"/>
  <c r="M463" i="14" s="1"/>
  <c r="K466" i="14"/>
  <c r="M466" i="14" s="1"/>
  <c r="K482" i="14"/>
  <c r="M482" i="14" s="1"/>
  <c r="N482" i="14" s="1"/>
  <c r="K501" i="14"/>
  <c r="M501" i="14" s="1"/>
  <c r="N501" i="14" s="1"/>
  <c r="K516" i="14"/>
  <c r="M516" i="14" s="1"/>
  <c r="N516" i="14" s="1"/>
  <c r="K522" i="14"/>
  <c r="M522" i="14" s="1"/>
  <c r="K526" i="14"/>
  <c r="M526" i="14" s="1"/>
  <c r="K555" i="14"/>
  <c r="M555" i="14" s="1"/>
  <c r="K557" i="14"/>
  <c r="M557" i="14" s="1"/>
  <c r="K19" i="14"/>
  <c r="M19" i="14" s="1"/>
  <c r="N19" i="14" s="1"/>
  <c r="K21" i="14"/>
  <c r="M21" i="14" s="1"/>
  <c r="N21" i="14" s="1"/>
  <c r="K129" i="14"/>
  <c r="M129" i="14" s="1"/>
  <c r="K131" i="14"/>
  <c r="M131" i="14" s="1"/>
  <c r="K137" i="14"/>
  <c r="M137" i="14" s="1"/>
  <c r="K187" i="14"/>
  <c r="M187" i="14" s="1"/>
  <c r="N187" i="14" s="1"/>
  <c r="K197" i="14"/>
  <c r="M197" i="14" s="1"/>
  <c r="N197" i="14" s="1"/>
  <c r="K207" i="14"/>
  <c r="M207" i="14" s="1"/>
  <c r="N207" i="14" s="1"/>
  <c r="K217" i="14"/>
  <c r="M217" i="14" s="1"/>
  <c r="N217" i="14" s="1"/>
  <c r="K227" i="14"/>
  <c r="M227" i="14" s="1"/>
  <c r="N227" i="14" s="1"/>
  <c r="K237" i="14"/>
  <c r="M237" i="14" s="1"/>
  <c r="N237" i="14" s="1"/>
  <c r="K247" i="14"/>
  <c r="M247" i="14" s="1"/>
  <c r="N247" i="14" s="1"/>
  <c r="K277" i="14"/>
  <c r="M277" i="14" s="1"/>
  <c r="N277" i="14" s="1"/>
  <c r="K286" i="14"/>
  <c r="M286" i="14" s="1"/>
  <c r="N286" i="14" s="1"/>
  <c r="K289" i="14"/>
  <c r="M289" i="14" s="1"/>
  <c r="N289" i="14" s="1"/>
  <c r="K291" i="14"/>
  <c r="M291" i="14" s="1"/>
  <c r="N291" i="14" s="1"/>
  <c r="K294" i="14"/>
  <c r="M294" i="14" s="1"/>
  <c r="N294" i="14" s="1"/>
  <c r="K296" i="14"/>
  <c r="M296" i="14" s="1"/>
  <c r="N296" i="14" s="1"/>
  <c r="K299" i="14"/>
  <c r="M299" i="14" s="1"/>
  <c r="N299" i="14" s="1"/>
  <c r="K301" i="14"/>
  <c r="M301" i="14" s="1"/>
  <c r="N301" i="14" s="1"/>
  <c r="K304" i="14"/>
  <c r="M304" i="14" s="1"/>
  <c r="N304" i="14" s="1"/>
  <c r="K306" i="14"/>
  <c r="M306" i="14" s="1"/>
  <c r="N306" i="14" s="1"/>
  <c r="K309" i="14"/>
  <c r="M309" i="14" s="1"/>
  <c r="N309" i="14" s="1"/>
  <c r="K311" i="14"/>
  <c r="M311" i="14" s="1"/>
  <c r="N311" i="14" s="1"/>
  <c r="K314" i="14"/>
  <c r="M314" i="14" s="1"/>
  <c r="N314" i="14" s="1"/>
  <c r="K316" i="14"/>
  <c r="M316" i="14" s="1"/>
  <c r="N316" i="14" s="1"/>
  <c r="K319" i="14"/>
  <c r="M319" i="14" s="1"/>
  <c r="N319" i="14" s="1"/>
  <c r="K321" i="14"/>
  <c r="M321" i="14" s="1"/>
  <c r="N321" i="14" s="1"/>
  <c r="K324" i="14"/>
  <c r="M324" i="14" s="1"/>
  <c r="K344" i="14"/>
  <c r="M344" i="14" s="1"/>
  <c r="N344" i="14" s="1"/>
  <c r="K374" i="14"/>
  <c r="M374" i="14" s="1"/>
  <c r="N374" i="14" s="1"/>
  <c r="K376" i="14"/>
  <c r="M376" i="14" s="1"/>
  <c r="K385" i="14"/>
  <c r="M385" i="14" s="1"/>
  <c r="K398" i="14"/>
  <c r="M398" i="14" s="1"/>
  <c r="K403" i="14"/>
  <c r="M403" i="14" s="1"/>
  <c r="N403" i="14" s="1"/>
  <c r="K414" i="14"/>
  <c r="M414" i="14" s="1"/>
  <c r="K418" i="14"/>
  <c r="M418" i="14" s="1"/>
  <c r="K421" i="14"/>
  <c r="M421" i="14" s="1"/>
  <c r="K471" i="14"/>
  <c r="M471" i="14" s="1"/>
  <c r="K476" i="14"/>
  <c r="M476" i="14" s="1"/>
  <c r="K503" i="14"/>
  <c r="M503" i="14" s="1"/>
  <c r="K517" i="14"/>
  <c r="M517" i="14" s="1"/>
  <c r="K521" i="14"/>
  <c r="M521" i="14" s="1"/>
  <c r="K550" i="14"/>
  <c r="M550" i="14" s="1"/>
  <c r="N550" i="14" s="1"/>
  <c r="K554" i="14"/>
  <c r="M554" i="14" s="1"/>
  <c r="K556" i="14"/>
  <c r="M556" i="14" s="1"/>
  <c r="K564" i="14"/>
  <c r="M564" i="14" s="1"/>
  <c r="K566" i="14"/>
  <c r="M566" i="14" s="1"/>
  <c r="K567" i="14"/>
  <c r="M567" i="14" s="1"/>
  <c r="O8" i="13"/>
  <c r="P8" i="13" s="1"/>
  <c r="O12" i="13"/>
  <c r="P12" i="13" s="1"/>
  <c r="O16" i="13"/>
  <c r="P16" i="13" s="1"/>
  <c r="O20" i="13"/>
  <c r="P20" i="13" s="1"/>
  <c r="O24" i="13"/>
  <c r="P24" i="13" s="1"/>
  <c r="O31" i="13"/>
  <c r="P31" i="13" s="1"/>
  <c r="O47" i="13"/>
  <c r="P47" i="13" s="1"/>
  <c r="K44" i="14"/>
  <c r="M44" i="14" s="1"/>
  <c r="N44" i="14" s="1"/>
  <c r="K135" i="14"/>
  <c r="M135" i="14" s="1"/>
  <c r="K190" i="14"/>
  <c r="M190" i="14" s="1"/>
  <c r="N190" i="14" s="1"/>
  <c r="K200" i="14"/>
  <c r="M200" i="14" s="1"/>
  <c r="N200" i="14" s="1"/>
  <c r="K210" i="14"/>
  <c r="M210" i="14" s="1"/>
  <c r="N210" i="14" s="1"/>
  <c r="K220" i="14"/>
  <c r="M220" i="14" s="1"/>
  <c r="N220" i="14" s="1"/>
  <c r="K230" i="14"/>
  <c r="M230" i="14" s="1"/>
  <c r="N230" i="14" s="1"/>
  <c r="K240" i="14"/>
  <c r="M240" i="14" s="1"/>
  <c r="N240" i="14" s="1"/>
  <c r="K250" i="14"/>
  <c r="M250" i="14" s="1"/>
  <c r="O35" i="13"/>
  <c r="P35" i="13" s="1"/>
  <c r="O51" i="13"/>
  <c r="P51" i="13" s="1"/>
  <c r="K361" i="14"/>
  <c r="M361" i="14" s="1"/>
  <c r="K408" i="14"/>
  <c r="M408" i="14" s="1"/>
  <c r="K430" i="14"/>
  <c r="M430" i="14" s="1"/>
  <c r="K444" i="14"/>
  <c r="M444" i="14" s="1"/>
  <c r="K470" i="14"/>
  <c r="M470" i="14" s="1"/>
  <c r="K540" i="14"/>
  <c r="M540" i="14" s="1"/>
  <c r="K551" i="14"/>
  <c r="M551" i="14" s="1"/>
  <c r="K570" i="14"/>
  <c r="M570" i="14" s="1"/>
  <c r="O39" i="13"/>
  <c r="P39" i="13" s="1"/>
  <c r="K18" i="14"/>
  <c r="M18" i="14" s="1"/>
  <c r="N18" i="14" s="1"/>
  <c r="K125" i="14"/>
  <c r="M125" i="14" s="1"/>
  <c r="K195" i="14"/>
  <c r="M195" i="14" s="1"/>
  <c r="N195" i="14" s="1"/>
  <c r="K205" i="14"/>
  <c r="M205" i="14" s="1"/>
  <c r="N205" i="14" s="1"/>
  <c r="K215" i="14"/>
  <c r="M215" i="14" s="1"/>
  <c r="N215" i="14" s="1"/>
  <c r="K225" i="14"/>
  <c r="M225" i="14" s="1"/>
  <c r="N225" i="14" s="1"/>
  <c r="K235" i="14"/>
  <c r="M235" i="14" s="1"/>
  <c r="N235" i="14" s="1"/>
  <c r="K245" i="14"/>
  <c r="M245" i="14" s="1"/>
  <c r="N245" i="14" s="1"/>
  <c r="K365" i="14"/>
  <c r="M365" i="14" s="1"/>
  <c r="K377" i="14"/>
  <c r="M377" i="14" s="1"/>
  <c r="K394" i="14"/>
  <c r="M394" i="14" s="1"/>
  <c r="K428" i="14"/>
  <c r="M428" i="14" s="1"/>
  <c r="N428" i="14" s="1"/>
  <c r="K481" i="14"/>
  <c r="M481" i="14" s="1"/>
  <c r="K506" i="14"/>
  <c r="M506" i="14" s="1"/>
  <c r="K509" i="14"/>
  <c r="M509" i="14" s="1"/>
  <c r="K519" i="14"/>
  <c r="M519" i="14" s="1"/>
  <c r="N519" i="14" s="1"/>
  <c r="K535" i="14"/>
  <c r="M535" i="14" s="1"/>
  <c r="N535" i="14" s="1"/>
  <c r="K539" i="14"/>
  <c r="M539" i="14" s="1"/>
  <c r="K545" i="14"/>
  <c r="M545" i="14" s="1"/>
  <c r="N545" i="14" s="1"/>
  <c r="K562" i="14"/>
  <c r="M562" i="14" s="1"/>
  <c r="K574" i="14"/>
  <c r="M574" i="14" s="1"/>
  <c r="N574" i="14" s="1"/>
  <c r="K27" i="14"/>
  <c r="M27" i="14" s="1"/>
  <c r="N27" i="14" s="1"/>
  <c r="K30" i="14"/>
  <c r="M30" i="14" s="1"/>
  <c r="N30" i="14" s="1"/>
  <c r="K33" i="14"/>
  <c r="M33" i="14" s="1"/>
  <c r="N33" i="14" s="1"/>
  <c r="K36" i="14"/>
  <c r="M36" i="14" s="1"/>
  <c r="N36" i="14" s="1"/>
  <c r="K39" i="14"/>
  <c r="M39" i="14" s="1"/>
  <c r="N39" i="14" s="1"/>
  <c r="K134" i="14"/>
  <c r="M134" i="14" s="1"/>
  <c r="K136" i="14"/>
  <c r="M136" i="14" s="1"/>
  <c r="K145" i="14"/>
  <c r="M145" i="14" s="1"/>
  <c r="N145" i="14" s="1"/>
  <c r="K147" i="14"/>
  <c r="M147" i="14" s="1"/>
  <c r="N147" i="14" s="1"/>
  <c r="K150" i="14"/>
  <c r="M150" i="14" s="1"/>
  <c r="N150" i="14" s="1"/>
  <c r="K152" i="14"/>
  <c r="M152" i="14" s="1"/>
  <c r="N152" i="14" s="1"/>
  <c r="K155" i="14"/>
  <c r="M155" i="14" s="1"/>
  <c r="N155" i="14" s="1"/>
  <c r="K157" i="14"/>
  <c r="M157" i="14" s="1"/>
  <c r="N157" i="14" s="1"/>
  <c r="K160" i="14"/>
  <c r="M160" i="14" s="1"/>
  <c r="N160" i="14" s="1"/>
  <c r="K162" i="14"/>
  <c r="M162" i="14" s="1"/>
  <c r="N162" i="14" s="1"/>
  <c r="K165" i="14"/>
  <c r="M165" i="14" s="1"/>
  <c r="N165" i="14" s="1"/>
  <c r="K170" i="14"/>
  <c r="M170" i="14" s="1"/>
  <c r="N170" i="14" s="1"/>
  <c r="K181" i="14"/>
  <c r="M181" i="14" s="1"/>
  <c r="N181" i="14" s="1"/>
  <c r="K255" i="14"/>
  <c r="M255" i="14" s="1"/>
  <c r="N255" i="14" s="1"/>
  <c r="K387" i="14"/>
  <c r="M387" i="14" s="1"/>
  <c r="K433" i="14"/>
  <c r="M433" i="14" s="1"/>
  <c r="N433" i="14" s="1"/>
  <c r="K497" i="14"/>
  <c r="M497" i="14" s="1"/>
  <c r="N497" i="14" s="1"/>
  <c r="K171" i="14"/>
  <c r="M171" i="14" s="1"/>
  <c r="N171" i="14" s="1"/>
  <c r="K254" i="14"/>
  <c r="M254" i="14" s="1"/>
  <c r="N254" i="14" s="1"/>
  <c r="K275" i="14"/>
  <c r="M275" i="14" s="1"/>
  <c r="N275" i="14" s="1"/>
  <c r="K287" i="14"/>
  <c r="M287" i="14" s="1"/>
  <c r="N287" i="14" s="1"/>
  <c r="K292" i="14"/>
  <c r="M292" i="14" s="1"/>
  <c r="N292" i="14" s="1"/>
  <c r="K297" i="14"/>
  <c r="M297" i="14" s="1"/>
  <c r="N297" i="14" s="1"/>
  <c r="K302" i="14"/>
  <c r="M302" i="14" s="1"/>
  <c r="N302" i="14" s="1"/>
  <c r="K307" i="14"/>
  <c r="M307" i="14" s="1"/>
  <c r="N307" i="14" s="1"/>
  <c r="K312" i="14"/>
  <c r="M312" i="14" s="1"/>
  <c r="N312" i="14" s="1"/>
  <c r="K317" i="14"/>
  <c r="M317" i="14" s="1"/>
  <c r="N317" i="14" s="1"/>
  <c r="K322" i="14"/>
  <c r="M322" i="14" s="1"/>
  <c r="N322" i="14" s="1"/>
  <c r="K174" i="14"/>
  <c r="M174" i="14" s="1"/>
  <c r="N174" i="14" s="1"/>
  <c r="K184" i="14"/>
  <c r="M184" i="14" s="1"/>
  <c r="N184" i="14" s="1"/>
  <c r="K252" i="14"/>
  <c r="M252" i="14" s="1"/>
  <c r="K259" i="14"/>
  <c r="M259" i="14" s="1"/>
  <c r="N259" i="14" s="1"/>
  <c r="K267" i="14"/>
  <c r="M267" i="14" s="1"/>
  <c r="N267" i="14" s="1"/>
  <c r="K271" i="14"/>
  <c r="M271" i="14" s="1"/>
  <c r="N271" i="14" s="1"/>
  <c r="K279" i="14"/>
  <c r="M279" i="14" s="1"/>
  <c r="N279" i="14" s="1"/>
  <c r="K331" i="14"/>
  <c r="M331" i="14" s="1"/>
  <c r="N331" i="14" s="1"/>
  <c r="K336" i="14"/>
  <c r="M336" i="14" s="1"/>
  <c r="N336" i="14" s="1"/>
  <c r="K341" i="14"/>
  <c r="M341" i="14" s="1"/>
  <c r="N341" i="14" s="1"/>
  <c r="K346" i="14"/>
  <c r="M346" i="14" s="1"/>
  <c r="N346" i="14" s="1"/>
  <c r="K351" i="14"/>
  <c r="M351" i="14" s="1"/>
  <c r="N351" i="14" s="1"/>
  <c r="K356" i="14"/>
  <c r="M356" i="14" s="1"/>
  <c r="N356" i="14" s="1"/>
  <c r="K371" i="14"/>
  <c r="M371" i="14" s="1"/>
  <c r="K179" i="14"/>
  <c r="M179" i="14" s="1"/>
  <c r="N179" i="14" s="1"/>
  <c r="K176" i="14"/>
  <c r="M176" i="14" s="1"/>
  <c r="N176" i="14" s="1"/>
  <c r="K186" i="14"/>
  <c r="M186" i="14" s="1"/>
  <c r="N186" i="14" s="1"/>
  <c r="K189" i="14"/>
  <c r="M189" i="14" s="1"/>
  <c r="N189" i="14" s="1"/>
  <c r="K191" i="14"/>
  <c r="M191" i="14" s="1"/>
  <c r="N191" i="14" s="1"/>
  <c r="K194" i="14"/>
  <c r="M194" i="14" s="1"/>
  <c r="N194" i="14" s="1"/>
  <c r="K196" i="14"/>
  <c r="M196" i="14" s="1"/>
  <c r="N196" i="14" s="1"/>
  <c r="K199" i="14"/>
  <c r="M199" i="14" s="1"/>
  <c r="N199" i="14" s="1"/>
  <c r="K201" i="14"/>
  <c r="M201" i="14" s="1"/>
  <c r="N201" i="14" s="1"/>
  <c r="K204" i="14"/>
  <c r="M204" i="14" s="1"/>
  <c r="N204" i="14" s="1"/>
  <c r="K206" i="14"/>
  <c r="M206" i="14" s="1"/>
  <c r="N206" i="14" s="1"/>
  <c r="K209" i="14"/>
  <c r="M209" i="14" s="1"/>
  <c r="N209" i="14" s="1"/>
  <c r="K211" i="14"/>
  <c r="M211" i="14" s="1"/>
  <c r="N211" i="14" s="1"/>
  <c r="K214" i="14"/>
  <c r="M214" i="14" s="1"/>
  <c r="N214" i="14" s="1"/>
  <c r="K216" i="14"/>
  <c r="M216" i="14" s="1"/>
  <c r="N216" i="14" s="1"/>
  <c r="K219" i="14"/>
  <c r="M219" i="14" s="1"/>
  <c r="N219" i="14" s="1"/>
  <c r="K221" i="14"/>
  <c r="M221" i="14" s="1"/>
  <c r="N221" i="14" s="1"/>
  <c r="K224" i="14"/>
  <c r="M224" i="14" s="1"/>
  <c r="N224" i="14" s="1"/>
  <c r="K226" i="14"/>
  <c r="M226" i="14" s="1"/>
  <c r="N226" i="14" s="1"/>
  <c r="K229" i="14"/>
  <c r="M229" i="14" s="1"/>
  <c r="N229" i="14" s="1"/>
  <c r="K231" i="14"/>
  <c r="M231" i="14" s="1"/>
  <c r="N231" i="14" s="1"/>
  <c r="K234" i="14"/>
  <c r="M234" i="14" s="1"/>
  <c r="N234" i="14" s="1"/>
  <c r="K236" i="14"/>
  <c r="M236" i="14" s="1"/>
  <c r="N236" i="14" s="1"/>
  <c r="K239" i="14"/>
  <c r="M239" i="14" s="1"/>
  <c r="N239" i="14" s="1"/>
  <c r="K241" i="14"/>
  <c r="M241" i="14" s="1"/>
  <c r="N241" i="14" s="1"/>
  <c r="K244" i="14"/>
  <c r="M244" i="14" s="1"/>
  <c r="N244" i="14" s="1"/>
  <c r="K246" i="14"/>
  <c r="M246" i="14" s="1"/>
  <c r="N246" i="14" s="1"/>
  <c r="K249" i="14"/>
  <c r="M249" i="14" s="1"/>
  <c r="N249" i="14" s="1"/>
  <c r="K265" i="14"/>
  <c r="M265" i="14" s="1"/>
  <c r="N265" i="14" s="1"/>
  <c r="K285" i="14"/>
  <c r="M285" i="14" s="1"/>
  <c r="N285" i="14" s="1"/>
  <c r="K290" i="14"/>
  <c r="M290" i="14" s="1"/>
  <c r="N290" i="14" s="1"/>
  <c r="K295" i="14"/>
  <c r="M295" i="14" s="1"/>
  <c r="N295" i="14" s="1"/>
  <c r="K300" i="14"/>
  <c r="M300" i="14" s="1"/>
  <c r="N300" i="14" s="1"/>
  <c r="K305" i="14"/>
  <c r="M305" i="14" s="1"/>
  <c r="N305" i="14" s="1"/>
  <c r="K310" i="14"/>
  <c r="M310" i="14" s="1"/>
  <c r="N310" i="14" s="1"/>
  <c r="K315" i="14"/>
  <c r="M315" i="14" s="1"/>
  <c r="N315" i="14" s="1"/>
  <c r="K320" i="14"/>
  <c r="M320" i="14" s="1"/>
  <c r="N320" i="14" s="1"/>
  <c r="K260" i="14"/>
  <c r="M260" i="14" s="1"/>
  <c r="N260" i="14" s="1"/>
  <c r="K270" i="14"/>
  <c r="M270" i="14" s="1"/>
  <c r="N270" i="14" s="1"/>
  <c r="K280" i="14"/>
  <c r="M280" i="14" s="1"/>
  <c r="N280" i="14" s="1"/>
  <c r="K330" i="14"/>
  <c r="M330" i="14" s="1"/>
  <c r="N330" i="14" s="1"/>
  <c r="K332" i="14"/>
  <c r="M332" i="14" s="1"/>
  <c r="N332" i="14" s="1"/>
  <c r="K335" i="14"/>
  <c r="M335" i="14" s="1"/>
  <c r="N335" i="14" s="1"/>
  <c r="K337" i="14"/>
  <c r="M337" i="14" s="1"/>
  <c r="N337" i="14" s="1"/>
  <c r="K340" i="14"/>
  <c r="M340" i="14" s="1"/>
  <c r="N340" i="14" s="1"/>
  <c r="K342" i="14"/>
  <c r="M342" i="14" s="1"/>
  <c r="N342" i="14" s="1"/>
  <c r="K345" i="14"/>
  <c r="M345" i="14" s="1"/>
  <c r="N345" i="14" s="1"/>
  <c r="K347" i="14"/>
  <c r="M347" i="14" s="1"/>
  <c r="N347" i="14" s="1"/>
  <c r="K350" i="14"/>
  <c r="M350" i="14" s="1"/>
  <c r="N350" i="14" s="1"/>
  <c r="K352" i="14"/>
  <c r="M352" i="14" s="1"/>
  <c r="N352" i="14" s="1"/>
  <c r="K355" i="14"/>
  <c r="M355" i="14" s="1"/>
  <c r="N355" i="14" s="1"/>
  <c r="K357" i="14"/>
  <c r="M357" i="14" s="1"/>
  <c r="N357" i="14" s="1"/>
  <c r="K360" i="14"/>
  <c r="M360" i="14" s="1"/>
  <c r="K386" i="14"/>
  <c r="M386" i="14" s="1"/>
  <c r="K390" i="14"/>
  <c r="M390" i="14" s="1"/>
  <c r="K262" i="14"/>
  <c r="M262" i="14" s="1"/>
  <c r="N262" i="14" s="1"/>
  <c r="K272" i="14"/>
  <c r="M272" i="14" s="1"/>
  <c r="N272" i="14" s="1"/>
  <c r="K282" i="14"/>
  <c r="M282" i="14" s="1"/>
  <c r="N282" i="14" s="1"/>
  <c r="K326" i="14"/>
  <c r="M326" i="14" s="1"/>
  <c r="K380" i="14"/>
  <c r="M380" i="14" s="1"/>
  <c r="N380" i="14" s="1"/>
  <c r="K426" i="14"/>
  <c r="M426" i="14" s="1"/>
  <c r="K435" i="14"/>
  <c r="M435" i="14" s="1"/>
  <c r="N435" i="14" s="1"/>
  <c r="K453" i="14"/>
  <c r="M453" i="14" s="1"/>
  <c r="K392" i="14"/>
  <c r="M392" i="14" s="1"/>
  <c r="K405" i="14"/>
  <c r="M405" i="14" s="1"/>
  <c r="K460" i="14"/>
  <c r="M460" i="14" s="1"/>
  <c r="K487" i="14"/>
  <c r="M487" i="14" s="1"/>
  <c r="K496" i="14"/>
  <c r="M496" i="14" s="1"/>
  <c r="N496" i="14" s="1"/>
  <c r="K499" i="14"/>
  <c r="M499" i="14" s="1"/>
  <c r="K514" i="14"/>
  <c r="M514" i="14" s="1"/>
  <c r="N514" i="14" s="1"/>
  <c r="K396" i="14"/>
  <c r="M396" i="14" s="1"/>
  <c r="K410" i="14"/>
  <c r="M410" i="14" s="1"/>
  <c r="N410" i="14" s="1"/>
  <c r="K436" i="14"/>
  <c r="M436" i="14" s="1"/>
  <c r="K440" i="14"/>
  <c r="M440" i="14" s="1"/>
  <c r="K473" i="14"/>
  <c r="M473" i="14" s="1"/>
  <c r="K486" i="14"/>
  <c r="M486" i="14" s="1"/>
  <c r="K498" i="14"/>
  <c r="M498" i="14" s="1"/>
  <c r="K507" i="14"/>
  <c r="M507" i="14" s="1"/>
  <c r="N507" i="14" s="1"/>
  <c r="K448" i="14"/>
  <c r="M448" i="14" s="1"/>
  <c r="N448" i="14" s="1"/>
  <c r="K451" i="14"/>
  <c r="M451" i="14" s="1"/>
  <c r="K462" i="14"/>
  <c r="M462" i="14" s="1"/>
  <c r="K472" i="14"/>
  <c r="M472" i="14" s="1"/>
  <c r="K483" i="14"/>
  <c r="M483" i="14" s="1"/>
  <c r="K493" i="14"/>
  <c r="M493" i="14" s="1"/>
  <c r="K508" i="14"/>
  <c r="M508" i="14" s="1"/>
  <c r="K520" i="14"/>
  <c r="M520" i="14" s="1"/>
  <c r="K546" i="14"/>
  <c r="M546" i="14" s="1"/>
  <c r="K443" i="14"/>
  <c r="M443" i="14" s="1"/>
  <c r="K458" i="14"/>
  <c r="M458" i="14" s="1"/>
  <c r="K468" i="14"/>
  <c r="M468" i="14" s="1"/>
  <c r="K479" i="14"/>
  <c r="M479" i="14" s="1"/>
  <c r="K492" i="14"/>
  <c r="M492" i="14" s="1"/>
  <c r="K504" i="14"/>
  <c r="M504" i="14" s="1"/>
  <c r="K542" i="14"/>
  <c r="M542" i="14" s="1"/>
  <c r="K565" i="14"/>
  <c r="M565" i="14" s="1"/>
  <c r="N565" i="14" s="1"/>
  <c r="K569" i="14"/>
  <c r="M569" i="14" s="1"/>
  <c r="N569" i="14" s="1"/>
  <c r="K572" i="14"/>
  <c r="M572" i="14" s="1"/>
  <c r="K576" i="14"/>
  <c r="M576" i="14" s="1"/>
  <c r="N576" i="14" s="1"/>
  <c r="K579" i="14"/>
  <c r="M579" i="14" s="1"/>
  <c r="Q8" i="13"/>
  <c r="O10" i="13"/>
  <c r="P10" i="13" s="1"/>
  <c r="Q12" i="13"/>
  <c r="O14" i="13"/>
  <c r="P14" i="13" s="1"/>
  <c r="Q16" i="13"/>
  <c r="O18" i="13"/>
  <c r="P18" i="13" s="1"/>
  <c r="Q20" i="13"/>
  <c r="O22" i="13"/>
  <c r="P22" i="13" s="1"/>
  <c r="Q24" i="13"/>
  <c r="O26" i="13"/>
  <c r="P26" i="13" s="1"/>
  <c r="O29" i="13"/>
  <c r="P29" i="13" s="1"/>
  <c r="O33" i="13"/>
  <c r="P33" i="13" s="1"/>
  <c r="O37" i="13"/>
  <c r="P37" i="13" s="1"/>
  <c r="O41" i="13"/>
  <c r="P41" i="13" s="1"/>
  <c r="O45" i="13"/>
  <c r="P45" i="13" s="1"/>
  <c r="O49" i="13"/>
  <c r="P49" i="13" s="1"/>
  <c r="O53" i="13"/>
  <c r="P53" i="13" s="1"/>
  <c r="O55" i="13"/>
  <c r="P55" i="13" s="1"/>
  <c r="O56" i="13"/>
  <c r="P56" i="13" s="1"/>
  <c r="Q56" i="13"/>
  <c r="Q58" i="13"/>
  <c r="O58" i="13"/>
  <c r="P58" i="13" s="1"/>
  <c r="Q31" i="13"/>
  <c r="Q35" i="13"/>
  <c r="Q39" i="13"/>
  <c r="Q43" i="13"/>
  <c r="Q47" i="13"/>
  <c r="Q51" i="13"/>
  <c r="O60" i="13"/>
  <c r="P60" i="13" s="1"/>
  <c r="Q60" i="13"/>
  <c r="O28" i="13"/>
  <c r="P28" i="13" s="1"/>
  <c r="Q54" i="13"/>
  <c r="E7" i="9"/>
  <c r="E8" i="9" s="1"/>
  <c r="E9" i="9" s="1"/>
  <c r="L8064" i="6"/>
  <c r="L8065" i="6" s="1"/>
  <c r="K8061" i="6"/>
  <c r="L8061" i="6" s="1"/>
  <c r="L8063" i="6" s="1"/>
  <c r="K8057" i="6"/>
  <c r="L8057" i="6" s="1"/>
  <c r="K8056" i="6"/>
  <c r="L8056" i="6" s="1"/>
  <c r="L8047" i="6"/>
  <c r="L8048" i="6" s="1"/>
  <c r="K8044" i="6"/>
  <c r="L8044" i="6" s="1"/>
  <c r="L8046" i="6" s="1"/>
  <c r="K8039" i="6"/>
  <c r="L8039" i="6" s="1"/>
  <c r="K8038" i="6"/>
  <c r="L8038" i="6" s="1"/>
  <c r="L8029" i="6"/>
  <c r="L8030" i="6" s="1"/>
  <c r="K8026" i="6"/>
  <c r="L8026" i="6" s="1"/>
  <c r="L8028" i="6" s="1"/>
  <c r="K8021" i="6"/>
  <c r="L8021" i="6" s="1"/>
  <c r="K8020" i="6"/>
  <c r="L8020" i="6" s="1"/>
  <c r="L8011" i="6"/>
  <c r="L8012" i="6" s="1"/>
  <c r="K8008" i="6"/>
  <c r="L8008" i="6" s="1"/>
  <c r="L8010" i="6" s="1"/>
  <c r="K8003" i="6"/>
  <c r="L8003" i="6" s="1"/>
  <c r="K8002" i="6"/>
  <c r="L8002" i="6" s="1"/>
  <c r="L7993" i="6"/>
  <c r="L7994" i="6" s="1"/>
  <c r="K7991" i="6"/>
  <c r="L7991" i="6" s="1"/>
  <c r="K7990" i="6"/>
  <c r="L7990" i="6" s="1"/>
  <c r="K7989" i="6"/>
  <c r="L7989" i="6" s="1"/>
  <c r="K7988" i="6"/>
  <c r="L7988" i="6" s="1"/>
  <c r="K7987" i="6"/>
  <c r="L7987" i="6" s="1"/>
  <c r="K7986" i="6"/>
  <c r="L7986" i="6" s="1"/>
  <c r="K7985" i="6"/>
  <c r="L7985" i="6" s="1"/>
  <c r="K7984" i="6"/>
  <c r="L7984" i="6" s="1"/>
  <c r="K7979" i="6"/>
  <c r="L7979" i="6" s="1"/>
  <c r="K7978" i="6"/>
  <c r="L7978" i="6" s="1"/>
  <c r="L7969" i="6"/>
  <c r="L7970" i="6" s="1"/>
  <c r="K7967" i="6"/>
  <c r="L7967" i="6" s="1"/>
  <c r="K7966" i="6"/>
  <c r="L7966" i="6" s="1"/>
  <c r="K7965" i="6"/>
  <c r="L7965" i="6" s="1"/>
  <c r="K7964" i="6"/>
  <c r="L7964" i="6" s="1"/>
  <c r="K7963" i="6"/>
  <c r="L7963" i="6" s="1"/>
  <c r="K7962" i="6"/>
  <c r="L7962" i="6" s="1"/>
  <c r="K7961" i="6"/>
  <c r="L7961" i="6" s="1"/>
  <c r="K7960" i="6"/>
  <c r="L7960" i="6" s="1"/>
  <c r="K7959" i="6"/>
  <c r="L7959" i="6" s="1"/>
  <c r="Y432" i="18" l="1"/>
  <c r="H90" i="5" s="1"/>
  <c r="J15" i="4"/>
  <c r="Y49" i="18"/>
  <c r="H14" i="5" s="1"/>
  <c r="J41" i="14" s="1"/>
  <c r="J42" i="14" s="1"/>
  <c r="K42" i="14" s="1"/>
  <c r="M42" i="14" s="1"/>
  <c r="V165" i="23"/>
  <c r="V172" i="23"/>
  <c r="V261" i="23"/>
  <c r="V159" i="23"/>
  <c r="V190" i="23"/>
  <c r="V44" i="23"/>
  <c r="V229" i="23"/>
  <c r="V123" i="23"/>
  <c r="L272" i="23"/>
  <c r="V139" i="23"/>
  <c r="V25" i="23"/>
  <c r="V212" i="23"/>
  <c r="V17" i="23"/>
  <c r="O272" i="23"/>
  <c r="K23" i="14"/>
  <c r="M23" i="14" s="1"/>
  <c r="N23" i="14" s="1"/>
  <c r="R6" i="24"/>
  <c r="P5" i="24"/>
  <c r="AR35" i="24"/>
  <c r="L7992" i="6"/>
  <c r="L7968" i="6"/>
  <c r="K7956" i="6" s="1"/>
  <c r="L7956" i="6" s="1"/>
  <c r="K41" i="14" l="1"/>
  <c r="M41" i="14" s="1"/>
  <c r="N41" i="14" s="1"/>
  <c r="V272" i="23"/>
  <c r="T6" i="24"/>
  <c r="R5" i="24"/>
  <c r="L7957" i="6"/>
  <c r="L7971" i="6" s="1"/>
  <c r="T5" i="24" l="1"/>
  <c r="V6" i="24"/>
  <c r="L7972" i="6"/>
  <c r="L7973" i="6" s="1"/>
  <c r="M7953" i="6" s="1"/>
  <c r="V5" i="24" l="1"/>
  <c r="X6" i="24"/>
  <c r="K153" i="8"/>
  <c r="K155" i="8"/>
  <c r="K211" i="8"/>
  <c r="E7" i="8"/>
  <c r="Z6" i="24" l="1"/>
  <c r="X5" i="24"/>
  <c r="H455" i="7"/>
  <c r="H456" i="7"/>
  <c r="H457" i="7"/>
  <c r="H458" i="7"/>
  <c r="AB6" i="24" l="1"/>
  <c r="Z5" i="24"/>
  <c r="I60" i="12"/>
  <c r="H61" i="11"/>
  <c r="J118" i="4"/>
  <c r="I107" i="12"/>
  <c r="H108" i="11"/>
  <c r="J115" i="4"/>
  <c r="I104" i="12"/>
  <c r="H105" i="11"/>
  <c r="J111" i="4"/>
  <c r="I100" i="12"/>
  <c r="H101" i="11"/>
  <c r="J110" i="4"/>
  <c r="I99" i="12"/>
  <c r="H100" i="11"/>
  <c r="J112" i="4"/>
  <c r="I101" i="12"/>
  <c r="H102" i="11"/>
  <c r="J120" i="4"/>
  <c r="I109" i="12"/>
  <c r="H110" i="11"/>
  <c r="J109" i="4"/>
  <c r="I98" i="12"/>
  <c r="H99" i="11"/>
  <c r="J116" i="4"/>
  <c r="I105" i="12"/>
  <c r="H106" i="11"/>
  <c r="J121" i="4"/>
  <c r="L121" i="4" s="1"/>
  <c r="I110" i="12"/>
  <c r="K110" i="12" s="1"/>
  <c r="H111" i="11"/>
  <c r="J111" i="11" s="1"/>
  <c r="AD6" i="24" l="1"/>
  <c r="AB5" i="24"/>
  <c r="J114" i="4"/>
  <c r="I103" i="12"/>
  <c r="H104" i="11"/>
  <c r="J117" i="4"/>
  <c r="I106" i="12"/>
  <c r="H107" i="11"/>
  <c r="J113" i="4"/>
  <c r="I102" i="12"/>
  <c r="H103" i="11"/>
  <c r="J119" i="4"/>
  <c r="I108" i="12"/>
  <c r="H109" i="11"/>
  <c r="AD5" i="24" l="1"/>
  <c r="AF6" i="24"/>
  <c r="J66" i="4"/>
  <c r="H285" i="7"/>
  <c r="H286" i="7"/>
  <c r="H287" i="7"/>
  <c r="K5120" i="6"/>
  <c r="L5120" i="6" s="1"/>
  <c r="K5121" i="6"/>
  <c r="L5121" i="6" s="1"/>
  <c r="K5122" i="6"/>
  <c r="L5122" i="6" s="1"/>
  <c r="L5104" i="6"/>
  <c r="L5105" i="6" s="1"/>
  <c r="K5102" i="6"/>
  <c r="L5102" i="6" s="1"/>
  <c r="K5101" i="6"/>
  <c r="L5101" i="6" s="1"/>
  <c r="K5095" i="6"/>
  <c r="L5095" i="6" s="1"/>
  <c r="L5125" i="6"/>
  <c r="L5126" i="6" s="1"/>
  <c r="K5119" i="6"/>
  <c r="L5119" i="6" s="1"/>
  <c r="K5113" i="6"/>
  <c r="L5113" i="6" s="1"/>
  <c r="K11" i="6"/>
  <c r="K5043" i="6"/>
  <c r="L5043" i="6" s="1"/>
  <c r="L5046" i="6"/>
  <c r="L5047" i="6" s="1"/>
  <c r="K5044" i="6"/>
  <c r="L5044" i="6" s="1"/>
  <c r="K5037" i="6"/>
  <c r="L5037" i="6" s="1"/>
  <c r="AH6" i="24" l="1"/>
  <c r="AF5" i="24"/>
  <c r="J76" i="4"/>
  <c r="I68" i="12"/>
  <c r="H69" i="11"/>
  <c r="J90" i="4"/>
  <c r="I81" i="12"/>
  <c r="H82" i="11"/>
  <c r="J77" i="4"/>
  <c r="I69" i="12"/>
  <c r="H70" i="11"/>
  <c r="J87" i="4"/>
  <c r="I78" i="12"/>
  <c r="H79" i="11"/>
  <c r="J91" i="4"/>
  <c r="I82" i="12"/>
  <c r="H83" i="11"/>
  <c r="J95" i="4"/>
  <c r="I86" i="12"/>
  <c r="H87" i="11"/>
  <c r="J88" i="4"/>
  <c r="I79" i="12"/>
  <c r="H80" i="11"/>
  <c r="J96" i="4"/>
  <c r="I87" i="12"/>
  <c r="H88" i="11"/>
  <c r="J86" i="4"/>
  <c r="I77" i="12"/>
  <c r="H78" i="11"/>
  <c r="J94" i="4"/>
  <c r="I85" i="12"/>
  <c r="H86" i="11"/>
  <c r="J78" i="4"/>
  <c r="I70" i="12"/>
  <c r="H71" i="11"/>
  <c r="J92" i="4"/>
  <c r="I83" i="12"/>
  <c r="H84" i="11"/>
  <c r="J75" i="4"/>
  <c r="I67" i="12"/>
  <c r="H68" i="11"/>
  <c r="J85" i="4"/>
  <c r="I76" i="12"/>
  <c r="H77" i="11"/>
  <c r="J89" i="4"/>
  <c r="I80" i="12"/>
  <c r="H81" i="11"/>
  <c r="J93" i="4"/>
  <c r="I84" i="12"/>
  <c r="H85" i="11"/>
  <c r="L5103" i="6"/>
  <c r="L5124" i="6"/>
  <c r="L5045" i="6"/>
  <c r="M41" i="9"/>
  <c r="M40" i="9"/>
  <c r="N37" i="9"/>
  <c r="M37" i="9" s="1"/>
  <c r="N36" i="9"/>
  <c r="M36" i="9" s="1"/>
  <c r="N35" i="9"/>
  <c r="M35" i="9" s="1"/>
  <c r="N34" i="9"/>
  <c r="M34" i="9" s="1"/>
  <c r="N33" i="9"/>
  <c r="M33" i="9" s="1"/>
  <c r="N32" i="9"/>
  <c r="M32" i="9" s="1"/>
  <c r="N28" i="9"/>
  <c r="M28" i="9" s="1"/>
  <c r="N27" i="9"/>
  <c r="M27" i="9" s="1"/>
  <c r="N26" i="9"/>
  <c r="M26" i="9" s="1"/>
  <c r="N25" i="9"/>
  <c r="M25" i="9" s="1"/>
  <c r="N24" i="9"/>
  <c r="N38" i="9" s="1"/>
  <c r="N23" i="9"/>
  <c r="M23" i="9" s="1"/>
  <c r="N22" i="9"/>
  <c r="M22" i="9" s="1"/>
  <c r="N21" i="9"/>
  <c r="M21" i="9" s="1"/>
  <c r="N20" i="9"/>
  <c r="M20" i="9" s="1"/>
  <c r="N19" i="9"/>
  <c r="M19" i="9" s="1"/>
  <c r="N18" i="9"/>
  <c r="M18" i="9" s="1"/>
  <c r="N17" i="9"/>
  <c r="M17" i="9" s="1"/>
  <c r="N16" i="9"/>
  <c r="M16" i="9" s="1"/>
  <c r="N15" i="9"/>
  <c r="M15" i="9" s="1"/>
  <c r="N14" i="9"/>
  <c r="M14" i="9" s="1"/>
  <c r="N13" i="9"/>
  <c r="N12" i="9"/>
  <c r="N11" i="9"/>
  <c r="M11" i="9" s="1"/>
  <c r="N10" i="9"/>
  <c r="M10" i="9" s="1"/>
  <c r="E10" i="9"/>
  <c r="E11" i="9" s="1"/>
  <c r="E12" i="9" s="1"/>
  <c r="E13" i="9" s="1"/>
  <c r="E14" i="9" s="1"/>
  <c r="M9" i="9"/>
  <c r="M8" i="9"/>
  <c r="M7" i="9"/>
  <c r="M6" i="9"/>
  <c r="E490" i="8"/>
  <c r="E491" i="8" s="1"/>
  <c r="E492" i="8" s="1"/>
  <c r="E493" i="8" s="1"/>
  <c r="E494" i="8" s="1"/>
  <c r="E495" i="8" s="1"/>
  <c r="E496" i="8" s="1"/>
  <c r="E497" i="8" s="1"/>
  <c r="E498" i="8" s="1"/>
  <c r="E499" i="8" s="1"/>
  <c r="E500" i="8" s="1"/>
  <c r="E501" i="8" s="1"/>
  <c r="E502" i="8" s="1"/>
  <c r="E503" i="8" s="1"/>
  <c r="K381" i="8"/>
  <c r="K6995" i="6" s="1"/>
  <c r="L6995" i="6" s="1"/>
  <c r="L6996" i="6" s="1"/>
  <c r="K200" i="8"/>
  <c r="K199" i="8"/>
  <c r="K1211" i="6" s="1"/>
  <c r="L1211" i="6" s="1"/>
  <c r="K198" i="8"/>
  <c r="K141" i="8"/>
  <c r="K126" i="8"/>
  <c r="E8" i="8"/>
  <c r="E9" i="8" s="1"/>
  <c r="E10" i="8" s="1"/>
  <c r="E11" i="8" s="1"/>
  <c r="E12" i="8" s="1"/>
  <c r="E13" i="8" s="1"/>
  <c r="E14" i="8" s="1"/>
  <c r="E15" i="8" s="1"/>
  <c r="E16" i="8" s="1"/>
  <c r="E17" i="8" s="1"/>
  <c r="E18" i="8" s="1"/>
  <c r="E19" i="8" s="1"/>
  <c r="E20" i="8" s="1"/>
  <c r="E21" i="8" s="1"/>
  <c r="E22" i="8" s="1"/>
  <c r="E23" i="8" s="1"/>
  <c r="E24" i="8" s="1"/>
  <c r="E25" i="8" s="1"/>
  <c r="E26" i="8" s="1"/>
  <c r="E27" i="8" s="1"/>
  <c r="E28" i="8" s="1"/>
  <c r="E29" i="8" s="1"/>
  <c r="E30" i="8" s="1"/>
  <c r="E31" i="8" s="1"/>
  <c r="E32" i="8" s="1"/>
  <c r="E33" i="8" s="1"/>
  <c r="E34" i="8" s="1"/>
  <c r="E35" i="8" s="1"/>
  <c r="E36" i="8" s="1"/>
  <c r="E37" i="8" s="1"/>
  <c r="E38" i="8" s="1"/>
  <c r="E39" i="8" s="1"/>
  <c r="E40" i="8" s="1"/>
  <c r="E41" i="8" s="1"/>
  <c r="E42" i="8" s="1"/>
  <c r="E43" i="8" s="1"/>
  <c r="E44" i="8" s="1"/>
  <c r="E45" i="8" s="1"/>
  <c r="E46" i="8" s="1"/>
  <c r="E47" i="8" s="1"/>
  <c r="E48" i="8" s="1"/>
  <c r="E49" i="8" s="1"/>
  <c r="E50" i="8" s="1"/>
  <c r="E51" i="8" s="1"/>
  <c r="E52" i="8" s="1"/>
  <c r="E53" i="8" s="1"/>
  <c r="E54" i="8" s="1"/>
  <c r="E55" i="8" s="1"/>
  <c r="E56" i="8" s="1"/>
  <c r="E57" i="8" s="1"/>
  <c r="E58" i="8" s="1"/>
  <c r="E59" i="8" s="1"/>
  <c r="E60" i="8" s="1"/>
  <c r="E61" i="8" s="1"/>
  <c r="E62" i="8" s="1"/>
  <c r="E63" i="8" s="1"/>
  <c r="E64" i="8" s="1"/>
  <c r="E65" i="8" s="1"/>
  <c r="E66" i="8" s="1"/>
  <c r="E67" i="8" s="1"/>
  <c r="E68" i="8" s="1"/>
  <c r="E69" i="8" s="1"/>
  <c r="E70" i="8" s="1"/>
  <c r="E71" i="8" s="1"/>
  <c r="E72" i="8" s="1"/>
  <c r="E73" i="8" s="1"/>
  <c r="E74" i="8" s="1"/>
  <c r="E75" i="8" s="1"/>
  <c r="E76" i="8" s="1"/>
  <c r="E77" i="8" s="1"/>
  <c r="E78" i="8" s="1"/>
  <c r="E79" i="8" s="1"/>
  <c r="E80" i="8" s="1"/>
  <c r="E81" i="8" s="1"/>
  <c r="E82" i="8" s="1"/>
  <c r="E83" i="8" s="1"/>
  <c r="E84" i="8" s="1"/>
  <c r="E85" i="8" s="1"/>
  <c r="E86" i="8" s="1"/>
  <c r="E87" i="8" s="1"/>
  <c r="E88" i="8" s="1"/>
  <c r="E89" i="8" s="1"/>
  <c r="E90" i="8" s="1"/>
  <c r="E91" i="8" s="1"/>
  <c r="E92" i="8" s="1"/>
  <c r="E93" i="8" s="1"/>
  <c r="E94" i="8" s="1"/>
  <c r="E95" i="8" s="1"/>
  <c r="E96" i="8" s="1"/>
  <c r="E97" i="8" s="1"/>
  <c r="E98" i="8" s="1"/>
  <c r="E99" i="8" s="1"/>
  <c r="E100" i="8" s="1"/>
  <c r="E101" i="8" s="1"/>
  <c r="E102" i="8" s="1"/>
  <c r="E103" i="8" s="1"/>
  <c r="E104" i="8" s="1"/>
  <c r="E105" i="8" s="1"/>
  <c r="E106" i="8" s="1"/>
  <c r="E107" i="8" s="1"/>
  <c r="E108" i="8" s="1"/>
  <c r="E109" i="8" s="1"/>
  <c r="E110" i="8" s="1"/>
  <c r="E111" i="8" s="1"/>
  <c r="E112" i="8" s="1"/>
  <c r="E113" i="8" s="1"/>
  <c r="E114" i="8" s="1"/>
  <c r="E115" i="8" s="1"/>
  <c r="E116" i="8" s="1"/>
  <c r="E117" i="8" s="1"/>
  <c r="E118" i="8" s="1"/>
  <c r="E119" i="8" s="1"/>
  <c r="E120" i="8" s="1"/>
  <c r="E121" i="8" s="1"/>
  <c r="E122" i="8" s="1"/>
  <c r="E123" i="8" s="1"/>
  <c r="E124" i="8" s="1"/>
  <c r="E125" i="8" s="1"/>
  <c r="E126" i="8" s="1"/>
  <c r="E127" i="8" s="1"/>
  <c r="E128" i="8" s="1"/>
  <c r="E129" i="8" s="1"/>
  <c r="E130" i="8" s="1"/>
  <c r="E131" i="8" s="1"/>
  <c r="E132" i="8" s="1"/>
  <c r="E133" i="8" s="1"/>
  <c r="E134" i="8" s="1"/>
  <c r="E135" i="8" s="1"/>
  <c r="E136" i="8" s="1"/>
  <c r="E137" i="8" s="1"/>
  <c r="E138" i="8" s="1"/>
  <c r="E139" i="8" s="1"/>
  <c r="E140" i="8" s="1"/>
  <c r="E141" i="8" s="1"/>
  <c r="E142" i="8" s="1"/>
  <c r="E143" i="8" s="1"/>
  <c r="E144" i="8" s="1"/>
  <c r="E145" i="8" s="1"/>
  <c r="E146" i="8" s="1"/>
  <c r="E147" i="8" s="1"/>
  <c r="E148" i="8" s="1"/>
  <c r="E149" i="8" s="1"/>
  <c r="E150" i="8" s="1"/>
  <c r="E151" i="8" s="1"/>
  <c r="E152" i="8" s="1"/>
  <c r="E153" i="8" s="1"/>
  <c r="H454" i="7"/>
  <c r="H453" i="7"/>
  <c r="H449" i="7"/>
  <c r="H448" i="7"/>
  <c r="H447" i="7"/>
  <c r="H446" i="7"/>
  <c r="H445" i="7"/>
  <c r="H444" i="7"/>
  <c r="H443" i="7"/>
  <c r="H442" i="7"/>
  <c r="H441" i="7"/>
  <c r="H440" i="7"/>
  <c r="H439" i="7"/>
  <c r="H438" i="7"/>
  <c r="H437" i="7"/>
  <c r="H436" i="7"/>
  <c r="H435" i="7"/>
  <c r="H434" i="7"/>
  <c r="H433" i="7"/>
  <c r="H432" i="7"/>
  <c r="H431" i="7"/>
  <c r="H430" i="7"/>
  <c r="H429" i="7"/>
  <c r="H428" i="7"/>
  <c r="H427" i="7"/>
  <c r="H426" i="7"/>
  <c r="H425" i="7"/>
  <c r="H424" i="7"/>
  <c r="H423" i="7"/>
  <c r="H422" i="7"/>
  <c r="H421" i="7"/>
  <c r="H420" i="7"/>
  <c r="H419" i="7"/>
  <c r="H418" i="7"/>
  <c r="H417" i="7"/>
  <c r="H416" i="7"/>
  <c r="H415" i="7"/>
  <c r="H414" i="7"/>
  <c r="H411" i="7"/>
  <c r="H410" i="7"/>
  <c r="H409" i="7"/>
  <c r="H408" i="7"/>
  <c r="H407" i="7"/>
  <c r="H406" i="7"/>
  <c r="H405" i="7"/>
  <c r="H404" i="7"/>
  <c r="H403" i="7"/>
  <c r="H402" i="7"/>
  <c r="H401" i="7"/>
  <c r="H400" i="7"/>
  <c r="H399" i="7"/>
  <c r="H398" i="7"/>
  <c r="H397" i="7"/>
  <c r="H396" i="7"/>
  <c r="H395" i="7"/>
  <c r="H394" i="7"/>
  <c r="H393" i="7"/>
  <c r="H392" i="7"/>
  <c r="H391" i="7"/>
  <c r="H390" i="7"/>
  <c r="H387" i="7"/>
  <c r="H386" i="7"/>
  <c r="H385" i="7"/>
  <c r="H384" i="7"/>
  <c r="H383" i="7"/>
  <c r="H382" i="7"/>
  <c r="H381" i="7"/>
  <c r="H380" i="7"/>
  <c r="H379" i="7"/>
  <c r="H378" i="7"/>
  <c r="H377" i="7"/>
  <c r="H376" i="7"/>
  <c r="H375" i="7"/>
  <c r="H374" i="7"/>
  <c r="H373" i="7"/>
  <c r="H372" i="7"/>
  <c r="H371" i="7"/>
  <c r="H370" i="7"/>
  <c r="H369" i="7"/>
  <c r="H368" i="7"/>
  <c r="H367" i="7"/>
  <c r="H366" i="7"/>
  <c r="H365" i="7"/>
  <c r="H362" i="7"/>
  <c r="H361" i="7"/>
  <c r="H360" i="7"/>
  <c r="H359" i="7"/>
  <c r="H358" i="7"/>
  <c r="H357" i="7"/>
  <c r="H356" i="7"/>
  <c r="H355" i="7"/>
  <c r="H354" i="7"/>
  <c r="H353" i="7"/>
  <c r="H352" i="7"/>
  <c r="H351" i="7"/>
  <c r="H350" i="7"/>
  <c r="H349" i="7"/>
  <c r="H348" i="7"/>
  <c r="H347" i="7"/>
  <c r="H346" i="7"/>
  <c r="H345" i="7"/>
  <c r="H344" i="7"/>
  <c r="H343" i="7"/>
  <c r="H342" i="7"/>
  <c r="H341" i="7"/>
  <c r="H340" i="7"/>
  <c r="H339" i="7"/>
  <c r="H338" i="7"/>
  <c r="H337" i="7"/>
  <c r="H336" i="7"/>
  <c r="H335" i="7"/>
  <c r="H332" i="7"/>
  <c r="H331" i="7"/>
  <c r="H330" i="7"/>
  <c r="H329" i="7"/>
  <c r="H328" i="7"/>
  <c r="H327" i="7"/>
  <c r="H326" i="7"/>
  <c r="H325" i="7"/>
  <c r="H324" i="7"/>
  <c r="H323" i="7"/>
  <c r="H322" i="7"/>
  <c r="H321" i="7"/>
  <c r="H320" i="7"/>
  <c r="H319" i="7"/>
  <c r="H318" i="7"/>
  <c r="H317" i="7"/>
  <c r="H316" i="7"/>
  <c r="H315" i="7"/>
  <c r="H314" i="7"/>
  <c r="H313" i="7"/>
  <c r="H312" i="7"/>
  <c r="H311" i="7"/>
  <c r="H310" i="7"/>
  <c r="H309" i="7"/>
  <c r="H308" i="7"/>
  <c r="H307" i="7"/>
  <c r="H306" i="7"/>
  <c r="H305" i="7"/>
  <c r="H304" i="7"/>
  <c r="H303" i="7"/>
  <c r="H302" i="7"/>
  <c r="H301" i="7"/>
  <c r="H300" i="7"/>
  <c r="H299" i="7"/>
  <c r="H298" i="7"/>
  <c r="H297" i="7"/>
  <c r="H296" i="7"/>
  <c r="H295" i="7"/>
  <c r="H294" i="7"/>
  <c r="H293" i="7"/>
  <c r="H292" i="7"/>
  <c r="H291" i="7"/>
  <c r="H290" i="7"/>
  <c r="H284" i="7"/>
  <c r="H283" i="7"/>
  <c r="H282" i="7"/>
  <c r="H281" i="7"/>
  <c r="H280" i="7"/>
  <c r="H279" i="7"/>
  <c r="H278" i="7"/>
  <c r="H277" i="7"/>
  <c r="H276" i="7"/>
  <c r="H275" i="7"/>
  <c r="H272" i="7"/>
  <c r="H271" i="7"/>
  <c r="H270" i="7"/>
  <c r="H269" i="7"/>
  <c r="H268" i="7"/>
  <c r="H267" i="7"/>
  <c r="H266" i="7"/>
  <c r="H265" i="7"/>
  <c r="H264" i="7"/>
  <c r="H263" i="7"/>
  <c r="H262" i="7"/>
  <c r="H261" i="7"/>
  <c r="H260" i="7"/>
  <c r="H259" i="7"/>
  <c r="H258" i="7"/>
  <c r="H257" i="7"/>
  <c r="H256" i="7"/>
  <c r="H255" i="7"/>
  <c r="H254" i="7"/>
  <c r="H253" i="7"/>
  <c r="H252" i="7"/>
  <c r="H251" i="7"/>
  <c r="H250" i="7"/>
  <c r="H249" i="7"/>
  <c r="H248" i="7"/>
  <c r="H247" i="7"/>
  <c r="H246" i="7"/>
  <c r="H245" i="7"/>
  <c r="H244" i="7"/>
  <c r="H243" i="7"/>
  <c r="H242" i="7"/>
  <c r="H241" i="7"/>
  <c r="H240" i="7"/>
  <c r="H239" i="7"/>
  <c r="H238" i="7"/>
  <c r="H237" i="7"/>
  <c r="H236" i="7"/>
  <c r="H235" i="7"/>
  <c r="H234" i="7"/>
  <c r="H233" i="7"/>
  <c r="H232" i="7"/>
  <c r="H231" i="7"/>
  <c r="H230" i="7"/>
  <c r="H229" i="7"/>
  <c r="H228" i="7"/>
  <c r="H227" i="7"/>
  <c r="H226" i="7"/>
  <c r="H225" i="7"/>
  <c r="H224" i="7"/>
  <c r="H223" i="7"/>
  <c r="H222" i="7"/>
  <c r="H221" i="7"/>
  <c r="H220" i="7"/>
  <c r="H219" i="7"/>
  <c r="H218" i="7"/>
  <c r="H217" i="7"/>
  <c r="H216" i="7"/>
  <c r="H215" i="7"/>
  <c r="H214" i="7"/>
  <c r="H213" i="7"/>
  <c r="H212" i="7"/>
  <c r="H211" i="7"/>
  <c r="H210" i="7"/>
  <c r="H209" i="7"/>
  <c r="H208" i="7"/>
  <c r="H207" i="7"/>
  <c r="H206" i="7"/>
  <c r="H205" i="7"/>
  <c r="H202" i="7"/>
  <c r="H201" i="7"/>
  <c r="H200" i="7"/>
  <c r="H199" i="7"/>
  <c r="H198" i="7"/>
  <c r="H197" i="7"/>
  <c r="H196" i="7"/>
  <c r="H195" i="7"/>
  <c r="H194" i="7"/>
  <c r="H193" i="7"/>
  <c r="H192" i="7"/>
  <c r="H191" i="7"/>
  <c r="H190" i="7"/>
  <c r="H189" i="7"/>
  <c r="H188" i="7"/>
  <c r="H187" i="7"/>
  <c r="H186" i="7"/>
  <c r="H185" i="7"/>
  <c r="H184" i="7"/>
  <c r="H183" i="7"/>
  <c r="H182" i="7"/>
  <c r="H181" i="7"/>
  <c r="H180" i="7"/>
  <c r="H179" i="7"/>
  <c r="H178" i="7"/>
  <c r="H177" i="7"/>
  <c r="H176" i="7"/>
  <c r="H175" i="7"/>
  <c r="H174" i="7"/>
  <c r="H171" i="7"/>
  <c r="H170" i="7"/>
  <c r="H169" i="7"/>
  <c r="H168" i="7"/>
  <c r="H167" i="7"/>
  <c r="H166" i="7"/>
  <c r="H165" i="7"/>
  <c r="H164" i="7"/>
  <c r="H163" i="7"/>
  <c r="H162" i="7"/>
  <c r="H161" i="7"/>
  <c r="H160" i="7"/>
  <c r="H159" i="7"/>
  <c r="H158" i="7"/>
  <c r="H157" i="7"/>
  <c r="H156" i="7"/>
  <c r="H155" i="7"/>
  <c r="H154" i="7"/>
  <c r="H153" i="7"/>
  <c r="H152" i="7"/>
  <c r="H151" i="7"/>
  <c r="H150" i="7"/>
  <c r="H149" i="7"/>
  <c r="H148" i="7"/>
  <c r="H147" i="7"/>
  <c r="H146" i="7"/>
  <c r="H143" i="7"/>
  <c r="H142" i="7"/>
  <c r="H141" i="7"/>
  <c r="H140" i="7"/>
  <c r="H139" i="7"/>
  <c r="H138" i="7"/>
  <c r="H137" i="7"/>
  <c r="H136" i="7"/>
  <c r="H135" i="7"/>
  <c r="H134" i="7"/>
  <c r="H133" i="7"/>
  <c r="H132" i="7"/>
  <c r="H131" i="7"/>
  <c r="H130" i="7"/>
  <c r="H129" i="7"/>
  <c r="H128" i="7"/>
  <c r="H127" i="7"/>
  <c r="H126" i="7"/>
  <c r="H125" i="7"/>
  <c r="H124" i="7"/>
  <c r="H123" i="7"/>
  <c r="H122" i="7"/>
  <c r="H121" i="7"/>
  <c r="H120" i="7"/>
  <c r="H119" i="7"/>
  <c r="H116" i="7"/>
  <c r="H115" i="7"/>
  <c r="H114" i="7"/>
  <c r="H113" i="7"/>
  <c r="H112" i="7"/>
  <c r="H111" i="7"/>
  <c r="H110" i="7"/>
  <c r="H109" i="7"/>
  <c r="H108" i="7"/>
  <c r="H107" i="7"/>
  <c r="H106" i="7"/>
  <c r="H105" i="7"/>
  <c r="H104" i="7"/>
  <c r="H103" i="7"/>
  <c r="H102" i="7"/>
  <c r="H101" i="7"/>
  <c r="H100" i="7"/>
  <c r="H99" i="7"/>
  <c r="H98" i="7"/>
  <c r="H97" i="7"/>
  <c r="H96" i="7"/>
  <c r="H95" i="7"/>
  <c r="H94" i="7"/>
  <c r="H93"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E55" i="7"/>
  <c r="E56" i="7" s="1"/>
  <c r="E57" i="7" s="1"/>
  <c r="E58" i="7" s="1"/>
  <c r="E59" i="7" s="1"/>
  <c r="E60" i="7" s="1"/>
  <c r="E61" i="7" s="1"/>
  <c r="E62" i="7" s="1"/>
  <c r="E63" i="7" s="1"/>
  <c r="E64" i="7" s="1"/>
  <c r="E65" i="7" s="1"/>
  <c r="E66" i="7" s="1"/>
  <c r="E67" i="7" s="1"/>
  <c r="E68" i="7" s="1"/>
  <c r="E69" i="7" s="1"/>
  <c r="E70" i="7" s="1"/>
  <c r="E71" i="7" s="1"/>
  <c r="E72" i="7" s="1"/>
  <c r="E73" i="7" s="1"/>
  <c r="E74" i="7" s="1"/>
  <c r="E75" i="7" s="1"/>
  <c r="E76" i="7" s="1"/>
  <c r="E77" i="7" s="1"/>
  <c r="E78" i="7" s="1"/>
  <c r="E79" i="7" s="1"/>
  <c r="E80" i="7" s="1"/>
  <c r="E81" i="7" s="1"/>
  <c r="E82" i="7" s="1"/>
  <c r="E83" i="7" s="1"/>
  <c r="E84" i="7" s="1"/>
  <c r="E85" i="7" s="1"/>
  <c r="E86" i="7" s="1"/>
  <c r="E87" i="7" s="1"/>
  <c r="E88" i="7" s="1"/>
  <c r="E89" i="7" s="1"/>
  <c r="E90" i="7" s="1"/>
  <c r="E93" i="7" s="1"/>
  <c r="E94" i="7" s="1"/>
  <c r="E95" i="7" s="1"/>
  <c r="E96" i="7" s="1"/>
  <c r="E97" i="7" s="1"/>
  <c r="E98" i="7" s="1"/>
  <c r="E99" i="7" s="1"/>
  <c r="E100" i="7" s="1"/>
  <c r="E101" i="7" s="1"/>
  <c r="E102" i="7" s="1"/>
  <c r="E103" i="7" s="1"/>
  <c r="E104" i="7" s="1"/>
  <c r="E105" i="7" s="1"/>
  <c r="E106" i="7" s="1"/>
  <c r="E107" i="7" s="1"/>
  <c r="E108" i="7" s="1"/>
  <c r="E109" i="7" s="1"/>
  <c r="E110" i="7" s="1"/>
  <c r="E111" i="7" s="1"/>
  <c r="E112" i="7" s="1"/>
  <c r="E113" i="7" s="1"/>
  <c r="E114" i="7" s="1"/>
  <c r="E115" i="7" s="1"/>
  <c r="E116" i="7" s="1"/>
  <c r="E119" i="7" s="1"/>
  <c r="E120" i="7" s="1"/>
  <c r="E121" i="7" s="1"/>
  <c r="E122" i="7" s="1"/>
  <c r="E123" i="7" s="1"/>
  <c r="E124" i="7" s="1"/>
  <c r="E125" i="7" s="1"/>
  <c r="E126" i="7" s="1"/>
  <c r="E127" i="7" s="1"/>
  <c r="E128" i="7" s="1"/>
  <c r="E129" i="7" s="1"/>
  <c r="E130" i="7" s="1"/>
  <c r="E131" i="7" s="1"/>
  <c r="E132" i="7" s="1"/>
  <c r="E133" i="7" s="1"/>
  <c r="E134" i="7" s="1"/>
  <c r="E135" i="7" s="1"/>
  <c r="E136" i="7" s="1"/>
  <c r="E137" i="7" s="1"/>
  <c r="E138" i="7" s="1"/>
  <c r="E139" i="7" s="1"/>
  <c r="E140" i="7" s="1"/>
  <c r="E141" i="7" s="1"/>
  <c r="E142" i="7" s="1"/>
  <c r="E143" i="7" s="1"/>
  <c r="E146" i="7" s="1"/>
  <c r="E147" i="7" s="1"/>
  <c r="E148" i="7" s="1"/>
  <c r="E149" i="7" s="1"/>
  <c r="E150" i="7" s="1"/>
  <c r="E151" i="7" s="1"/>
  <c r="E152" i="7" s="1"/>
  <c r="E153" i="7" s="1"/>
  <c r="E154" i="7" s="1"/>
  <c r="E155" i="7" s="1"/>
  <c r="E156" i="7" s="1"/>
  <c r="E157" i="7" s="1"/>
  <c r="E158" i="7" s="1"/>
  <c r="E159" i="7" s="1"/>
  <c r="E160" i="7" s="1"/>
  <c r="E161" i="7" s="1"/>
  <c r="E162" i="7" s="1"/>
  <c r="E163" i="7" s="1"/>
  <c r="E164" i="7" s="1"/>
  <c r="E165" i="7" s="1"/>
  <c r="E166" i="7" s="1"/>
  <c r="E167" i="7" s="1"/>
  <c r="E168" i="7" s="1"/>
  <c r="E169" i="7" s="1"/>
  <c r="E170" i="7" s="1"/>
  <c r="E171" i="7" s="1"/>
  <c r="E174" i="7" s="1"/>
  <c r="E175" i="7" s="1"/>
  <c r="E176" i="7" s="1"/>
  <c r="E177" i="7" s="1"/>
  <c r="E178" i="7" s="1"/>
  <c r="E179" i="7" s="1"/>
  <c r="E180" i="7" s="1"/>
  <c r="E181" i="7" s="1"/>
  <c r="E182" i="7" s="1"/>
  <c r="E183" i="7" s="1"/>
  <c r="E184" i="7" s="1"/>
  <c r="E185" i="7" s="1"/>
  <c r="E186" i="7" s="1"/>
  <c r="E187" i="7" s="1"/>
  <c r="E188" i="7" s="1"/>
  <c r="E189" i="7" s="1"/>
  <c r="E190" i="7" s="1"/>
  <c r="E191" i="7" s="1"/>
  <c r="E192" i="7" s="1"/>
  <c r="E193" i="7" s="1"/>
  <c r="E194" i="7" s="1"/>
  <c r="E195" i="7" s="1"/>
  <c r="E196" i="7" s="1"/>
  <c r="E197" i="7" s="1"/>
  <c r="E198" i="7" s="1"/>
  <c r="E199" i="7" s="1"/>
  <c r="E200" i="7" s="1"/>
  <c r="E201" i="7" s="1"/>
  <c r="E202" i="7" s="1"/>
  <c r="E205" i="7" s="1"/>
  <c r="E206" i="7" s="1"/>
  <c r="E207" i="7" s="1"/>
  <c r="E208" i="7" s="1"/>
  <c r="E209" i="7" s="1"/>
  <c r="E210" i="7" s="1"/>
  <c r="E211" i="7" s="1"/>
  <c r="E212" i="7" s="1"/>
  <c r="E213" i="7" s="1"/>
  <c r="E214" i="7" s="1"/>
  <c r="E215" i="7" s="1"/>
  <c r="E216" i="7" s="1"/>
  <c r="E217" i="7" s="1"/>
  <c r="E218" i="7" s="1"/>
  <c r="E219" i="7" s="1"/>
  <c r="E220" i="7" s="1"/>
  <c r="E221" i="7" s="1"/>
  <c r="E222" i="7" s="1"/>
  <c r="E223" i="7" s="1"/>
  <c r="E224" i="7" s="1"/>
  <c r="E225" i="7" s="1"/>
  <c r="E226" i="7" s="1"/>
  <c r="E227" i="7" s="1"/>
  <c r="E228" i="7" s="1"/>
  <c r="E229" i="7" s="1"/>
  <c r="E230" i="7" s="1"/>
  <c r="E231" i="7" s="1"/>
  <c r="E232" i="7" s="1"/>
  <c r="E233" i="7" s="1"/>
  <c r="E234" i="7" s="1"/>
  <c r="E235" i="7" s="1"/>
  <c r="E236" i="7" s="1"/>
  <c r="E237" i="7" s="1"/>
  <c r="E238" i="7" s="1"/>
  <c r="E239" i="7" s="1"/>
  <c r="E240" i="7" s="1"/>
  <c r="E241" i="7" s="1"/>
  <c r="E242" i="7" s="1"/>
  <c r="E243" i="7" s="1"/>
  <c r="E244" i="7" s="1"/>
  <c r="E245" i="7" s="1"/>
  <c r="E246" i="7" s="1"/>
  <c r="E247" i="7" s="1"/>
  <c r="E248" i="7" s="1"/>
  <c r="E249" i="7" s="1"/>
  <c r="E250" i="7" s="1"/>
  <c r="E251" i="7" s="1"/>
  <c r="E252" i="7" s="1"/>
  <c r="E253" i="7" s="1"/>
  <c r="E254" i="7" s="1"/>
  <c r="E255" i="7" s="1"/>
  <c r="E256" i="7" s="1"/>
  <c r="E257" i="7" s="1"/>
  <c r="E258" i="7" s="1"/>
  <c r="E259" i="7" s="1"/>
  <c r="E260" i="7" s="1"/>
  <c r="E261" i="7" s="1"/>
  <c r="E262" i="7" s="1"/>
  <c r="E263" i="7" s="1"/>
  <c r="E264" i="7" s="1"/>
  <c r="E265" i="7" s="1"/>
  <c r="E266" i="7" s="1"/>
  <c r="E267" i="7" s="1"/>
  <c r="E268" i="7" s="1"/>
  <c r="E269" i="7" s="1"/>
  <c r="E270" i="7" s="1"/>
  <c r="E271" i="7" s="1"/>
  <c r="E272" i="7" s="1"/>
  <c r="E275" i="7" s="1"/>
  <c r="E276" i="7" s="1"/>
  <c r="E277" i="7" s="1"/>
  <c r="E278" i="7" s="1"/>
  <c r="E279" i="7" s="1"/>
  <c r="E280" i="7" s="1"/>
  <c r="E281" i="7" s="1"/>
  <c r="E282" i="7" s="1"/>
  <c r="E283" i="7" s="1"/>
  <c r="E284" i="7" s="1"/>
  <c r="H54" i="7"/>
  <c r="H51" i="7"/>
  <c r="H50" i="7"/>
  <c r="H49" i="7"/>
  <c r="H48" i="7"/>
  <c r="H47" i="7"/>
  <c r="H46" i="7"/>
  <c r="H45" i="7"/>
  <c r="H44" i="7"/>
  <c r="H43" i="7"/>
  <c r="H42" i="7"/>
  <c r="E42" i="7"/>
  <c r="E43" i="7" s="1"/>
  <c r="E44" i="7" s="1"/>
  <c r="E45" i="7" s="1"/>
  <c r="E46" i="7" s="1"/>
  <c r="E47" i="7" s="1"/>
  <c r="E48" i="7" s="1"/>
  <c r="E49" i="7" s="1"/>
  <c r="E50" i="7" s="1"/>
  <c r="E51" i="7" s="1"/>
  <c r="H41" i="7"/>
  <c r="H38" i="7"/>
  <c r="H37" i="7"/>
  <c r="H36" i="7"/>
  <c r="H35" i="7"/>
  <c r="H34" i="7"/>
  <c r="H33" i="7"/>
  <c r="H32" i="7"/>
  <c r="H31" i="7"/>
  <c r="H30" i="7"/>
  <c r="H29" i="7"/>
  <c r="H28" i="7"/>
  <c r="H27" i="7"/>
  <c r="H26" i="7"/>
  <c r="E26" i="7"/>
  <c r="E27" i="7" s="1"/>
  <c r="E28" i="7" s="1"/>
  <c r="E29" i="7" s="1"/>
  <c r="E30" i="7" s="1"/>
  <c r="E31" i="7" s="1"/>
  <c r="E32" i="7" s="1"/>
  <c r="E33" i="7" s="1"/>
  <c r="E34" i="7" s="1"/>
  <c r="E35" i="7" s="1"/>
  <c r="E36" i="7" s="1"/>
  <c r="E37" i="7" s="1"/>
  <c r="E38" i="7" s="1"/>
  <c r="H25" i="7"/>
  <c r="H22" i="7"/>
  <c r="H21" i="7"/>
  <c r="H20" i="7"/>
  <c r="H19" i="7"/>
  <c r="H18" i="7"/>
  <c r="H17" i="7"/>
  <c r="H16" i="7"/>
  <c r="H15" i="7"/>
  <c r="H14" i="7"/>
  <c r="H13" i="7"/>
  <c r="H12" i="7"/>
  <c r="H11" i="7"/>
  <c r="H10" i="7"/>
  <c r="H8" i="7"/>
  <c r="E8" i="7"/>
  <c r="E9" i="7" s="1"/>
  <c r="E10" i="7" s="1"/>
  <c r="E11" i="7" s="1"/>
  <c r="E12" i="7" s="1"/>
  <c r="E13" i="7" s="1"/>
  <c r="E14" i="7" s="1"/>
  <c r="E15" i="7" s="1"/>
  <c r="E16" i="7" s="1"/>
  <c r="E17" i="7" s="1"/>
  <c r="E18" i="7" s="1"/>
  <c r="E19" i="7" s="1"/>
  <c r="E20" i="7" s="1"/>
  <c r="E21" i="7" s="1"/>
  <c r="E22" i="7" s="1"/>
  <c r="H7" i="7"/>
  <c r="L7946" i="6"/>
  <c r="L7947" i="6" s="1"/>
  <c r="K7944" i="6"/>
  <c r="L7944" i="6" s="1"/>
  <c r="K7943" i="6"/>
  <c r="L7943" i="6" s="1"/>
  <c r="K7942" i="6"/>
  <c r="L7942" i="6" s="1"/>
  <c r="K7941" i="6"/>
  <c r="L7941" i="6" s="1"/>
  <c r="K7940" i="6"/>
  <c r="L7940" i="6" s="1"/>
  <c r="K7936" i="6"/>
  <c r="L7936" i="6" s="1"/>
  <c r="K7934" i="6"/>
  <c r="L7934" i="6" s="1"/>
  <c r="L7925" i="6"/>
  <c r="L7926" i="6" s="1"/>
  <c r="K7923" i="6"/>
  <c r="L7923" i="6" s="1"/>
  <c r="K7922" i="6"/>
  <c r="L7922" i="6" s="1"/>
  <c r="K7921" i="6"/>
  <c r="L7921" i="6" s="1"/>
  <c r="K7920" i="6"/>
  <c r="L7920" i="6" s="1"/>
  <c r="K7919" i="6"/>
  <c r="L7919" i="6" s="1"/>
  <c r="K7915" i="6"/>
  <c r="L7915" i="6" s="1"/>
  <c r="K7914" i="6"/>
  <c r="L7914" i="6" s="1"/>
  <c r="K7913" i="6"/>
  <c r="L7913" i="6" s="1"/>
  <c r="L7904" i="6"/>
  <c r="L7905" i="6" s="1"/>
  <c r="K7902" i="6"/>
  <c r="L7902" i="6" s="1"/>
  <c r="K7901" i="6"/>
  <c r="L7901" i="6" s="1"/>
  <c r="K7900" i="6"/>
  <c r="L7900" i="6" s="1"/>
  <c r="K7899" i="6"/>
  <c r="L7899" i="6" s="1"/>
  <c r="K7896" i="6"/>
  <c r="L7896" i="6" s="1"/>
  <c r="K7895" i="6"/>
  <c r="L7895" i="6" s="1"/>
  <c r="K7893" i="6"/>
  <c r="L7893" i="6" s="1"/>
  <c r="L7884" i="6"/>
  <c r="L7885" i="6" s="1"/>
  <c r="K7882" i="6"/>
  <c r="L7882" i="6" s="1"/>
  <c r="K7881" i="6"/>
  <c r="L7881" i="6" s="1"/>
  <c r="K7880" i="6"/>
  <c r="L7880" i="6" s="1"/>
  <c r="K7879" i="6"/>
  <c r="L7879" i="6" s="1"/>
  <c r="K7876" i="6"/>
  <c r="L7876" i="6" s="1"/>
  <c r="K7875" i="6"/>
  <c r="L7875" i="6" s="1"/>
  <c r="K7873" i="6"/>
  <c r="L7873" i="6" s="1"/>
  <c r="L7864" i="6"/>
  <c r="L7865" i="6" s="1"/>
  <c r="K7861" i="6"/>
  <c r="L7861" i="6" s="1"/>
  <c r="K7858" i="6"/>
  <c r="L7858" i="6" s="1"/>
  <c r="K7857" i="6"/>
  <c r="L7857" i="6" s="1"/>
  <c r="K7856" i="6"/>
  <c r="L7856" i="6" s="1"/>
  <c r="K7855" i="6"/>
  <c r="L7855" i="6" s="1"/>
  <c r="L7846" i="6"/>
  <c r="L7847" i="6" s="1"/>
  <c r="K7843" i="6"/>
  <c r="L7843" i="6" s="1"/>
  <c r="K7844" i="6" s="1"/>
  <c r="L7844" i="6" s="1"/>
  <c r="K7840" i="6"/>
  <c r="L7840" i="6" s="1"/>
  <c r="K7839" i="6"/>
  <c r="L7839" i="6" s="1"/>
  <c r="K7837" i="6"/>
  <c r="L7837" i="6" s="1"/>
  <c r="L7828" i="6"/>
  <c r="L7829" i="6" s="1"/>
  <c r="K7825" i="6"/>
  <c r="L7825" i="6" s="1"/>
  <c r="K7822" i="6"/>
  <c r="L7822" i="6" s="1"/>
  <c r="K7821" i="6"/>
  <c r="L7821" i="6" s="1"/>
  <c r="K7820" i="6"/>
  <c r="L7820" i="6" s="1"/>
  <c r="K7819" i="6"/>
  <c r="L7819" i="6" s="1"/>
  <c r="L7810" i="6"/>
  <c r="L7811" i="6" s="1"/>
  <c r="K7807" i="6"/>
  <c r="L7807" i="6" s="1"/>
  <c r="K7808" i="6" s="1"/>
  <c r="L7808" i="6" s="1"/>
  <c r="L7809" i="6" s="1"/>
  <c r="K7804" i="6"/>
  <c r="L7804" i="6" s="1"/>
  <c r="K7803" i="6"/>
  <c r="L7803" i="6" s="1"/>
  <c r="K7801" i="6"/>
  <c r="L7801" i="6" s="1"/>
  <c r="L7792" i="6"/>
  <c r="L7793" i="6" s="1"/>
  <c r="K7789" i="6"/>
  <c r="L7789" i="6" s="1"/>
  <c r="K7790" i="6" s="1"/>
  <c r="L7790" i="6" s="1"/>
  <c r="K7786" i="6"/>
  <c r="L7786" i="6" s="1"/>
  <c r="K7785" i="6"/>
  <c r="L7785" i="6" s="1"/>
  <c r="K7784" i="6"/>
  <c r="L7784" i="6" s="1"/>
  <c r="K7783" i="6"/>
  <c r="L7783" i="6" s="1"/>
  <c r="L7774" i="6"/>
  <c r="L7775" i="6" s="1"/>
  <c r="K7771" i="6"/>
  <c r="L7771" i="6" s="1"/>
  <c r="K7772" i="6" s="1"/>
  <c r="L7772" i="6" s="1"/>
  <c r="K7768" i="6"/>
  <c r="L7768" i="6" s="1"/>
  <c r="K7767" i="6"/>
  <c r="L7767" i="6" s="1"/>
  <c r="K7765" i="6"/>
  <c r="L7765" i="6" s="1"/>
  <c r="L7756" i="6"/>
  <c r="L7757" i="6" s="1"/>
  <c r="K7753" i="6"/>
  <c r="L7753" i="6" s="1"/>
  <c r="K7750" i="6"/>
  <c r="L7750" i="6" s="1"/>
  <c r="K7749" i="6"/>
  <c r="L7749" i="6" s="1"/>
  <c r="K7748" i="6"/>
  <c r="L7748" i="6" s="1"/>
  <c r="K7747" i="6"/>
  <c r="L7747" i="6" s="1"/>
  <c r="L7738" i="6"/>
  <c r="L7739" i="6" s="1"/>
  <c r="K7735" i="6"/>
  <c r="L7735" i="6" s="1"/>
  <c r="K7732" i="6"/>
  <c r="L7732" i="6" s="1"/>
  <c r="K7731" i="6"/>
  <c r="L7731" i="6" s="1"/>
  <c r="K7729" i="6"/>
  <c r="L7729" i="6" s="1"/>
  <c r="L7720" i="6"/>
  <c r="L7721" i="6" s="1"/>
  <c r="K7717" i="6"/>
  <c r="L7717" i="6" s="1"/>
  <c r="K7714" i="6"/>
  <c r="L7714" i="6" s="1"/>
  <c r="K7713" i="6"/>
  <c r="L7713" i="6" s="1"/>
  <c r="K7712" i="6"/>
  <c r="L7712" i="6" s="1"/>
  <c r="K7711" i="6"/>
  <c r="L7711" i="6" s="1"/>
  <c r="L7702" i="6"/>
  <c r="L7703" i="6" s="1"/>
  <c r="K7699" i="6"/>
  <c r="L7699" i="6" s="1"/>
  <c r="K7700" i="6" s="1"/>
  <c r="L7700" i="6" s="1"/>
  <c r="L7701" i="6" s="1"/>
  <c r="K7696" i="6"/>
  <c r="L7696" i="6" s="1"/>
  <c r="K7695" i="6"/>
  <c r="L7695" i="6" s="1"/>
  <c r="K7693" i="6"/>
  <c r="L7693" i="6" s="1"/>
  <c r="L7684" i="6"/>
  <c r="L7685" i="6" s="1"/>
  <c r="K7681" i="6"/>
  <c r="L7681" i="6" s="1"/>
  <c r="K7678" i="6"/>
  <c r="L7678" i="6" s="1"/>
  <c r="K7677" i="6"/>
  <c r="L7677" i="6" s="1"/>
  <c r="K7676" i="6"/>
  <c r="L7676" i="6" s="1"/>
  <c r="K7675" i="6"/>
  <c r="L7675" i="6" s="1"/>
  <c r="L7666" i="6"/>
  <c r="L7667" i="6" s="1"/>
  <c r="L7663" i="6"/>
  <c r="K7660" i="6"/>
  <c r="L7660" i="6" s="1"/>
  <c r="K7659" i="6"/>
  <c r="L7659" i="6" s="1"/>
  <c r="K7657" i="6"/>
  <c r="L7657" i="6" s="1"/>
  <c r="L7648" i="6"/>
  <c r="L7649" i="6" s="1"/>
  <c r="K7645" i="6"/>
  <c r="L7645" i="6" s="1"/>
  <c r="K7642" i="6"/>
  <c r="L7642" i="6" s="1"/>
  <c r="K7641" i="6"/>
  <c r="L7641" i="6" s="1"/>
  <c r="K7640" i="6"/>
  <c r="L7640" i="6" s="1"/>
  <c r="K7639" i="6"/>
  <c r="L7639" i="6" s="1"/>
  <c r="L7630" i="6"/>
  <c r="L7631" i="6" s="1"/>
  <c r="K7628" i="6"/>
  <c r="L7628" i="6" s="1"/>
  <c r="K7627" i="6"/>
  <c r="L7627" i="6" s="1"/>
  <c r="K7624" i="6"/>
  <c r="L7624" i="6" s="1"/>
  <c r="K7623" i="6"/>
  <c r="L7623" i="6" s="1"/>
  <c r="K7621" i="6"/>
  <c r="L7621" i="6" s="1"/>
  <c r="L7612" i="6"/>
  <c r="L7613" i="6" s="1"/>
  <c r="K7609" i="6"/>
  <c r="L7609" i="6" s="1"/>
  <c r="K7606" i="6"/>
  <c r="L7606" i="6" s="1"/>
  <c r="K7605" i="6"/>
  <c r="L7605" i="6" s="1"/>
  <c r="K7603" i="6"/>
  <c r="L7603" i="6" s="1"/>
  <c r="L7594" i="6"/>
  <c r="L7595" i="6" s="1"/>
  <c r="K7592" i="6"/>
  <c r="L7592" i="6" s="1"/>
  <c r="K7591" i="6"/>
  <c r="L7591" i="6" s="1"/>
  <c r="K7590" i="6"/>
  <c r="L7590" i="6" s="1"/>
  <c r="K7589" i="6"/>
  <c r="L7589" i="6" s="1"/>
  <c r="K7588" i="6"/>
  <c r="L7588" i="6" s="1"/>
  <c r="K7587" i="6"/>
  <c r="L7587" i="6" s="1"/>
  <c r="K7583" i="6"/>
  <c r="L7583" i="6" s="1"/>
  <c r="K7581" i="6"/>
  <c r="L7581" i="6" s="1"/>
  <c r="L7572" i="6"/>
  <c r="L7573" i="6" s="1"/>
  <c r="K7570" i="6"/>
  <c r="L7570" i="6" s="1"/>
  <c r="K7569" i="6"/>
  <c r="L7569" i="6" s="1"/>
  <c r="K7568" i="6"/>
  <c r="L7568" i="6" s="1"/>
  <c r="K7567" i="6"/>
  <c r="L7567" i="6" s="1"/>
  <c r="K7566" i="6"/>
  <c r="L7566" i="6" s="1"/>
  <c r="K7565" i="6"/>
  <c r="L7565" i="6" s="1"/>
  <c r="K7562" i="6"/>
  <c r="L7562" i="6" s="1"/>
  <c r="K7561" i="6"/>
  <c r="L7561" i="6" s="1"/>
  <c r="K7559" i="6"/>
  <c r="L7559" i="6" s="1"/>
  <c r="L7550" i="6"/>
  <c r="L7551" i="6" s="1"/>
  <c r="K7548" i="6"/>
  <c r="L7548" i="6" s="1"/>
  <c r="K7547" i="6"/>
  <c r="L7547" i="6" s="1"/>
  <c r="K7546" i="6"/>
  <c r="L7546" i="6" s="1"/>
  <c r="K7545" i="6"/>
  <c r="L7545" i="6" s="1"/>
  <c r="K7544" i="6"/>
  <c r="L7544" i="6" s="1"/>
  <c r="K7543" i="6"/>
  <c r="L7543" i="6" s="1"/>
  <c r="K7540" i="6"/>
  <c r="L7540" i="6" s="1"/>
  <c r="K7539" i="6"/>
  <c r="L7539" i="6" s="1"/>
  <c r="K7537" i="6"/>
  <c r="L7537" i="6" s="1"/>
  <c r="L7528" i="6"/>
  <c r="L7529" i="6" s="1"/>
  <c r="K7526" i="6"/>
  <c r="L7526" i="6" s="1"/>
  <c r="L7527" i="6" s="1"/>
  <c r="K7523" i="6"/>
  <c r="L7523" i="6" s="1"/>
  <c r="K7522" i="6"/>
  <c r="L7522" i="6" s="1"/>
  <c r="K7520" i="6"/>
  <c r="L7520" i="6" s="1"/>
  <c r="L7511" i="6"/>
  <c r="L7512" i="6" s="1"/>
  <c r="K7509" i="6"/>
  <c r="L7509" i="6" s="1"/>
  <c r="K7508" i="6"/>
  <c r="L7508" i="6" s="1"/>
  <c r="K7507" i="6"/>
  <c r="L7507" i="6" s="1"/>
  <c r="K7506" i="6"/>
  <c r="L7506" i="6" s="1"/>
  <c r="K7503" i="6"/>
  <c r="L7503" i="6" s="1"/>
  <c r="K7502" i="6"/>
  <c r="L7502" i="6" s="1"/>
  <c r="K7501" i="6"/>
  <c r="L7501" i="6" s="1"/>
  <c r="K7500" i="6"/>
  <c r="L7500" i="6" s="1"/>
  <c r="L7491" i="6"/>
  <c r="L7492" i="6" s="1"/>
  <c r="K7489" i="6"/>
  <c r="L7489" i="6" s="1"/>
  <c r="K7488" i="6"/>
  <c r="L7488" i="6" s="1"/>
  <c r="K7485" i="6"/>
  <c r="L7485" i="6" s="1"/>
  <c r="K7484" i="6"/>
  <c r="L7484" i="6" s="1"/>
  <c r="K7482" i="6"/>
  <c r="L7482" i="6" s="1"/>
  <c r="L7473" i="6"/>
  <c r="L7474" i="6" s="1"/>
  <c r="K7470" i="6"/>
  <c r="L7470" i="6" s="1"/>
  <c r="K7469" i="6"/>
  <c r="L7469" i="6" s="1"/>
  <c r="K7468" i="6"/>
  <c r="L7468" i="6" s="1"/>
  <c r="K7467" i="6"/>
  <c r="L7467" i="6" s="1"/>
  <c r="K7464" i="6"/>
  <c r="L7464" i="6" s="1"/>
  <c r="K7463" i="6"/>
  <c r="L7463" i="6" s="1"/>
  <c r="K7462" i="6"/>
  <c r="L7462" i="6" s="1"/>
  <c r="K7461" i="6"/>
  <c r="L7461" i="6" s="1"/>
  <c r="L7452" i="6"/>
  <c r="L7453" i="6" s="1"/>
  <c r="K7449" i="6"/>
  <c r="L7449" i="6" s="1"/>
  <c r="K7446" i="6"/>
  <c r="L7446" i="6" s="1"/>
  <c r="K7445" i="6"/>
  <c r="L7445" i="6" s="1"/>
  <c r="K7443" i="6"/>
  <c r="L7443" i="6" s="1"/>
  <c r="L7434" i="6"/>
  <c r="L7435" i="6" s="1"/>
  <c r="K7431" i="6"/>
  <c r="L7431" i="6" s="1"/>
  <c r="K7432" i="6" s="1"/>
  <c r="L7432" i="6" s="1"/>
  <c r="K7428" i="6"/>
  <c r="L7428" i="6" s="1"/>
  <c r="K7427" i="6"/>
  <c r="L7427" i="6" s="1"/>
  <c r="K7426" i="6"/>
  <c r="L7426" i="6" s="1"/>
  <c r="K7425" i="6"/>
  <c r="L7425" i="6" s="1"/>
  <c r="L7416" i="6"/>
  <c r="L7417" i="6" s="1"/>
  <c r="K7414" i="6"/>
  <c r="L7414" i="6" s="1"/>
  <c r="K7413" i="6"/>
  <c r="L7413" i="6" s="1"/>
  <c r="K7412" i="6"/>
  <c r="L7412" i="6" s="1"/>
  <c r="K7411" i="6"/>
  <c r="L7411" i="6" s="1"/>
  <c r="K7410" i="6"/>
  <c r="L7410" i="6" s="1"/>
  <c r="K7407" i="6"/>
  <c r="L7407" i="6" s="1"/>
  <c r="K7406" i="6"/>
  <c r="L7406" i="6" s="1"/>
  <c r="K7404" i="6"/>
  <c r="L7404" i="6" s="1"/>
  <c r="L7395" i="6"/>
  <c r="L7396" i="6" s="1"/>
  <c r="K7392" i="6"/>
  <c r="L7392" i="6" s="1"/>
  <c r="K7389" i="6"/>
  <c r="L7389" i="6" s="1"/>
  <c r="K7388" i="6"/>
  <c r="L7388" i="6" s="1"/>
  <c r="K7387" i="6"/>
  <c r="L7387" i="6" s="1"/>
  <c r="K7386" i="6"/>
  <c r="L7386" i="6" s="1"/>
  <c r="L7377" i="6"/>
  <c r="L7378" i="6" s="1"/>
  <c r="K7374" i="6"/>
  <c r="L7374" i="6" s="1"/>
  <c r="K7375" i="6" s="1"/>
  <c r="L7375" i="6" s="1"/>
  <c r="L7376" i="6" s="1"/>
  <c r="K7371" i="6"/>
  <c r="L7371" i="6" s="1"/>
  <c r="K7370" i="6"/>
  <c r="L7370" i="6" s="1"/>
  <c r="K7368" i="6"/>
  <c r="L7368" i="6" s="1"/>
  <c r="L7359" i="6"/>
  <c r="L7360" i="6" s="1"/>
  <c r="K7356" i="6"/>
  <c r="L7356" i="6" s="1"/>
  <c r="K7355" i="6"/>
  <c r="L7355" i="6" s="1"/>
  <c r="K7354" i="6"/>
  <c r="L7354" i="6" s="1"/>
  <c r="K7351" i="6"/>
  <c r="L7351" i="6" s="1"/>
  <c r="K7350" i="6"/>
  <c r="L7350" i="6" s="1"/>
  <c r="K7348" i="6"/>
  <c r="L7348" i="6" s="1"/>
  <c r="L7339" i="6"/>
  <c r="L7340" i="6" s="1"/>
  <c r="K7336" i="6"/>
  <c r="L7336" i="6" s="1"/>
  <c r="K7335" i="6"/>
  <c r="L7335" i="6" s="1"/>
  <c r="K7334" i="6"/>
  <c r="L7334" i="6" s="1"/>
  <c r="K7331" i="6"/>
  <c r="L7331" i="6" s="1"/>
  <c r="K7330" i="6"/>
  <c r="L7330" i="6" s="1"/>
  <c r="K7328" i="6"/>
  <c r="L7328" i="6" s="1"/>
  <c r="L7319" i="6"/>
  <c r="L7320" i="6" s="1"/>
  <c r="K7317" i="6"/>
  <c r="L7317" i="6" s="1"/>
  <c r="K7316" i="6"/>
  <c r="L7316" i="6" s="1"/>
  <c r="K7315" i="6"/>
  <c r="L7315" i="6" s="1"/>
  <c r="K7314" i="6"/>
  <c r="L7314" i="6" s="1"/>
  <c r="K7310" i="6"/>
  <c r="L7310" i="6" s="1"/>
  <c r="K7308" i="6"/>
  <c r="L7308" i="6" s="1"/>
  <c r="L7299" i="6"/>
  <c r="L7300" i="6" s="1"/>
  <c r="K7297" i="6"/>
  <c r="L7297" i="6" s="1"/>
  <c r="K7296" i="6"/>
  <c r="L7296" i="6" s="1"/>
  <c r="K7295" i="6"/>
  <c r="L7295" i="6" s="1"/>
  <c r="K7292" i="6"/>
  <c r="L7292" i="6" s="1"/>
  <c r="K7291" i="6"/>
  <c r="L7291" i="6" s="1"/>
  <c r="K7289" i="6"/>
  <c r="L7289" i="6" s="1"/>
  <c r="L7280" i="6"/>
  <c r="L7281" i="6" s="1"/>
  <c r="K7277" i="6"/>
  <c r="L7277" i="6" s="1"/>
  <c r="K7278" i="6" s="1"/>
  <c r="K7274" i="6"/>
  <c r="L7274" i="6" s="1"/>
  <c r="K7273" i="6"/>
  <c r="L7273" i="6" s="1"/>
  <c r="K7272" i="6"/>
  <c r="L7272" i="6" s="1"/>
  <c r="K7271" i="6"/>
  <c r="L7271" i="6" s="1"/>
  <c r="L7261" i="6"/>
  <c r="L7262" i="6" s="1"/>
  <c r="K7259" i="6"/>
  <c r="L7259" i="6" s="1"/>
  <c r="K7258" i="6"/>
  <c r="L7258" i="6" s="1"/>
  <c r="K7255" i="6"/>
  <c r="L7255" i="6" s="1"/>
  <c r="K7254" i="6"/>
  <c r="L7254" i="6" s="1"/>
  <c r="K7253" i="6"/>
  <c r="L7253" i="6" s="1"/>
  <c r="K7252" i="6"/>
  <c r="L7252" i="6" s="1"/>
  <c r="L7243" i="6"/>
  <c r="L7244" i="6" s="1"/>
  <c r="K7241" i="6"/>
  <c r="L7241" i="6" s="1"/>
  <c r="K7240" i="6"/>
  <c r="L7240" i="6" s="1"/>
  <c r="K7236" i="6"/>
  <c r="L7236" i="6" s="1"/>
  <c r="K7235" i="6"/>
  <c r="L7235" i="6" s="1"/>
  <c r="K7234" i="6"/>
  <c r="L7234" i="6" s="1"/>
  <c r="L7225" i="6"/>
  <c r="L7226" i="6" s="1"/>
  <c r="K7223" i="6"/>
  <c r="L7223" i="6" s="1"/>
  <c r="K7222" i="6"/>
  <c r="L7222" i="6" s="1"/>
  <c r="K7221" i="6"/>
  <c r="L7221" i="6" s="1"/>
  <c r="K7220" i="6"/>
  <c r="L7220" i="6" s="1"/>
  <c r="K7219" i="6"/>
  <c r="L7219" i="6" s="1"/>
  <c r="K7215" i="6"/>
  <c r="L7215" i="6" s="1"/>
  <c r="K7214" i="6"/>
  <c r="L7214" i="6" s="1"/>
  <c r="K7213" i="6"/>
  <c r="L7213" i="6" s="1"/>
  <c r="L7204" i="6"/>
  <c r="L7205" i="6" s="1"/>
  <c r="K7202" i="6"/>
  <c r="L7202" i="6" s="1"/>
  <c r="K7201" i="6"/>
  <c r="L7201" i="6" s="1"/>
  <c r="K7200" i="6"/>
  <c r="L7200" i="6" s="1"/>
  <c r="K7197" i="6"/>
  <c r="L7197" i="6" s="1"/>
  <c r="K7196" i="6"/>
  <c r="L7196" i="6" s="1"/>
  <c r="K7195" i="6"/>
  <c r="L7195" i="6" s="1"/>
  <c r="K7194" i="6"/>
  <c r="L7194" i="6" s="1"/>
  <c r="L7185" i="6"/>
  <c r="L7186" i="6" s="1"/>
  <c r="K7183" i="6"/>
  <c r="L7183" i="6" s="1"/>
  <c r="K7182" i="6"/>
  <c r="L7182" i="6" s="1"/>
  <c r="K7181" i="6"/>
  <c r="L7181" i="6" s="1"/>
  <c r="K7180" i="6"/>
  <c r="L7180" i="6" s="1"/>
  <c r="K7179" i="6"/>
  <c r="L7179" i="6" s="1"/>
  <c r="K7176" i="6"/>
  <c r="L7176" i="6" s="1"/>
  <c r="K7175" i="6"/>
  <c r="L7175" i="6" s="1"/>
  <c r="K7174" i="6"/>
  <c r="L7174" i="6" s="1"/>
  <c r="K7173" i="6"/>
  <c r="L7173" i="6" s="1"/>
  <c r="L7164" i="6"/>
  <c r="L7165" i="6" s="1"/>
  <c r="K7161" i="6"/>
  <c r="L7161" i="6" s="1"/>
  <c r="K7160" i="6"/>
  <c r="L7160" i="6" s="1"/>
  <c r="K7159" i="6"/>
  <c r="L7159" i="6" s="1"/>
  <c r="K7155" i="6"/>
  <c r="L7155" i="6" s="1"/>
  <c r="K7154" i="6"/>
  <c r="L7154" i="6" s="1"/>
  <c r="K7153" i="6"/>
  <c r="L7153" i="6" s="1"/>
  <c r="L7144" i="6"/>
  <c r="L7145" i="6" s="1"/>
  <c r="K7142" i="6"/>
  <c r="L7142" i="6" s="1"/>
  <c r="K7141" i="6"/>
  <c r="L7141" i="6" s="1"/>
  <c r="K7138" i="6"/>
  <c r="L7138" i="6" s="1"/>
  <c r="K7137" i="6"/>
  <c r="L7137" i="6" s="1"/>
  <c r="K7136" i="6"/>
  <c r="L7136" i="6" s="1"/>
  <c r="K7135" i="6"/>
  <c r="L7135" i="6" s="1"/>
  <c r="L7126" i="6"/>
  <c r="L7127" i="6" s="1"/>
  <c r="K7124" i="6"/>
  <c r="L7124" i="6" s="1"/>
  <c r="K7123" i="6"/>
  <c r="L7123" i="6" s="1"/>
  <c r="K7120" i="6"/>
  <c r="L7120" i="6" s="1"/>
  <c r="K7119" i="6"/>
  <c r="L7119" i="6" s="1"/>
  <c r="K7118" i="6"/>
  <c r="L7118" i="6" s="1"/>
  <c r="K7117" i="6"/>
  <c r="L7117" i="6" s="1"/>
  <c r="L7108" i="6"/>
  <c r="L7109" i="6" s="1"/>
  <c r="K7106" i="6"/>
  <c r="L7106" i="6" s="1"/>
  <c r="K7105" i="6"/>
  <c r="L7105" i="6" s="1"/>
  <c r="K7104" i="6"/>
  <c r="L7104" i="6" s="1"/>
  <c r="K7100" i="6"/>
  <c r="L7100" i="6" s="1"/>
  <c r="K7099" i="6"/>
  <c r="L7099" i="6" s="1"/>
  <c r="K7098" i="6"/>
  <c r="L7098" i="6" s="1"/>
  <c r="L7089" i="6"/>
  <c r="L7090" i="6" s="1"/>
  <c r="K7087" i="6"/>
  <c r="L7087" i="6" s="1"/>
  <c r="K7086" i="6"/>
  <c r="L7086" i="6" s="1"/>
  <c r="K7085" i="6"/>
  <c r="L7085" i="6" s="1"/>
  <c r="K7082" i="6"/>
  <c r="L7082" i="6" s="1"/>
  <c r="K7081" i="6"/>
  <c r="L7081" i="6" s="1"/>
  <c r="K7080" i="6"/>
  <c r="L7080" i="6" s="1"/>
  <c r="K7079" i="6"/>
  <c r="L7079" i="6" s="1"/>
  <c r="L7070" i="6"/>
  <c r="L7071" i="6" s="1"/>
  <c r="K7068" i="6"/>
  <c r="L7068" i="6" s="1"/>
  <c r="L7069" i="6" s="1"/>
  <c r="K7065" i="6"/>
  <c r="L7065" i="6" s="1"/>
  <c r="K7064" i="6"/>
  <c r="L7064" i="6" s="1"/>
  <c r="K7063" i="6"/>
  <c r="L7063" i="6" s="1"/>
  <c r="K7062" i="6"/>
  <c r="L7062" i="6" s="1"/>
  <c r="L7053" i="6"/>
  <c r="L7054" i="6" s="1"/>
  <c r="K7051" i="6"/>
  <c r="L7051" i="6" s="1"/>
  <c r="K7050" i="6"/>
  <c r="L7050" i="6" s="1"/>
  <c r="K7047" i="6"/>
  <c r="L7047" i="6" s="1"/>
  <c r="K7046" i="6"/>
  <c r="L7046" i="6" s="1"/>
  <c r="K7045" i="6"/>
  <c r="L7045" i="6" s="1"/>
  <c r="K7044" i="6"/>
  <c r="L7044" i="6" s="1"/>
  <c r="L7035" i="6"/>
  <c r="L7036" i="6" s="1"/>
  <c r="K7033" i="6"/>
  <c r="L7033" i="6" s="1"/>
  <c r="K7032" i="6"/>
  <c r="L7032" i="6" s="1"/>
  <c r="K7031" i="6"/>
  <c r="L7031" i="6" s="1"/>
  <c r="K7028" i="6"/>
  <c r="L7028" i="6" s="1"/>
  <c r="K7027" i="6"/>
  <c r="L7027" i="6" s="1"/>
  <c r="K7026" i="6"/>
  <c r="L7026" i="6" s="1"/>
  <c r="K7025" i="6"/>
  <c r="L7025" i="6" s="1"/>
  <c r="L7016" i="6"/>
  <c r="L7017" i="6" s="1"/>
  <c r="K7014" i="6"/>
  <c r="L7014" i="6" s="1"/>
  <c r="K7013" i="6"/>
  <c r="L7013" i="6" s="1"/>
  <c r="K7012" i="6"/>
  <c r="L7012" i="6" s="1"/>
  <c r="K7009" i="6"/>
  <c r="L7009" i="6" s="1"/>
  <c r="K7008" i="6"/>
  <c r="L7008" i="6" s="1"/>
  <c r="K7007" i="6"/>
  <c r="L7007" i="6" s="1"/>
  <c r="K7006" i="6"/>
  <c r="L7006" i="6" s="1"/>
  <c r="L6997" i="6"/>
  <c r="L6998" i="6" s="1"/>
  <c r="K6992" i="6"/>
  <c r="L6992" i="6" s="1"/>
  <c r="K6991" i="6"/>
  <c r="L6991" i="6" s="1"/>
  <c r="L6982" i="6"/>
  <c r="L6983" i="6" s="1"/>
  <c r="K6980" i="6"/>
  <c r="L6980" i="6" s="1"/>
  <c r="K6979" i="6"/>
  <c r="L6979" i="6" s="1"/>
  <c r="K6978" i="6"/>
  <c r="L6978" i="6" s="1"/>
  <c r="K6975" i="6"/>
  <c r="L6975" i="6" s="1"/>
  <c r="K6974" i="6"/>
  <c r="L6974" i="6" s="1"/>
  <c r="K6973" i="6"/>
  <c r="L6973" i="6" s="1"/>
  <c r="K6972" i="6"/>
  <c r="L6972" i="6" s="1"/>
  <c r="L6963" i="6"/>
  <c r="L6964" i="6" s="1"/>
  <c r="K6961" i="6"/>
  <c r="L6961" i="6" s="1"/>
  <c r="L6962" i="6" s="1"/>
  <c r="K6958" i="6"/>
  <c r="L6958" i="6" s="1"/>
  <c r="K6957" i="6"/>
  <c r="L6957" i="6" s="1"/>
  <c r="K6956" i="6"/>
  <c r="L6956" i="6" s="1"/>
  <c r="K6955" i="6"/>
  <c r="L6955" i="6" s="1"/>
  <c r="L6946" i="6"/>
  <c r="L6947" i="6" s="1"/>
  <c r="K6944" i="6"/>
  <c r="L6944" i="6" s="1"/>
  <c r="K6943" i="6"/>
  <c r="L6943" i="6" s="1"/>
  <c r="K6942" i="6"/>
  <c r="L6942" i="6" s="1"/>
  <c r="K6941" i="6"/>
  <c r="L6941" i="6" s="1"/>
  <c r="K6940" i="6"/>
  <c r="L6940" i="6" s="1"/>
  <c r="K6939" i="6"/>
  <c r="L6939" i="6" s="1"/>
  <c r="K6938" i="6"/>
  <c r="L6938" i="6" s="1"/>
  <c r="K6935" i="6"/>
  <c r="L6935" i="6" s="1"/>
  <c r="K6934" i="6"/>
  <c r="L6934" i="6" s="1"/>
  <c r="K6933" i="6"/>
  <c r="L6933" i="6" s="1"/>
  <c r="K6932" i="6"/>
  <c r="L6932" i="6" s="1"/>
  <c r="L6923" i="6"/>
  <c r="L6924" i="6" s="1"/>
  <c r="K6921" i="6"/>
  <c r="L6921" i="6" s="1"/>
  <c r="K6920" i="6"/>
  <c r="L6920" i="6" s="1"/>
  <c r="K6919" i="6"/>
  <c r="L6919" i="6" s="1"/>
  <c r="K6918" i="6"/>
  <c r="L6918" i="6" s="1"/>
  <c r="K6917" i="6"/>
  <c r="L6917" i="6" s="1"/>
  <c r="K6916" i="6"/>
  <c r="L6916" i="6" s="1"/>
  <c r="K6915" i="6"/>
  <c r="L6915" i="6" s="1"/>
  <c r="K6912" i="6"/>
  <c r="L6912" i="6" s="1"/>
  <c r="K6911" i="6"/>
  <c r="L6911" i="6" s="1"/>
  <c r="K6910" i="6"/>
  <c r="L6910" i="6" s="1"/>
  <c r="K6909" i="6"/>
  <c r="L6909" i="6" s="1"/>
  <c r="L6900" i="6"/>
  <c r="L6901" i="6" s="1"/>
  <c r="K6898" i="6"/>
  <c r="L6898" i="6" s="1"/>
  <c r="L6899" i="6" s="1"/>
  <c r="K6895" i="6"/>
  <c r="L6895" i="6" s="1"/>
  <c r="K6894" i="6"/>
  <c r="L6894" i="6" s="1"/>
  <c r="L6885" i="6"/>
  <c r="L6886" i="6" s="1"/>
  <c r="K6883" i="6"/>
  <c r="L6883" i="6" s="1"/>
  <c r="L6884" i="6" s="1"/>
  <c r="K6880" i="6"/>
  <c r="L6880" i="6" s="1"/>
  <c r="K6879" i="6"/>
  <c r="L6879" i="6" s="1"/>
  <c r="L6870" i="6"/>
  <c r="L6871" i="6" s="1"/>
  <c r="K6868" i="6"/>
  <c r="L6868" i="6" s="1"/>
  <c r="L6869" i="6" s="1"/>
  <c r="K6865" i="6"/>
  <c r="L6865" i="6" s="1"/>
  <c r="K6864" i="6"/>
  <c r="L6864" i="6" s="1"/>
  <c r="L6854" i="6"/>
  <c r="L6855" i="6" s="1"/>
  <c r="K6852" i="6"/>
  <c r="L6852" i="6" s="1"/>
  <c r="K6851" i="6"/>
  <c r="L6851" i="6" s="1"/>
  <c r="K6848" i="6"/>
  <c r="L6848" i="6" s="1"/>
  <c r="K6847" i="6"/>
  <c r="L6847" i="6" s="1"/>
  <c r="K6846" i="6"/>
  <c r="L6846" i="6" s="1"/>
  <c r="K6845" i="6"/>
  <c r="L6845" i="6" s="1"/>
  <c r="L6836" i="6"/>
  <c r="L6837" i="6" s="1"/>
  <c r="K6834" i="6"/>
  <c r="L6834" i="6" s="1"/>
  <c r="L6835" i="6" s="1"/>
  <c r="K6831" i="6"/>
  <c r="L6831" i="6" s="1"/>
  <c r="K6830" i="6"/>
  <c r="L6830" i="6" s="1"/>
  <c r="K6829" i="6"/>
  <c r="L6829" i="6" s="1"/>
  <c r="K6828" i="6"/>
  <c r="L6828" i="6" s="1"/>
  <c r="L6819" i="6"/>
  <c r="L6820" i="6" s="1"/>
  <c r="K6817" i="6"/>
  <c r="L6817" i="6" s="1"/>
  <c r="L6818" i="6" s="1"/>
  <c r="K6814" i="6"/>
  <c r="L6814" i="6" s="1"/>
  <c r="K6813" i="6"/>
  <c r="L6813" i="6" s="1"/>
  <c r="K6812" i="6"/>
  <c r="L6812" i="6" s="1"/>
  <c r="K6811" i="6"/>
  <c r="L6811" i="6" s="1"/>
  <c r="L6802" i="6"/>
  <c r="L6803" i="6" s="1"/>
  <c r="K6800" i="6"/>
  <c r="L6800" i="6" s="1"/>
  <c r="L6801" i="6" s="1"/>
  <c r="K6797" i="6"/>
  <c r="L6797" i="6" s="1"/>
  <c r="K6796" i="6"/>
  <c r="L6796" i="6" s="1"/>
  <c r="K6795" i="6"/>
  <c r="L6795" i="6" s="1"/>
  <c r="K6794" i="6"/>
  <c r="L6794" i="6" s="1"/>
  <c r="L6785" i="6"/>
  <c r="L6786" i="6" s="1"/>
  <c r="K6783" i="6"/>
  <c r="L6783" i="6" s="1"/>
  <c r="K6782" i="6"/>
  <c r="L6782" i="6" s="1"/>
  <c r="K6779" i="6"/>
  <c r="L6779" i="6" s="1"/>
  <c r="K6778" i="6"/>
  <c r="L6778" i="6" s="1"/>
  <c r="K6777" i="6"/>
  <c r="L6777" i="6" s="1"/>
  <c r="K6776" i="6"/>
  <c r="L6776" i="6" s="1"/>
  <c r="L6767" i="6"/>
  <c r="L6768" i="6" s="1"/>
  <c r="K6765" i="6"/>
  <c r="L6765" i="6" s="1"/>
  <c r="K6764" i="6"/>
  <c r="L6764" i="6" s="1"/>
  <c r="K6761" i="6"/>
  <c r="L6761" i="6" s="1"/>
  <c r="K6760" i="6"/>
  <c r="L6760" i="6" s="1"/>
  <c r="K6759" i="6"/>
  <c r="L6759" i="6" s="1"/>
  <c r="K6758" i="6"/>
  <c r="L6758" i="6" s="1"/>
  <c r="L6749" i="6"/>
  <c r="L6750" i="6" s="1"/>
  <c r="K6747" i="6"/>
  <c r="L6747" i="6" s="1"/>
  <c r="K6746" i="6"/>
  <c r="L6746" i="6" s="1"/>
  <c r="K6743" i="6"/>
  <c r="L6743" i="6" s="1"/>
  <c r="K6742" i="6"/>
  <c r="L6742" i="6" s="1"/>
  <c r="K6741" i="6"/>
  <c r="L6741" i="6" s="1"/>
  <c r="K6740" i="6"/>
  <c r="L6740" i="6" s="1"/>
  <c r="L6731" i="6"/>
  <c r="L6732" i="6" s="1"/>
  <c r="K6729" i="6"/>
  <c r="L6729" i="6" s="1"/>
  <c r="K6728" i="6"/>
  <c r="L6728" i="6" s="1"/>
  <c r="K6725" i="6"/>
  <c r="L6725" i="6" s="1"/>
  <c r="K6724" i="6"/>
  <c r="L6724" i="6" s="1"/>
  <c r="K6723" i="6"/>
  <c r="L6723" i="6" s="1"/>
  <c r="K6722" i="6"/>
  <c r="L6722" i="6" s="1"/>
  <c r="L6713" i="6"/>
  <c r="L6714" i="6" s="1"/>
  <c r="K6711" i="6"/>
  <c r="L6711" i="6" s="1"/>
  <c r="L6712" i="6" s="1"/>
  <c r="K6708" i="6"/>
  <c r="L6708" i="6" s="1"/>
  <c r="K6707" i="6"/>
  <c r="L6707" i="6" s="1"/>
  <c r="K6706" i="6"/>
  <c r="L6706" i="6" s="1"/>
  <c r="K6705" i="6"/>
  <c r="L6705" i="6" s="1"/>
  <c r="L6696" i="6"/>
  <c r="L6697" i="6" s="1"/>
  <c r="K6694" i="6"/>
  <c r="L6694" i="6" s="1"/>
  <c r="L6695" i="6" s="1"/>
  <c r="K6691" i="6"/>
  <c r="L6691" i="6" s="1"/>
  <c r="K6690" i="6"/>
  <c r="L6690" i="6" s="1"/>
  <c r="K6689" i="6"/>
  <c r="L6689" i="6" s="1"/>
  <c r="K6688" i="6"/>
  <c r="L6688" i="6" s="1"/>
  <c r="L6679" i="6"/>
  <c r="L6680" i="6" s="1"/>
  <c r="K6677" i="6"/>
  <c r="L6677" i="6" s="1"/>
  <c r="L6678" i="6" s="1"/>
  <c r="K6674" i="6"/>
  <c r="L6674" i="6" s="1"/>
  <c r="K6673" i="6"/>
  <c r="L6673" i="6" s="1"/>
  <c r="K6672" i="6"/>
  <c r="L6672" i="6" s="1"/>
  <c r="K6671" i="6"/>
  <c r="L6671" i="6" s="1"/>
  <c r="L6662" i="6"/>
  <c r="L6663" i="6" s="1"/>
  <c r="K6660" i="6"/>
  <c r="L6660" i="6" s="1"/>
  <c r="L6661" i="6" s="1"/>
  <c r="K6657" i="6"/>
  <c r="L6657" i="6" s="1"/>
  <c r="K6656" i="6"/>
  <c r="L6656" i="6" s="1"/>
  <c r="K6655" i="6"/>
  <c r="L6655" i="6" s="1"/>
  <c r="K6654" i="6"/>
  <c r="L6654" i="6" s="1"/>
  <c r="L6645" i="6"/>
  <c r="L6646" i="6" s="1"/>
  <c r="K6643" i="6"/>
  <c r="L6643" i="6" s="1"/>
  <c r="L6644" i="6" s="1"/>
  <c r="K6640" i="6"/>
  <c r="L6640" i="6" s="1"/>
  <c r="K6639" i="6"/>
  <c r="L6639" i="6" s="1"/>
  <c r="K6638" i="6"/>
  <c r="L6638" i="6" s="1"/>
  <c r="K6637" i="6"/>
  <c r="L6637" i="6" s="1"/>
  <c r="L6628" i="6"/>
  <c r="L6629" i="6" s="1"/>
  <c r="K6626" i="6"/>
  <c r="L6626" i="6" s="1"/>
  <c r="L6627" i="6" s="1"/>
  <c r="K6623" i="6"/>
  <c r="L6623" i="6" s="1"/>
  <c r="K6622" i="6"/>
  <c r="L6622" i="6" s="1"/>
  <c r="K6621" i="6"/>
  <c r="L6621" i="6" s="1"/>
  <c r="K6620" i="6"/>
  <c r="L6620" i="6" s="1"/>
  <c r="L6611" i="6"/>
  <c r="L6612" i="6" s="1"/>
  <c r="K6609" i="6"/>
  <c r="L6609" i="6" s="1"/>
  <c r="L6610" i="6" s="1"/>
  <c r="K6606" i="6"/>
  <c r="L6606" i="6" s="1"/>
  <c r="K6605" i="6"/>
  <c r="L6605" i="6" s="1"/>
  <c r="K6604" i="6"/>
  <c r="L6604" i="6" s="1"/>
  <c r="K6603" i="6"/>
  <c r="L6603" i="6" s="1"/>
  <c r="L6594" i="6"/>
  <c r="L6595" i="6" s="1"/>
  <c r="K6592" i="6"/>
  <c r="L6592" i="6" s="1"/>
  <c r="L6593" i="6" s="1"/>
  <c r="K6589" i="6"/>
  <c r="L6589" i="6" s="1"/>
  <c r="K6588" i="6"/>
  <c r="L6588" i="6" s="1"/>
  <c r="K6587" i="6"/>
  <c r="L6587" i="6" s="1"/>
  <c r="K6586" i="6"/>
  <c r="L6586" i="6" s="1"/>
  <c r="L6585" i="6"/>
  <c r="L6576" i="6"/>
  <c r="L6577" i="6" s="1"/>
  <c r="K6574" i="6"/>
  <c r="L6574" i="6" s="1"/>
  <c r="L6575" i="6" s="1"/>
  <c r="K6571" i="6"/>
  <c r="L6571" i="6" s="1"/>
  <c r="K6570" i="6"/>
  <c r="L6570" i="6" s="1"/>
  <c r="K6569" i="6"/>
  <c r="L6569" i="6" s="1"/>
  <c r="K6568" i="6"/>
  <c r="L6568" i="6" s="1"/>
  <c r="L6567" i="6"/>
  <c r="L6558" i="6"/>
  <c r="L6559" i="6" s="1"/>
  <c r="K6556" i="6"/>
  <c r="L6556" i="6" s="1"/>
  <c r="L6557" i="6" s="1"/>
  <c r="K6553" i="6"/>
  <c r="L6553" i="6" s="1"/>
  <c r="K6552" i="6"/>
  <c r="L6552" i="6" s="1"/>
  <c r="K6551" i="6"/>
  <c r="L6551" i="6" s="1"/>
  <c r="K6550" i="6"/>
  <c r="L6550" i="6" s="1"/>
  <c r="L6541" i="6"/>
  <c r="L6542" i="6" s="1"/>
  <c r="K6539" i="6"/>
  <c r="L6539" i="6" s="1"/>
  <c r="L6540" i="6" s="1"/>
  <c r="K6536" i="6"/>
  <c r="L6536" i="6" s="1"/>
  <c r="K6535" i="6"/>
  <c r="L6535" i="6" s="1"/>
  <c r="K6534" i="6"/>
  <c r="L6534" i="6" s="1"/>
  <c r="K6533" i="6"/>
  <c r="L6533" i="6" s="1"/>
  <c r="L6524" i="6"/>
  <c r="L6525" i="6" s="1"/>
  <c r="K6522" i="6"/>
  <c r="L6522" i="6" s="1"/>
  <c r="L6523" i="6" s="1"/>
  <c r="K6519" i="6"/>
  <c r="L6519" i="6" s="1"/>
  <c r="K6518" i="6"/>
  <c r="L6518" i="6" s="1"/>
  <c r="K6517" i="6"/>
  <c r="L6517" i="6" s="1"/>
  <c r="K6516" i="6"/>
  <c r="L6516" i="6" s="1"/>
  <c r="L6507" i="6"/>
  <c r="L6508" i="6" s="1"/>
  <c r="K6505" i="6"/>
  <c r="L6505" i="6" s="1"/>
  <c r="L6506" i="6" s="1"/>
  <c r="K6502" i="6"/>
  <c r="L6502" i="6" s="1"/>
  <c r="K6501" i="6"/>
  <c r="L6501" i="6" s="1"/>
  <c r="K6500" i="6"/>
  <c r="L6500" i="6" s="1"/>
  <c r="K6499" i="6"/>
  <c r="L6499" i="6" s="1"/>
  <c r="L6490" i="6"/>
  <c r="L6491" i="6" s="1"/>
  <c r="K6488" i="6"/>
  <c r="L6488" i="6" s="1"/>
  <c r="L6489" i="6" s="1"/>
  <c r="K6485" i="6"/>
  <c r="L6485" i="6" s="1"/>
  <c r="K6484" i="6"/>
  <c r="L6484" i="6" s="1"/>
  <c r="K6483" i="6"/>
  <c r="L6483" i="6" s="1"/>
  <c r="K6482" i="6"/>
  <c r="L6482" i="6" s="1"/>
  <c r="L6473" i="6"/>
  <c r="L6474" i="6" s="1"/>
  <c r="K6471" i="6"/>
  <c r="L6471" i="6" s="1"/>
  <c r="L6472" i="6" s="1"/>
  <c r="K6468" i="6"/>
  <c r="L6468" i="6" s="1"/>
  <c r="K6467" i="6"/>
  <c r="L6467" i="6" s="1"/>
  <c r="K6466" i="6"/>
  <c r="L6466" i="6" s="1"/>
  <c r="K6465" i="6"/>
  <c r="L6465" i="6" s="1"/>
  <c r="L6455" i="6"/>
  <c r="L6456" i="6" s="1"/>
  <c r="K6453" i="6"/>
  <c r="L6453" i="6" s="1"/>
  <c r="K6452" i="6"/>
  <c r="L6452" i="6" s="1"/>
  <c r="K6451" i="6"/>
  <c r="L6451" i="6" s="1"/>
  <c r="K6450" i="6"/>
  <c r="L6450" i="6" s="1"/>
  <c r="K6447" i="6"/>
  <c r="L6447" i="6" s="1"/>
  <c r="K6446" i="6"/>
  <c r="L6446" i="6" s="1"/>
  <c r="K6445" i="6"/>
  <c r="L6445" i="6" s="1"/>
  <c r="K6444" i="6"/>
  <c r="L6444" i="6" s="1"/>
  <c r="L6435" i="6"/>
  <c r="L6436" i="6" s="1"/>
  <c r="K6433" i="6"/>
  <c r="L6433" i="6" s="1"/>
  <c r="K6432" i="6"/>
  <c r="L6432" i="6" s="1"/>
  <c r="K6429" i="6"/>
  <c r="L6429" i="6" s="1"/>
  <c r="K6428" i="6"/>
  <c r="L6428" i="6" s="1"/>
  <c r="K6427" i="6"/>
  <c r="L6427" i="6" s="1"/>
  <c r="K6426" i="6"/>
  <c r="L6426" i="6" s="1"/>
  <c r="L6417" i="6"/>
  <c r="L6418" i="6" s="1"/>
  <c r="K6415" i="6"/>
  <c r="L6415" i="6" s="1"/>
  <c r="K6414" i="6"/>
  <c r="L6414" i="6" s="1"/>
  <c r="K6413" i="6"/>
  <c r="L6413" i="6" s="1"/>
  <c r="K6410" i="6"/>
  <c r="L6410" i="6" s="1"/>
  <c r="K6409" i="6"/>
  <c r="L6409" i="6" s="1"/>
  <c r="K6408" i="6"/>
  <c r="L6408" i="6" s="1"/>
  <c r="K6407" i="6"/>
  <c r="L6407" i="6" s="1"/>
  <c r="L6398" i="6"/>
  <c r="L6399" i="6" s="1"/>
  <c r="K6396" i="6"/>
  <c r="L6396" i="6" s="1"/>
  <c r="K6395" i="6"/>
  <c r="L6395" i="6" s="1"/>
  <c r="K6394" i="6"/>
  <c r="L6394" i="6" s="1"/>
  <c r="K6393" i="6"/>
  <c r="L6393" i="6" s="1"/>
  <c r="K6390" i="6"/>
  <c r="L6390" i="6" s="1"/>
  <c r="K6389" i="6"/>
  <c r="L6389" i="6" s="1"/>
  <c r="K6388" i="6"/>
  <c r="L6388" i="6" s="1"/>
  <c r="K6387" i="6"/>
  <c r="L6387" i="6" s="1"/>
  <c r="L6378" i="6"/>
  <c r="L6379" i="6" s="1"/>
  <c r="K6376" i="6"/>
  <c r="L6376" i="6" s="1"/>
  <c r="K6375" i="6"/>
  <c r="L6375" i="6" s="1"/>
  <c r="K6374" i="6"/>
  <c r="L6374" i="6" s="1"/>
  <c r="K6373" i="6"/>
  <c r="L6373" i="6" s="1"/>
  <c r="K6370" i="6"/>
  <c r="L6370" i="6" s="1"/>
  <c r="K6369" i="6"/>
  <c r="L6369" i="6" s="1"/>
  <c r="K6368" i="6"/>
  <c r="L6368" i="6" s="1"/>
  <c r="K6367" i="6"/>
  <c r="L6367" i="6" s="1"/>
  <c r="L6358" i="6"/>
  <c r="L6359" i="6" s="1"/>
  <c r="K6356" i="6"/>
  <c r="L6356" i="6" s="1"/>
  <c r="K6355" i="6"/>
  <c r="L6355" i="6" s="1"/>
  <c r="K6352" i="6"/>
  <c r="L6352" i="6" s="1"/>
  <c r="K6351" i="6"/>
  <c r="L6351" i="6" s="1"/>
  <c r="K6350" i="6"/>
  <c r="L6350" i="6" s="1"/>
  <c r="K6349" i="6"/>
  <c r="L6349" i="6" s="1"/>
  <c r="L6340" i="6"/>
  <c r="L6341" i="6" s="1"/>
  <c r="K6338" i="6"/>
  <c r="L6338" i="6" s="1"/>
  <c r="K6337" i="6"/>
  <c r="L6337" i="6" s="1"/>
  <c r="K6334" i="6"/>
  <c r="L6334" i="6" s="1"/>
  <c r="K6333" i="6"/>
  <c r="L6333" i="6" s="1"/>
  <c r="K6332" i="6"/>
  <c r="L6332" i="6" s="1"/>
  <c r="K6331" i="6"/>
  <c r="L6331" i="6" s="1"/>
  <c r="L6322" i="6"/>
  <c r="L6323" i="6" s="1"/>
  <c r="K6320" i="6"/>
  <c r="L6320" i="6" s="1"/>
  <c r="K6319" i="6"/>
  <c r="L6319" i="6" s="1"/>
  <c r="K6316" i="6"/>
  <c r="L6316" i="6" s="1"/>
  <c r="K6315" i="6"/>
  <c r="L6315" i="6" s="1"/>
  <c r="K6314" i="6"/>
  <c r="L6314" i="6" s="1"/>
  <c r="K6313" i="6"/>
  <c r="L6313" i="6" s="1"/>
  <c r="L6304" i="6"/>
  <c r="L6305" i="6" s="1"/>
  <c r="K6302" i="6"/>
  <c r="L6302" i="6" s="1"/>
  <c r="K6301" i="6"/>
  <c r="L6301" i="6" s="1"/>
  <c r="K6298" i="6"/>
  <c r="L6298" i="6" s="1"/>
  <c r="K6297" i="6"/>
  <c r="L6297" i="6" s="1"/>
  <c r="K6296" i="6"/>
  <c r="L6296" i="6" s="1"/>
  <c r="K6295" i="6"/>
  <c r="L6295" i="6" s="1"/>
  <c r="L6286" i="6"/>
  <c r="L6287" i="6" s="1"/>
  <c r="K6284" i="6"/>
  <c r="L6284" i="6" s="1"/>
  <c r="K6283" i="6"/>
  <c r="L6283" i="6" s="1"/>
  <c r="K6280" i="6"/>
  <c r="L6280" i="6" s="1"/>
  <c r="K6279" i="6"/>
  <c r="L6279" i="6" s="1"/>
  <c r="K6278" i="6"/>
  <c r="L6278" i="6" s="1"/>
  <c r="K6277" i="6"/>
  <c r="L6277" i="6" s="1"/>
  <c r="L6268" i="6"/>
  <c r="L6269" i="6" s="1"/>
  <c r="K6266" i="6"/>
  <c r="L6266" i="6" s="1"/>
  <c r="K6265" i="6"/>
  <c r="L6265" i="6" s="1"/>
  <c r="K6262" i="6"/>
  <c r="L6262" i="6" s="1"/>
  <c r="K6261" i="6"/>
  <c r="L6261" i="6" s="1"/>
  <c r="K6260" i="6"/>
  <c r="L6260" i="6" s="1"/>
  <c r="K6259" i="6"/>
  <c r="L6259" i="6" s="1"/>
  <c r="L6250" i="6"/>
  <c r="L6251" i="6" s="1"/>
  <c r="K6248" i="6"/>
  <c r="L6248" i="6" s="1"/>
  <c r="K6247" i="6"/>
  <c r="L6247" i="6" s="1"/>
  <c r="K6246" i="6"/>
  <c r="L6246" i="6" s="1"/>
  <c r="K6243" i="6"/>
  <c r="L6243" i="6" s="1"/>
  <c r="K6242" i="6"/>
  <c r="L6242" i="6" s="1"/>
  <c r="K6241" i="6"/>
  <c r="L6241" i="6" s="1"/>
  <c r="K6240" i="6"/>
  <c r="L6240" i="6" s="1"/>
  <c r="L6231" i="6"/>
  <c r="L6232" i="6" s="1"/>
  <c r="K6229" i="6"/>
  <c r="L6229" i="6" s="1"/>
  <c r="K6228" i="6"/>
  <c r="L6228" i="6" s="1"/>
  <c r="K6227" i="6"/>
  <c r="L6227" i="6" s="1"/>
  <c r="K6224" i="6"/>
  <c r="L6224" i="6" s="1"/>
  <c r="K6223" i="6"/>
  <c r="L6223" i="6" s="1"/>
  <c r="K6222" i="6"/>
  <c r="L6222" i="6" s="1"/>
  <c r="K6221" i="6"/>
  <c r="L6221" i="6" s="1"/>
  <c r="L6212" i="6"/>
  <c r="L6213" i="6" s="1"/>
  <c r="K6210" i="6"/>
  <c r="L6210" i="6" s="1"/>
  <c r="K6209" i="6"/>
  <c r="L6209" i="6" s="1"/>
  <c r="K6208" i="6"/>
  <c r="L6208" i="6" s="1"/>
  <c r="K6205" i="6"/>
  <c r="L6205" i="6" s="1"/>
  <c r="K6204" i="6"/>
  <c r="L6204" i="6" s="1"/>
  <c r="K6203" i="6"/>
  <c r="L6203" i="6" s="1"/>
  <c r="K6202" i="6"/>
  <c r="L6202" i="6" s="1"/>
  <c r="L6193" i="6"/>
  <c r="L6194" i="6" s="1"/>
  <c r="K6191" i="6"/>
  <c r="L6191" i="6" s="1"/>
  <c r="K6190" i="6"/>
  <c r="L6190" i="6" s="1"/>
  <c r="K6189" i="6"/>
  <c r="L6189" i="6" s="1"/>
  <c r="K6186" i="6"/>
  <c r="L6186" i="6" s="1"/>
  <c r="K6185" i="6"/>
  <c r="L6185" i="6" s="1"/>
  <c r="K6184" i="6"/>
  <c r="L6184" i="6" s="1"/>
  <c r="K6183" i="6"/>
  <c r="L6183" i="6" s="1"/>
  <c r="L6174" i="6"/>
  <c r="L6175" i="6" s="1"/>
  <c r="K6172" i="6"/>
  <c r="L6172" i="6" s="1"/>
  <c r="K6171" i="6"/>
  <c r="L6171" i="6" s="1"/>
  <c r="K6170" i="6"/>
  <c r="L6170" i="6" s="1"/>
  <c r="K6167" i="6"/>
  <c r="L6167" i="6" s="1"/>
  <c r="K6166" i="6"/>
  <c r="L6166" i="6" s="1"/>
  <c r="K6165" i="6"/>
  <c r="L6165" i="6" s="1"/>
  <c r="K6164" i="6"/>
  <c r="L6164" i="6" s="1"/>
  <c r="L6155" i="6"/>
  <c r="L6156" i="6" s="1"/>
  <c r="K6153" i="6"/>
  <c r="L6153" i="6" s="1"/>
  <c r="K6152" i="6"/>
  <c r="L6152" i="6" s="1"/>
  <c r="K6151" i="6"/>
  <c r="L6151" i="6" s="1"/>
  <c r="K6150" i="6"/>
  <c r="L6150" i="6" s="1"/>
  <c r="K6149" i="6"/>
  <c r="L6149" i="6" s="1"/>
  <c r="K6146" i="6"/>
  <c r="L6146" i="6" s="1"/>
  <c r="K6145" i="6"/>
  <c r="L6145" i="6" s="1"/>
  <c r="K6144" i="6"/>
  <c r="L6144" i="6" s="1"/>
  <c r="K6143" i="6"/>
  <c r="L6143" i="6" s="1"/>
  <c r="L6134" i="6"/>
  <c r="L6135" i="6" s="1"/>
  <c r="K6132" i="6"/>
  <c r="L6132" i="6" s="1"/>
  <c r="K6131" i="6"/>
  <c r="L6131" i="6" s="1"/>
  <c r="K6130" i="6"/>
  <c r="L6130" i="6" s="1"/>
  <c r="K6129" i="6"/>
  <c r="L6129" i="6" s="1"/>
  <c r="K6126" i="6"/>
  <c r="L6126" i="6" s="1"/>
  <c r="K6125" i="6"/>
  <c r="L6125" i="6" s="1"/>
  <c r="K6124" i="6"/>
  <c r="L6124" i="6" s="1"/>
  <c r="K6123" i="6"/>
  <c r="L6123" i="6" s="1"/>
  <c r="L6114" i="6"/>
  <c r="L6115" i="6" s="1"/>
  <c r="K6112" i="6"/>
  <c r="L6112" i="6" s="1"/>
  <c r="K6111" i="6"/>
  <c r="L6111" i="6" s="1"/>
  <c r="K6108" i="6"/>
  <c r="L6108" i="6" s="1"/>
  <c r="K6107" i="6"/>
  <c r="L6107" i="6" s="1"/>
  <c r="K6106" i="6"/>
  <c r="L6106" i="6" s="1"/>
  <c r="K6105" i="6"/>
  <c r="L6105" i="6" s="1"/>
  <c r="L6096" i="6"/>
  <c r="L6097" i="6" s="1"/>
  <c r="K6094" i="6"/>
  <c r="L6094" i="6" s="1"/>
  <c r="K6093" i="6"/>
  <c r="L6093" i="6" s="1"/>
  <c r="K6092" i="6"/>
  <c r="L6092" i="6" s="1"/>
  <c r="K6091" i="6"/>
  <c r="L6091" i="6" s="1"/>
  <c r="K6088" i="6"/>
  <c r="L6088" i="6" s="1"/>
  <c r="K6087" i="6"/>
  <c r="L6087" i="6" s="1"/>
  <c r="K6086" i="6"/>
  <c r="L6086" i="6" s="1"/>
  <c r="K6085" i="6"/>
  <c r="L6085" i="6" s="1"/>
  <c r="L6076" i="6"/>
  <c r="L6077" i="6" s="1"/>
  <c r="K6074" i="6"/>
  <c r="L6074" i="6" s="1"/>
  <c r="K6073" i="6"/>
  <c r="L6073" i="6" s="1"/>
  <c r="K6072" i="6"/>
  <c r="L6072" i="6" s="1"/>
  <c r="K6071" i="6"/>
  <c r="L6071" i="6" s="1"/>
  <c r="K6068" i="6"/>
  <c r="L6068" i="6" s="1"/>
  <c r="K6067" i="6"/>
  <c r="L6067" i="6" s="1"/>
  <c r="K6066" i="6"/>
  <c r="L6066" i="6" s="1"/>
  <c r="K6065" i="6"/>
  <c r="L6065" i="6" s="1"/>
  <c r="L6056" i="6"/>
  <c r="L6057" i="6" s="1"/>
  <c r="K6054" i="6"/>
  <c r="L6054" i="6" s="1"/>
  <c r="K6053" i="6"/>
  <c r="L6053" i="6" s="1"/>
  <c r="K6050" i="6"/>
  <c r="L6050" i="6" s="1"/>
  <c r="K6049" i="6"/>
  <c r="L6049" i="6" s="1"/>
  <c r="K6048" i="6"/>
  <c r="L6048" i="6" s="1"/>
  <c r="K6047" i="6"/>
  <c r="L6047" i="6" s="1"/>
  <c r="L6038" i="6"/>
  <c r="L6039" i="6" s="1"/>
  <c r="K6036" i="6"/>
  <c r="L6036" i="6" s="1"/>
  <c r="K6035" i="6"/>
  <c r="L6035" i="6" s="1"/>
  <c r="K6032" i="6"/>
  <c r="L6032" i="6" s="1"/>
  <c r="K6031" i="6"/>
  <c r="L6031" i="6" s="1"/>
  <c r="K6030" i="6"/>
  <c r="L6030" i="6" s="1"/>
  <c r="K6029" i="6"/>
  <c r="L6029" i="6" s="1"/>
  <c r="L6020" i="6"/>
  <c r="L6021" i="6" s="1"/>
  <c r="K6018" i="6"/>
  <c r="L6018" i="6" s="1"/>
  <c r="K6017" i="6"/>
  <c r="L6017" i="6" s="1"/>
  <c r="K6014" i="6"/>
  <c r="L6014" i="6" s="1"/>
  <c r="K6013" i="6"/>
  <c r="L6013" i="6" s="1"/>
  <c r="K6012" i="6"/>
  <c r="L6012" i="6" s="1"/>
  <c r="K6011" i="6"/>
  <c r="L6011" i="6" s="1"/>
  <c r="L6002" i="6"/>
  <c r="L6003" i="6" s="1"/>
  <c r="K6000" i="6"/>
  <c r="L6000" i="6" s="1"/>
  <c r="K5999" i="6"/>
  <c r="L5999" i="6" s="1"/>
  <c r="K5996" i="6"/>
  <c r="L5996" i="6" s="1"/>
  <c r="K5995" i="6"/>
  <c r="L5995" i="6" s="1"/>
  <c r="K5994" i="6"/>
  <c r="L5994" i="6" s="1"/>
  <c r="K5993" i="6"/>
  <c r="L5993" i="6" s="1"/>
  <c r="L5984" i="6"/>
  <c r="L5985" i="6" s="1"/>
  <c r="K5982" i="6"/>
  <c r="L5982" i="6" s="1"/>
  <c r="K5981" i="6"/>
  <c r="L5981" i="6" s="1"/>
  <c r="K5978" i="6"/>
  <c r="L5978" i="6" s="1"/>
  <c r="K5977" i="6"/>
  <c r="L5977" i="6" s="1"/>
  <c r="K5976" i="6"/>
  <c r="L5976" i="6" s="1"/>
  <c r="K5975" i="6"/>
  <c r="L5975" i="6" s="1"/>
  <c r="L5966" i="6"/>
  <c r="L5967" i="6" s="1"/>
  <c r="K5964" i="6"/>
  <c r="L5964" i="6" s="1"/>
  <c r="K5963" i="6"/>
  <c r="L5963" i="6" s="1"/>
  <c r="K5962" i="6"/>
  <c r="L5962" i="6" s="1"/>
  <c r="K5959" i="6"/>
  <c r="L5959" i="6" s="1"/>
  <c r="K5958" i="6"/>
  <c r="L5958" i="6" s="1"/>
  <c r="K5957" i="6"/>
  <c r="L5957" i="6" s="1"/>
  <c r="K5956" i="6"/>
  <c r="L5956" i="6" s="1"/>
  <c r="L5947" i="6"/>
  <c r="L5948" i="6" s="1"/>
  <c r="K5945" i="6"/>
  <c r="L5945" i="6" s="1"/>
  <c r="K5944" i="6"/>
  <c r="L5944" i="6" s="1"/>
  <c r="K5943" i="6"/>
  <c r="L5943" i="6" s="1"/>
  <c r="K5940" i="6"/>
  <c r="L5940" i="6" s="1"/>
  <c r="K5939" i="6"/>
  <c r="L5939" i="6" s="1"/>
  <c r="K5938" i="6"/>
  <c r="L5938" i="6" s="1"/>
  <c r="K5937" i="6"/>
  <c r="L5937" i="6" s="1"/>
  <c r="L5927" i="6"/>
  <c r="L5928" i="6" s="1"/>
  <c r="K5925" i="6"/>
  <c r="L5925" i="6" s="1"/>
  <c r="L5926" i="6" s="1"/>
  <c r="K5922" i="6"/>
  <c r="L5922" i="6" s="1"/>
  <c r="K5921" i="6"/>
  <c r="L5921" i="6" s="1"/>
  <c r="K5920" i="6"/>
  <c r="L5920" i="6" s="1"/>
  <c r="K5919" i="6"/>
  <c r="L5919" i="6" s="1"/>
  <c r="L5910" i="6"/>
  <c r="L5911" i="6" s="1"/>
  <c r="K5908" i="6"/>
  <c r="L5908" i="6" s="1"/>
  <c r="K5907" i="6"/>
  <c r="L5907" i="6" s="1"/>
  <c r="K5904" i="6"/>
  <c r="L5904" i="6" s="1"/>
  <c r="K5903" i="6"/>
  <c r="L5903" i="6" s="1"/>
  <c r="K5902" i="6"/>
  <c r="L5902" i="6" s="1"/>
  <c r="K5901" i="6"/>
  <c r="L5901" i="6" s="1"/>
  <c r="L5892" i="6"/>
  <c r="L5893" i="6" s="1"/>
  <c r="K5890" i="6"/>
  <c r="L5890" i="6" s="1"/>
  <c r="K5889" i="6"/>
  <c r="L5889" i="6" s="1"/>
  <c r="K5886" i="6"/>
  <c r="L5886" i="6" s="1"/>
  <c r="K5885" i="6"/>
  <c r="L5885" i="6" s="1"/>
  <c r="K5884" i="6"/>
  <c r="L5884" i="6" s="1"/>
  <c r="K5883" i="6"/>
  <c r="L5883" i="6" s="1"/>
  <c r="L5874" i="6"/>
  <c r="L5875" i="6" s="1"/>
  <c r="K5872" i="6"/>
  <c r="L5872" i="6" s="1"/>
  <c r="K5871" i="6"/>
  <c r="L5871" i="6" s="1"/>
  <c r="K5868" i="6"/>
  <c r="L5868" i="6" s="1"/>
  <c r="K5867" i="6"/>
  <c r="L5867" i="6" s="1"/>
  <c r="K5866" i="6"/>
  <c r="L5866" i="6" s="1"/>
  <c r="K5865" i="6"/>
  <c r="L5865" i="6" s="1"/>
  <c r="L5856" i="6"/>
  <c r="L5857" i="6" s="1"/>
  <c r="K5854" i="6"/>
  <c r="L5854" i="6" s="1"/>
  <c r="K5853" i="6"/>
  <c r="L5853" i="6" s="1"/>
  <c r="K5850" i="6"/>
  <c r="L5850" i="6" s="1"/>
  <c r="K5849" i="6"/>
  <c r="L5849" i="6" s="1"/>
  <c r="K5848" i="6"/>
  <c r="L5848" i="6" s="1"/>
  <c r="K5847" i="6"/>
  <c r="L5847" i="6" s="1"/>
  <c r="L5846" i="6"/>
  <c r="L5837" i="6"/>
  <c r="L5838" i="6" s="1"/>
  <c r="K5835" i="6"/>
  <c r="L5835" i="6" s="1"/>
  <c r="K5834" i="6"/>
  <c r="L5834" i="6" s="1"/>
  <c r="K5833" i="6"/>
  <c r="L5833" i="6" s="1"/>
  <c r="K5830" i="6"/>
  <c r="L5830" i="6" s="1"/>
  <c r="K5829" i="6"/>
  <c r="L5829" i="6" s="1"/>
  <c r="K5828" i="6"/>
  <c r="L5828" i="6" s="1"/>
  <c r="K5827" i="6"/>
  <c r="L5827" i="6" s="1"/>
  <c r="L5818" i="6"/>
  <c r="L5819" i="6" s="1"/>
  <c r="K5816" i="6"/>
  <c r="L5816" i="6" s="1"/>
  <c r="K5815" i="6"/>
  <c r="L5815" i="6" s="1"/>
  <c r="K5812" i="6"/>
  <c r="L5812" i="6" s="1"/>
  <c r="K5811" i="6"/>
  <c r="L5811" i="6" s="1"/>
  <c r="K5810" i="6"/>
  <c r="L5810" i="6" s="1"/>
  <c r="K5809" i="6"/>
  <c r="L5809" i="6" s="1"/>
  <c r="L5800" i="6"/>
  <c r="L5801" i="6" s="1"/>
  <c r="K5798" i="6"/>
  <c r="L5798" i="6" s="1"/>
  <c r="K5797" i="6"/>
  <c r="L5797" i="6" s="1"/>
  <c r="K5796" i="6"/>
  <c r="L5796" i="6" s="1"/>
  <c r="K5793" i="6"/>
  <c r="L5793" i="6" s="1"/>
  <c r="K5792" i="6"/>
  <c r="L5792" i="6" s="1"/>
  <c r="K5791" i="6"/>
  <c r="L5791" i="6" s="1"/>
  <c r="K5790" i="6"/>
  <c r="L5790" i="6" s="1"/>
  <c r="L5781" i="6"/>
  <c r="L5782" i="6" s="1"/>
  <c r="K5779" i="6"/>
  <c r="L5779" i="6" s="1"/>
  <c r="K5778" i="6"/>
  <c r="L5778" i="6" s="1"/>
  <c r="K5777" i="6"/>
  <c r="L5777" i="6" s="1"/>
  <c r="K5776" i="6"/>
  <c r="L5776" i="6" s="1"/>
  <c r="K5775" i="6"/>
  <c r="L5775" i="6" s="1"/>
  <c r="K5772" i="6"/>
  <c r="L5772" i="6" s="1"/>
  <c r="K5771" i="6"/>
  <c r="L5771" i="6" s="1"/>
  <c r="K5770" i="6"/>
  <c r="L5770" i="6" s="1"/>
  <c r="K5769" i="6"/>
  <c r="L5769" i="6" s="1"/>
  <c r="L5760" i="6"/>
  <c r="L5761" i="6" s="1"/>
  <c r="K5758" i="6"/>
  <c r="L5758" i="6" s="1"/>
  <c r="K5757" i="6"/>
  <c r="L5757" i="6" s="1"/>
  <c r="K5754" i="6"/>
  <c r="L5754" i="6" s="1"/>
  <c r="K5753" i="6"/>
  <c r="L5753" i="6" s="1"/>
  <c r="K5752" i="6"/>
  <c r="L5752" i="6" s="1"/>
  <c r="K5751" i="6"/>
  <c r="L5751" i="6" s="1"/>
  <c r="L5740" i="6"/>
  <c r="L5741" i="6" s="1"/>
  <c r="K5738" i="6"/>
  <c r="L5738" i="6" s="1"/>
  <c r="K5737" i="6"/>
  <c r="L5737" i="6" s="1"/>
  <c r="K5734" i="6"/>
  <c r="L5734" i="6" s="1"/>
  <c r="K5733" i="6"/>
  <c r="L5733" i="6" s="1"/>
  <c r="K5732" i="6"/>
  <c r="L5732" i="6" s="1"/>
  <c r="K5731" i="6"/>
  <c r="L5731" i="6" s="1"/>
  <c r="L5722" i="6"/>
  <c r="L5723" i="6" s="1"/>
  <c r="K5720" i="6"/>
  <c r="L5720" i="6" s="1"/>
  <c r="K5719" i="6"/>
  <c r="L5719" i="6" s="1"/>
  <c r="K5716" i="6"/>
  <c r="L5716" i="6" s="1"/>
  <c r="K5715" i="6"/>
  <c r="L5715" i="6" s="1"/>
  <c r="K5714" i="6"/>
  <c r="L5714" i="6" s="1"/>
  <c r="K5713" i="6"/>
  <c r="L5713" i="6" s="1"/>
  <c r="L5704" i="6"/>
  <c r="L5705" i="6" s="1"/>
  <c r="K5702" i="6"/>
  <c r="L5702" i="6" s="1"/>
  <c r="K5701" i="6"/>
  <c r="L5701" i="6" s="1"/>
  <c r="K5700" i="6"/>
  <c r="L5700" i="6" s="1"/>
  <c r="K5699" i="6"/>
  <c r="L5699" i="6" s="1"/>
  <c r="K5696" i="6"/>
  <c r="L5696" i="6" s="1"/>
  <c r="K5695" i="6"/>
  <c r="L5695" i="6" s="1"/>
  <c r="K5694" i="6"/>
  <c r="L5694" i="6" s="1"/>
  <c r="K5693" i="6"/>
  <c r="L5693" i="6" s="1"/>
  <c r="L5684" i="6"/>
  <c r="L5685" i="6" s="1"/>
  <c r="K5682" i="6"/>
  <c r="L5682" i="6" s="1"/>
  <c r="K5681" i="6"/>
  <c r="L5681" i="6" s="1"/>
  <c r="K5678" i="6"/>
  <c r="L5678" i="6" s="1"/>
  <c r="K5677" i="6"/>
  <c r="L5677" i="6" s="1"/>
  <c r="K5676" i="6"/>
  <c r="L5676" i="6" s="1"/>
  <c r="K5675" i="6"/>
  <c r="L5675" i="6" s="1"/>
  <c r="L5666" i="6"/>
  <c r="L5667" i="6" s="1"/>
  <c r="K5664" i="6"/>
  <c r="L5664" i="6" s="1"/>
  <c r="K5663" i="6"/>
  <c r="L5663" i="6" s="1"/>
  <c r="K5660" i="6"/>
  <c r="L5660" i="6" s="1"/>
  <c r="K5659" i="6"/>
  <c r="L5659" i="6" s="1"/>
  <c r="K5658" i="6"/>
  <c r="L5658" i="6" s="1"/>
  <c r="K5657" i="6"/>
  <c r="L5657" i="6" s="1"/>
  <c r="L5648" i="6"/>
  <c r="L5649" i="6" s="1"/>
  <c r="K5646" i="6"/>
  <c r="L5646" i="6" s="1"/>
  <c r="K5645" i="6"/>
  <c r="L5645" i="6" s="1"/>
  <c r="K5642" i="6"/>
  <c r="L5642" i="6" s="1"/>
  <c r="K5641" i="6"/>
  <c r="L5641" i="6" s="1"/>
  <c r="K5640" i="6"/>
  <c r="L5640" i="6" s="1"/>
  <c r="K5639" i="6"/>
  <c r="L5639" i="6" s="1"/>
  <c r="L5630" i="6"/>
  <c r="L5631" i="6" s="1"/>
  <c r="K5628" i="6"/>
  <c r="L5628" i="6" s="1"/>
  <c r="K5627" i="6"/>
  <c r="L5627" i="6" s="1"/>
  <c r="K5624" i="6"/>
  <c r="L5624" i="6" s="1"/>
  <c r="K5623" i="6"/>
  <c r="L5623" i="6" s="1"/>
  <c r="K5622" i="6"/>
  <c r="L5622" i="6" s="1"/>
  <c r="K5621" i="6"/>
  <c r="L5621" i="6" s="1"/>
  <c r="L5612" i="6"/>
  <c r="L5613" i="6" s="1"/>
  <c r="K5610" i="6"/>
  <c r="L5610" i="6" s="1"/>
  <c r="K5609" i="6"/>
  <c r="L5609" i="6" s="1"/>
  <c r="K5606" i="6"/>
  <c r="L5606" i="6" s="1"/>
  <c r="K5605" i="6"/>
  <c r="L5605" i="6" s="1"/>
  <c r="K5604" i="6"/>
  <c r="L5604" i="6" s="1"/>
  <c r="K5603" i="6"/>
  <c r="L5603" i="6" s="1"/>
  <c r="L5594" i="6"/>
  <c r="L5595" i="6" s="1"/>
  <c r="K5592" i="6"/>
  <c r="L5592" i="6" s="1"/>
  <c r="K5591" i="6"/>
  <c r="L5591" i="6" s="1"/>
  <c r="K5588" i="6"/>
  <c r="L5588" i="6" s="1"/>
  <c r="K5587" i="6"/>
  <c r="L5587" i="6" s="1"/>
  <c r="K5586" i="6"/>
  <c r="L5586" i="6" s="1"/>
  <c r="K5585" i="6"/>
  <c r="L5585" i="6" s="1"/>
  <c r="L5576" i="6"/>
  <c r="L5577" i="6" s="1"/>
  <c r="K5574" i="6"/>
  <c r="L5574" i="6" s="1"/>
  <c r="K5573" i="6"/>
  <c r="L5573" i="6" s="1"/>
  <c r="K5570" i="6"/>
  <c r="L5570" i="6" s="1"/>
  <c r="K5569" i="6"/>
  <c r="L5569" i="6" s="1"/>
  <c r="K5568" i="6"/>
  <c r="L5568" i="6" s="1"/>
  <c r="K5567" i="6"/>
  <c r="L5567" i="6" s="1"/>
  <c r="L5558" i="6"/>
  <c r="L5559" i="6" s="1"/>
  <c r="K5556" i="6"/>
  <c r="L5556" i="6" s="1"/>
  <c r="K5555" i="6"/>
  <c r="L5555" i="6" s="1"/>
  <c r="K5552" i="6"/>
  <c r="L5552" i="6" s="1"/>
  <c r="K5551" i="6"/>
  <c r="L5551" i="6" s="1"/>
  <c r="K5550" i="6"/>
  <c r="L5550" i="6" s="1"/>
  <c r="K5549" i="6"/>
  <c r="L5549" i="6" s="1"/>
  <c r="L5540" i="6"/>
  <c r="L5541" i="6" s="1"/>
  <c r="K5538" i="6"/>
  <c r="L5538" i="6" s="1"/>
  <c r="K5537" i="6"/>
  <c r="L5537" i="6" s="1"/>
  <c r="K5534" i="6"/>
  <c r="L5534" i="6" s="1"/>
  <c r="K5533" i="6"/>
  <c r="L5533" i="6" s="1"/>
  <c r="K5532" i="6"/>
  <c r="L5532" i="6" s="1"/>
  <c r="K5531" i="6"/>
  <c r="L5531" i="6" s="1"/>
  <c r="L5522" i="6"/>
  <c r="L5523" i="6" s="1"/>
  <c r="K5520" i="6"/>
  <c r="L5520" i="6" s="1"/>
  <c r="K5519" i="6"/>
  <c r="L5519" i="6" s="1"/>
  <c r="K5516" i="6"/>
  <c r="L5516" i="6" s="1"/>
  <c r="K5515" i="6"/>
  <c r="L5515" i="6" s="1"/>
  <c r="K5514" i="6"/>
  <c r="L5514" i="6" s="1"/>
  <c r="K5513" i="6"/>
  <c r="L5513" i="6" s="1"/>
  <c r="L5504" i="6"/>
  <c r="L5505" i="6" s="1"/>
  <c r="K5502" i="6"/>
  <c r="L5502" i="6" s="1"/>
  <c r="K5501" i="6"/>
  <c r="L5501" i="6" s="1"/>
  <c r="K5498" i="6"/>
  <c r="L5498" i="6" s="1"/>
  <c r="K5497" i="6"/>
  <c r="L5497" i="6" s="1"/>
  <c r="K5496" i="6"/>
  <c r="L5496" i="6" s="1"/>
  <c r="K5495" i="6"/>
  <c r="L5495" i="6" s="1"/>
  <c r="L5486" i="6"/>
  <c r="L5487" i="6" s="1"/>
  <c r="K5484" i="6"/>
  <c r="L5484" i="6" s="1"/>
  <c r="K5483" i="6"/>
  <c r="L5483" i="6" s="1"/>
  <c r="K5480" i="6"/>
  <c r="L5480" i="6" s="1"/>
  <c r="K5479" i="6"/>
  <c r="L5479" i="6" s="1"/>
  <c r="K5478" i="6"/>
  <c r="L5478" i="6" s="1"/>
  <c r="K5477" i="6"/>
  <c r="L5477" i="6" s="1"/>
  <c r="L5468" i="6"/>
  <c r="L5469" i="6" s="1"/>
  <c r="K5466" i="6"/>
  <c r="L5466" i="6" s="1"/>
  <c r="K5465" i="6"/>
  <c r="L5465" i="6" s="1"/>
  <c r="K5462" i="6"/>
  <c r="L5462" i="6" s="1"/>
  <c r="K5461" i="6"/>
  <c r="L5461" i="6" s="1"/>
  <c r="K5460" i="6"/>
  <c r="L5460" i="6" s="1"/>
  <c r="K5459" i="6"/>
  <c r="L5459" i="6" s="1"/>
  <c r="L5450" i="6"/>
  <c r="L5451" i="6" s="1"/>
  <c r="K5448" i="6"/>
  <c r="L5448" i="6" s="1"/>
  <c r="K5447" i="6"/>
  <c r="L5447" i="6" s="1"/>
  <c r="K5444" i="6"/>
  <c r="L5444" i="6" s="1"/>
  <c r="K5443" i="6"/>
  <c r="L5443" i="6" s="1"/>
  <c r="K5442" i="6"/>
  <c r="L5442" i="6" s="1"/>
  <c r="K5441" i="6"/>
  <c r="L5441" i="6" s="1"/>
  <c r="L5432" i="6"/>
  <c r="L5433" i="6" s="1"/>
  <c r="K5430" i="6"/>
  <c r="L5430" i="6" s="1"/>
  <c r="K5429" i="6"/>
  <c r="L5429" i="6" s="1"/>
  <c r="K5426" i="6"/>
  <c r="L5426" i="6" s="1"/>
  <c r="K5425" i="6"/>
  <c r="L5425" i="6" s="1"/>
  <c r="K5424" i="6"/>
  <c r="L5424" i="6" s="1"/>
  <c r="K5423" i="6"/>
  <c r="L5423" i="6" s="1"/>
  <c r="L5414" i="6"/>
  <c r="L5415" i="6" s="1"/>
  <c r="K5412" i="6"/>
  <c r="L5412" i="6" s="1"/>
  <c r="K5411" i="6"/>
  <c r="L5411" i="6" s="1"/>
  <c r="K5408" i="6"/>
  <c r="L5408" i="6" s="1"/>
  <c r="K5407" i="6"/>
  <c r="L5407" i="6" s="1"/>
  <c r="K5406" i="6"/>
  <c r="L5406" i="6" s="1"/>
  <c r="K5405" i="6"/>
  <c r="L5405" i="6" s="1"/>
  <c r="L5396" i="6"/>
  <c r="L5397" i="6" s="1"/>
  <c r="K5394" i="6"/>
  <c r="L5394" i="6" s="1"/>
  <c r="K5393" i="6"/>
  <c r="L5393" i="6" s="1"/>
  <c r="K5390" i="6"/>
  <c r="L5390" i="6" s="1"/>
  <c r="K5389" i="6"/>
  <c r="L5389" i="6" s="1"/>
  <c r="K5388" i="6"/>
  <c r="L5388" i="6" s="1"/>
  <c r="K5387" i="6"/>
  <c r="L5387" i="6" s="1"/>
  <c r="L5378" i="6"/>
  <c r="L5379" i="6" s="1"/>
  <c r="K5376" i="6"/>
  <c r="L5376" i="6" s="1"/>
  <c r="K5375" i="6"/>
  <c r="L5375" i="6" s="1"/>
  <c r="K5372" i="6"/>
  <c r="L5372" i="6" s="1"/>
  <c r="K5371" i="6"/>
  <c r="L5371" i="6" s="1"/>
  <c r="K5370" i="6"/>
  <c r="L5370" i="6" s="1"/>
  <c r="K5369" i="6"/>
  <c r="L5369" i="6" s="1"/>
  <c r="L5360" i="6"/>
  <c r="L5361" i="6" s="1"/>
  <c r="K5358" i="6"/>
  <c r="L5358" i="6" s="1"/>
  <c r="K5357" i="6"/>
  <c r="L5357" i="6" s="1"/>
  <c r="K5354" i="6"/>
  <c r="L5354" i="6" s="1"/>
  <c r="K5353" i="6"/>
  <c r="L5353" i="6" s="1"/>
  <c r="K5352" i="6"/>
  <c r="L5352" i="6" s="1"/>
  <c r="K5351" i="6"/>
  <c r="L5351" i="6" s="1"/>
  <c r="L5342" i="6"/>
  <c r="L5343" i="6" s="1"/>
  <c r="K5340" i="6"/>
  <c r="L5340" i="6" s="1"/>
  <c r="K5339" i="6"/>
  <c r="L5339" i="6" s="1"/>
  <c r="K5336" i="6"/>
  <c r="L5336" i="6" s="1"/>
  <c r="K5335" i="6"/>
  <c r="L5335" i="6" s="1"/>
  <c r="K5334" i="6"/>
  <c r="L5334" i="6" s="1"/>
  <c r="K5333" i="6"/>
  <c r="L5333" i="6" s="1"/>
  <c r="L5324" i="6"/>
  <c r="L5325" i="6" s="1"/>
  <c r="K5322" i="6"/>
  <c r="L5322" i="6" s="1"/>
  <c r="K5321" i="6"/>
  <c r="L5321" i="6" s="1"/>
  <c r="K5318" i="6"/>
  <c r="L5318" i="6" s="1"/>
  <c r="K5317" i="6"/>
  <c r="L5317" i="6" s="1"/>
  <c r="K5316" i="6"/>
  <c r="L5316" i="6" s="1"/>
  <c r="K5315" i="6"/>
  <c r="L5315" i="6" s="1"/>
  <c r="L5306" i="6"/>
  <c r="L5307" i="6" s="1"/>
  <c r="K5304" i="6"/>
  <c r="L5304" i="6" s="1"/>
  <c r="K5303" i="6"/>
  <c r="L5303" i="6" s="1"/>
  <c r="K5300" i="6"/>
  <c r="L5300" i="6" s="1"/>
  <c r="K5299" i="6"/>
  <c r="L5299" i="6" s="1"/>
  <c r="K5298" i="6"/>
  <c r="L5298" i="6" s="1"/>
  <c r="K5297" i="6"/>
  <c r="L5297" i="6" s="1"/>
  <c r="L5288" i="6"/>
  <c r="L5289" i="6" s="1"/>
  <c r="K5286" i="6"/>
  <c r="L5286" i="6" s="1"/>
  <c r="K5285" i="6"/>
  <c r="L5285" i="6" s="1"/>
  <c r="K5282" i="6"/>
  <c r="L5282" i="6" s="1"/>
  <c r="K5281" i="6"/>
  <c r="L5281" i="6" s="1"/>
  <c r="K5280" i="6"/>
  <c r="L5280" i="6" s="1"/>
  <c r="K5279" i="6"/>
  <c r="L5279" i="6" s="1"/>
  <c r="L5270" i="6"/>
  <c r="L5271" i="6" s="1"/>
  <c r="K5268" i="6"/>
  <c r="L5268" i="6" s="1"/>
  <c r="K5267" i="6"/>
  <c r="L5267" i="6" s="1"/>
  <c r="K5264" i="6"/>
  <c r="L5264" i="6" s="1"/>
  <c r="K5263" i="6"/>
  <c r="L5263" i="6" s="1"/>
  <c r="K5262" i="6"/>
  <c r="L5262" i="6" s="1"/>
  <c r="K5261" i="6"/>
  <c r="L5261" i="6" s="1"/>
  <c r="L5252" i="6"/>
  <c r="L5253" i="6" s="1"/>
  <c r="K5250" i="6"/>
  <c r="L5250" i="6" s="1"/>
  <c r="K5249" i="6"/>
  <c r="L5249" i="6" s="1"/>
  <c r="K5248" i="6"/>
  <c r="L5248" i="6" s="1"/>
  <c r="K5245" i="6"/>
  <c r="L5245" i="6" s="1"/>
  <c r="K5244" i="6"/>
  <c r="L5244" i="6" s="1"/>
  <c r="K5243" i="6"/>
  <c r="L5243" i="6" s="1"/>
  <c r="K5242" i="6"/>
  <c r="L5242" i="6" s="1"/>
  <c r="L5233" i="6"/>
  <c r="L5234" i="6" s="1"/>
  <c r="K5231" i="6"/>
  <c r="L5231" i="6" s="1"/>
  <c r="K5230" i="6"/>
  <c r="L5230" i="6" s="1"/>
  <c r="K5229" i="6"/>
  <c r="L5229" i="6" s="1"/>
  <c r="K5226" i="6"/>
  <c r="L5226" i="6" s="1"/>
  <c r="K5225" i="6"/>
  <c r="L5225" i="6" s="1"/>
  <c r="K5224" i="6"/>
  <c r="L5224" i="6" s="1"/>
  <c r="K5223" i="6"/>
  <c r="L5223" i="6" s="1"/>
  <c r="L5214" i="6"/>
  <c r="L5215" i="6" s="1"/>
  <c r="K5212" i="6"/>
  <c r="L5212" i="6" s="1"/>
  <c r="K5211" i="6"/>
  <c r="L5211" i="6" s="1"/>
  <c r="K5210" i="6"/>
  <c r="L5210" i="6" s="1"/>
  <c r="K5207" i="6"/>
  <c r="L5207" i="6" s="1"/>
  <c r="K5206" i="6"/>
  <c r="L5206" i="6" s="1"/>
  <c r="K5205" i="6"/>
  <c r="L5205" i="6" s="1"/>
  <c r="K5204" i="6"/>
  <c r="L5204" i="6" s="1"/>
  <c r="L5195" i="6"/>
  <c r="L5196" i="6" s="1"/>
  <c r="K5193" i="6"/>
  <c r="L5193" i="6" s="1"/>
  <c r="L5194" i="6" s="1"/>
  <c r="K5190" i="6"/>
  <c r="L5190" i="6" s="1"/>
  <c r="K5189" i="6"/>
  <c r="L5189" i="6" s="1"/>
  <c r="K5188" i="6"/>
  <c r="L5188" i="6" s="1"/>
  <c r="K5187" i="6"/>
  <c r="L5187" i="6" s="1"/>
  <c r="L5178" i="6"/>
  <c r="L5179" i="6" s="1"/>
  <c r="K5176" i="6"/>
  <c r="L5176" i="6" s="1"/>
  <c r="L5177" i="6" s="1"/>
  <c r="K5173" i="6"/>
  <c r="L5173" i="6" s="1"/>
  <c r="K5172" i="6"/>
  <c r="L5172" i="6" s="1"/>
  <c r="K5171" i="6"/>
  <c r="L5171" i="6" s="1"/>
  <c r="K5170" i="6"/>
  <c r="L5170" i="6" s="1"/>
  <c r="L5161" i="6"/>
  <c r="L5162" i="6" s="1"/>
  <c r="K5159" i="6"/>
  <c r="L5159" i="6" s="1"/>
  <c r="L5160" i="6" s="1"/>
  <c r="K5156" i="6"/>
  <c r="L5156" i="6" s="1"/>
  <c r="K5155" i="6"/>
  <c r="L5155" i="6" s="1"/>
  <c r="K5154" i="6"/>
  <c r="L5154" i="6" s="1"/>
  <c r="K5153" i="6"/>
  <c r="L5153" i="6" s="1"/>
  <c r="L5143" i="6"/>
  <c r="L5144" i="6" s="1"/>
  <c r="K5141" i="6"/>
  <c r="L5141" i="6" s="1"/>
  <c r="K5140" i="6"/>
  <c r="L5140" i="6" s="1"/>
  <c r="K5137" i="6"/>
  <c r="L5137" i="6" s="1"/>
  <c r="K5136" i="6"/>
  <c r="L5136" i="6" s="1"/>
  <c r="K5135" i="6"/>
  <c r="L5135" i="6" s="1"/>
  <c r="K5134" i="6"/>
  <c r="L5134" i="6" s="1"/>
  <c r="L5084" i="6"/>
  <c r="L5085" i="6" s="1"/>
  <c r="K5082" i="6"/>
  <c r="L5082" i="6" s="1"/>
  <c r="K5081" i="6"/>
  <c r="L5081" i="6" s="1"/>
  <c r="K5078" i="6"/>
  <c r="L5078" i="6" s="1"/>
  <c r="K5077" i="6"/>
  <c r="L5077" i="6" s="1"/>
  <c r="K5076" i="6"/>
  <c r="L5076" i="6" s="1"/>
  <c r="K5075" i="6"/>
  <c r="L5075" i="6" s="1"/>
  <c r="L5066" i="6"/>
  <c r="L5067" i="6" s="1"/>
  <c r="K5064" i="6"/>
  <c r="L5064" i="6" s="1"/>
  <c r="K5063" i="6"/>
  <c r="L5063" i="6" s="1"/>
  <c r="K5062" i="6"/>
  <c r="L5062" i="6" s="1"/>
  <c r="K5061" i="6"/>
  <c r="L5061" i="6" s="1"/>
  <c r="K5058" i="6"/>
  <c r="L5058" i="6" s="1"/>
  <c r="K5057" i="6"/>
  <c r="L5057" i="6" s="1"/>
  <c r="K5056" i="6"/>
  <c r="L5056" i="6" s="1"/>
  <c r="K5055" i="6"/>
  <c r="L5055" i="6" s="1"/>
  <c r="L5028" i="6"/>
  <c r="L5029" i="6" s="1"/>
  <c r="K5026" i="6"/>
  <c r="L5026" i="6" s="1"/>
  <c r="K5025" i="6"/>
  <c r="L5025" i="6" s="1"/>
  <c r="K5022" i="6"/>
  <c r="L5022" i="6" s="1"/>
  <c r="K5021" i="6"/>
  <c r="L5021" i="6" s="1"/>
  <c r="K5020" i="6"/>
  <c r="L5020" i="6" s="1"/>
  <c r="K5019" i="6"/>
  <c r="L5019" i="6" s="1"/>
  <c r="L5010" i="6"/>
  <c r="L5011" i="6" s="1"/>
  <c r="K5008" i="6"/>
  <c r="L5008" i="6" s="1"/>
  <c r="K5007" i="6"/>
  <c r="L5007" i="6" s="1"/>
  <c r="K5004" i="6"/>
  <c r="L5004" i="6" s="1"/>
  <c r="K5003" i="6"/>
  <c r="L5003" i="6" s="1"/>
  <c r="K5002" i="6"/>
  <c r="L5002" i="6" s="1"/>
  <c r="K5001" i="6"/>
  <c r="L5001" i="6" s="1"/>
  <c r="L4992" i="6"/>
  <c r="L4993" i="6" s="1"/>
  <c r="K4990" i="6"/>
  <c r="L4990" i="6" s="1"/>
  <c r="K4989" i="6"/>
  <c r="L4989" i="6" s="1"/>
  <c r="K4986" i="6"/>
  <c r="L4986" i="6" s="1"/>
  <c r="K4985" i="6"/>
  <c r="L4985" i="6" s="1"/>
  <c r="K4984" i="6"/>
  <c r="L4984" i="6" s="1"/>
  <c r="K4983" i="6"/>
  <c r="L4983" i="6" s="1"/>
  <c r="L4974" i="6"/>
  <c r="L4975" i="6" s="1"/>
  <c r="K4972" i="6"/>
  <c r="L4972" i="6" s="1"/>
  <c r="K4971" i="6"/>
  <c r="L4971" i="6" s="1"/>
  <c r="K4968" i="6"/>
  <c r="L4968" i="6" s="1"/>
  <c r="K4967" i="6"/>
  <c r="L4967" i="6" s="1"/>
  <c r="K4966" i="6"/>
  <c r="L4966" i="6" s="1"/>
  <c r="K4965" i="6"/>
  <c r="L4965" i="6" s="1"/>
  <c r="L4956" i="6"/>
  <c r="L4957" i="6" s="1"/>
  <c r="K4954" i="6"/>
  <c r="L4954" i="6" s="1"/>
  <c r="K4953" i="6"/>
  <c r="L4953" i="6" s="1"/>
  <c r="K4950" i="6"/>
  <c r="L4950" i="6" s="1"/>
  <c r="K4949" i="6"/>
  <c r="L4949" i="6" s="1"/>
  <c r="K4948" i="6"/>
  <c r="L4948" i="6" s="1"/>
  <c r="K4947" i="6"/>
  <c r="L4947" i="6" s="1"/>
  <c r="L4938" i="6"/>
  <c r="L4939" i="6" s="1"/>
  <c r="K4936" i="6"/>
  <c r="L4936" i="6" s="1"/>
  <c r="K4935" i="6"/>
  <c r="L4935" i="6" s="1"/>
  <c r="K4932" i="6"/>
  <c r="L4932" i="6" s="1"/>
  <c r="K4931" i="6"/>
  <c r="L4931" i="6" s="1"/>
  <c r="K4930" i="6"/>
  <c r="L4930" i="6" s="1"/>
  <c r="K4929" i="6"/>
  <c r="L4929" i="6" s="1"/>
  <c r="L4920" i="6"/>
  <c r="L4921" i="6" s="1"/>
  <c r="K4918" i="6"/>
  <c r="L4918" i="6" s="1"/>
  <c r="K4917" i="6"/>
  <c r="L4917" i="6" s="1"/>
  <c r="K4914" i="6"/>
  <c r="L4914" i="6" s="1"/>
  <c r="K4913" i="6"/>
  <c r="L4913" i="6" s="1"/>
  <c r="K4912" i="6"/>
  <c r="L4912" i="6" s="1"/>
  <c r="K4911" i="6"/>
  <c r="L4911" i="6" s="1"/>
  <c r="L4901" i="6"/>
  <c r="L4902" i="6" s="1"/>
  <c r="K4899" i="6"/>
  <c r="L4899" i="6" s="1"/>
  <c r="K4898" i="6"/>
  <c r="L4898" i="6" s="1"/>
  <c r="K4895" i="6"/>
  <c r="L4895" i="6" s="1"/>
  <c r="K4894" i="6"/>
  <c r="L4894" i="6" s="1"/>
  <c r="K4893" i="6"/>
  <c r="L4893" i="6" s="1"/>
  <c r="K4892" i="6"/>
  <c r="L4892" i="6" s="1"/>
  <c r="K4880" i="6"/>
  <c r="L4880" i="6" s="1"/>
  <c r="K4879" i="6"/>
  <c r="L4879" i="6" s="1"/>
  <c r="K4876" i="6"/>
  <c r="L4876" i="6" s="1"/>
  <c r="K4875" i="6"/>
  <c r="L4875" i="6" s="1"/>
  <c r="K4874" i="6"/>
  <c r="L4874" i="6" s="1"/>
  <c r="K4873" i="6"/>
  <c r="L4873" i="6" s="1"/>
  <c r="K4861" i="6"/>
  <c r="L4861" i="6" s="1"/>
  <c r="K4860" i="6"/>
  <c r="L4860" i="6" s="1"/>
  <c r="K4857" i="6"/>
  <c r="L4857" i="6" s="1"/>
  <c r="K4856" i="6"/>
  <c r="L4856" i="6" s="1"/>
  <c r="K4855" i="6"/>
  <c r="L4855" i="6" s="1"/>
  <c r="K4854" i="6"/>
  <c r="L4854" i="6" s="1"/>
  <c r="K4842" i="6"/>
  <c r="L4842" i="6" s="1"/>
  <c r="K4841" i="6"/>
  <c r="L4841" i="6" s="1"/>
  <c r="K4838" i="6"/>
  <c r="L4838" i="6" s="1"/>
  <c r="K4837" i="6"/>
  <c r="L4837" i="6" s="1"/>
  <c r="K4836" i="6"/>
  <c r="L4836" i="6" s="1"/>
  <c r="K4835" i="6"/>
  <c r="L4835" i="6" s="1"/>
  <c r="K4823" i="6"/>
  <c r="L4823" i="6" s="1"/>
  <c r="K4822" i="6"/>
  <c r="L4822" i="6" s="1"/>
  <c r="K4819" i="6"/>
  <c r="L4819" i="6" s="1"/>
  <c r="K4818" i="6"/>
  <c r="L4818" i="6" s="1"/>
  <c r="K4817" i="6"/>
  <c r="L4817" i="6" s="1"/>
  <c r="K4816" i="6"/>
  <c r="L4816" i="6" s="1"/>
  <c r="L4807" i="6"/>
  <c r="L4808" i="6" s="1"/>
  <c r="K4805" i="6"/>
  <c r="L4805" i="6" s="1"/>
  <c r="K4804" i="6"/>
  <c r="L4804" i="6" s="1"/>
  <c r="K4801" i="6"/>
  <c r="L4801" i="6" s="1"/>
  <c r="K4800" i="6"/>
  <c r="L4800" i="6" s="1"/>
  <c r="K4799" i="6"/>
  <c r="L4799" i="6" s="1"/>
  <c r="K4798" i="6"/>
  <c r="L4798" i="6" s="1"/>
  <c r="L4789" i="6"/>
  <c r="L4790" i="6" s="1"/>
  <c r="K4787" i="6"/>
  <c r="L4787" i="6" s="1"/>
  <c r="K4786" i="6"/>
  <c r="L4786" i="6" s="1"/>
  <c r="K4783" i="6"/>
  <c r="L4783" i="6" s="1"/>
  <c r="K4782" i="6"/>
  <c r="L4782" i="6" s="1"/>
  <c r="K4780" i="6"/>
  <c r="L4780" i="6" s="1"/>
  <c r="L4771" i="6"/>
  <c r="L4772" i="6" s="1"/>
  <c r="K4769" i="6"/>
  <c r="L4769" i="6" s="1"/>
  <c r="L4770" i="6" s="1"/>
  <c r="K4766" i="6"/>
  <c r="L4766" i="6" s="1"/>
  <c r="K4765" i="6"/>
  <c r="L4765" i="6" s="1"/>
  <c r="K4763" i="6"/>
  <c r="L4763" i="6" s="1"/>
  <c r="L4754" i="6"/>
  <c r="L4755" i="6" s="1"/>
  <c r="K4752" i="6"/>
  <c r="L4752" i="6" s="1"/>
  <c r="K4751" i="6"/>
  <c r="L4751" i="6" s="1"/>
  <c r="K4748" i="6"/>
  <c r="L4748" i="6" s="1"/>
  <c r="K4747" i="6"/>
  <c r="L4747" i="6" s="1"/>
  <c r="K4746" i="6"/>
  <c r="L4746" i="6" s="1"/>
  <c r="K4745" i="6"/>
  <c r="L4745" i="6" s="1"/>
  <c r="L4736" i="6"/>
  <c r="L4737" i="6" s="1"/>
  <c r="K4734" i="6"/>
  <c r="L4734" i="6" s="1"/>
  <c r="K4733" i="6"/>
  <c r="L4733" i="6" s="1"/>
  <c r="K4730" i="6"/>
  <c r="L4730" i="6" s="1"/>
  <c r="K4729" i="6"/>
  <c r="L4729" i="6" s="1"/>
  <c r="K4727" i="6"/>
  <c r="L4727" i="6" s="1"/>
  <c r="L4718" i="6"/>
  <c r="L4719" i="6" s="1"/>
  <c r="K4716" i="6"/>
  <c r="L4716" i="6" s="1"/>
  <c r="K4715" i="6"/>
  <c r="L4715" i="6" s="1"/>
  <c r="K4714" i="6"/>
  <c r="L4714" i="6" s="1"/>
  <c r="K4711" i="6"/>
  <c r="L4711" i="6" s="1"/>
  <c r="K4710" i="6"/>
  <c r="L4710" i="6" s="1"/>
  <c r="K4708" i="6"/>
  <c r="L4708" i="6" s="1"/>
  <c r="L4699" i="6"/>
  <c r="L4700" i="6" s="1"/>
  <c r="K4697" i="6"/>
  <c r="L4697" i="6" s="1"/>
  <c r="K4696" i="6"/>
  <c r="L4696" i="6" s="1"/>
  <c r="K4695" i="6"/>
  <c r="L4695" i="6" s="1"/>
  <c r="K4692" i="6"/>
  <c r="L4692" i="6" s="1"/>
  <c r="K4691" i="6"/>
  <c r="L4691" i="6" s="1"/>
  <c r="K4689" i="6"/>
  <c r="L4689" i="6" s="1"/>
  <c r="L4680" i="6"/>
  <c r="L4681" i="6" s="1"/>
  <c r="K4678" i="6"/>
  <c r="L4678" i="6" s="1"/>
  <c r="K4677" i="6"/>
  <c r="L4677" i="6" s="1"/>
  <c r="K4676" i="6"/>
  <c r="L4676" i="6" s="1"/>
  <c r="K4675" i="6"/>
  <c r="L4675" i="6" s="1"/>
  <c r="K4672" i="6"/>
  <c r="L4672" i="6" s="1"/>
  <c r="K4671" i="6"/>
  <c r="L4671" i="6" s="1"/>
  <c r="K4670" i="6"/>
  <c r="L4670" i="6" s="1"/>
  <c r="K4669" i="6"/>
  <c r="L4669" i="6" s="1"/>
  <c r="L4660" i="6"/>
  <c r="L4661" i="6" s="1"/>
  <c r="K4658" i="6"/>
  <c r="L4658" i="6" s="1"/>
  <c r="K4657" i="6"/>
  <c r="L4657" i="6" s="1"/>
  <c r="K4656" i="6"/>
  <c r="L4656" i="6" s="1"/>
  <c r="K4655" i="6"/>
  <c r="L4655" i="6" s="1"/>
  <c r="K4654" i="6"/>
  <c r="L4654" i="6" s="1"/>
  <c r="K4651" i="6"/>
  <c r="L4651" i="6" s="1"/>
  <c r="K4650" i="6"/>
  <c r="L4650" i="6" s="1"/>
  <c r="K4648" i="6"/>
  <c r="L4648" i="6" s="1"/>
  <c r="L4639" i="6"/>
  <c r="L4640" i="6" s="1"/>
  <c r="K4637" i="6"/>
  <c r="L4637" i="6" s="1"/>
  <c r="K4636" i="6"/>
  <c r="L4636" i="6" s="1"/>
  <c r="K4635" i="6"/>
  <c r="L4635" i="6" s="1"/>
  <c r="K4634" i="6"/>
  <c r="L4634" i="6" s="1"/>
  <c r="K4631" i="6"/>
  <c r="L4631" i="6" s="1"/>
  <c r="K4630" i="6"/>
  <c r="L4630" i="6" s="1"/>
  <c r="K4629" i="6"/>
  <c r="L4629" i="6" s="1"/>
  <c r="K4628" i="6"/>
  <c r="L4628" i="6" s="1"/>
  <c r="L4619" i="6"/>
  <c r="L4620" i="6" s="1"/>
  <c r="K4617" i="6"/>
  <c r="L4617" i="6" s="1"/>
  <c r="K4616" i="6"/>
  <c r="L4616" i="6" s="1"/>
  <c r="K4615" i="6"/>
  <c r="L4615" i="6" s="1"/>
  <c r="K4614" i="6"/>
  <c r="L4614" i="6" s="1"/>
  <c r="K4611" i="6"/>
  <c r="L4611" i="6" s="1"/>
  <c r="K4610" i="6"/>
  <c r="L4610" i="6" s="1"/>
  <c r="K4609" i="6"/>
  <c r="L4609" i="6" s="1"/>
  <c r="K4608" i="6"/>
  <c r="L4608" i="6" s="1"/>
  <c r="L4599" i="6"/>
  <c r="L4600" i="6" s="1"/>
  <c r="K4597" i="6"/>
  <c r="L4597" i="6" s="1"/>
  <c r="K4596" i="6"/>
  <c r="L4596" i="6" s="1"/>
  <c r="K4595" i="6"/>
  <c r="L4595" i="6" s="1"/>
  <c r="K4594" i="6"/>
  <c r="L4594" i="6" s="1"/>
  <c r="K4591" i="6"/>
  <c r="L4591" i="6" s="1"/>
  <c r="K4590" i="6"/>
  <c r="L4590" i="6" s="1"/>
  <c r="K4588" i="6"/>
  <c r="L4588" i="6" s="1"/>
  <c r="L4579" i="6"/>
  <c r="L4580" i="6" s="1"/>
  <c r="K4577" i="6"/>
  <c r="L4577" i="6" s="1"/>
  <c r="K4576" i="6"/>
  <c r="L4576" i="6" s="1"/>
  <c r="K4575" i="6"/>
  <c r="L4575" i="6" s="1"/>
  <c r="K4574" i="6"/>
  <c r="L4574" i="6" s="1"/>
  <c r="K4571" i="6"/>
  <c r="L4571" i="6" s="1"/>
  <c r="K4570" i="6"/>
  <c r="L4570" i="6" s="1"/>
  <c r="K4568" i="6"/>
  <c r="L4568" i="6" s="1"/>
  <c r="L4559" i="6"/>
  <c r="L4560" i="6" s="1"/>
  <c r="K4557" i="6"/>
  <c r="L4557" i="6" s="1"/>
  <c r="K4556" i="6"/>
  <c r="L4556" i="6" s="1"/>
  <c r="K4555" i="6"/>
  <c r="L4555" i="6" s="1"/>
  <c r="K4554" i="6"/>
  <c r="L4554" i="6" s="1"/>
  <c r="K4551" i="6"/>
  <c r="L4551" i="6" s="1"/>
  <c r="K4550" i="6"/>
  <c r="L4550" i="6" s="1"/>
  <c r="K4549" i="6"/>
  <c r="L4549" i="6" s="1"/>
  <c r="K4548" i="6"/>
  <c r="L4548" i="6" s="1"/>
  <c r="L4539" i="6"/>
  <c r="L4540" i="6" s="1"/>
  <c r="K4537" i="6"/>
  <c r="L4537" i="6" s="1"/>
  <c r="K4536" i="6"/>
  <c r="L4536" i="6" s="1"/>
  <c r="K4535" i="6"/>
  <c r="L4535" i="6" s="1"/>
  <c r="K4534" i="6"/>
  <c r="L4534" i="6" s="1"/>
  <c r="K4531" i="6"/>
  <c r="L4531" i="6" s="1"/>
  <c r="K4530" i="6"/>
  <c r="L4530" i="6" s="1"/>
  <c r="K4529" i="6"/>
  <c r="L4529" i="6" s="1"/>
  <c r="K4528" i="6"/>
  <c r="L4528" i="6" s="1"/>
  <c r="L4519" i="6"/>
  <c r="L4520" i="6" s="1"/>
  <c r="K4517" i="6"/>
  <c r="L4517" i="6" s="1"/>
  <c r="K4516" i="6"/>
  <c r="L4516" i="6" s="1"/>
  <c r="K4515" i="6"/>
  <c r="L4515" i="6" s="1"/>
  <c r="K4514" i="6"/>
  <c r="L4514" i="6" s="1"/>
  <c r="K4511" i="6"/>
  <c r="L4511" i="6" s="1"/>
  <c r="K4510" i="6"/>
  <c r="L4510" i="6" s="1"/>
  <c r="K4508" i="6"/>
  <c r="L4508" i="6" s="1"/>
  <c r="L4499" i="6"/>
  <c r="L4500" i="6" s="1"/>
  <c r="K4497" i="6"/>
  <c r="L4497" i="6" s="1"/>
  <c r="K4496" i="6"/>
  <c r="L4496" i="6" s="1"/>
  <c r="K4493" i="6"/>
  <c r="L4493" i="6" s="1"/>
  <c r="K4492" i="6"/>
  <c r="L4492" i="6" s="1"/>
  <c r="K4491" i="6"/>
  <c r="L4491" i="6" s="1"/>
  <c r="K4490" i="6"/>
  <c r="L4490" i="6" s="1"/>
  <c r="L4481" i="6"/>
  <c r="L4482" i="6" s="1"/>
  <c r="K4479" i="6"/>
  <c r="L4479" i="6" s="1"/>
  <c r="K4478" i="6"/>
  <c r="L4478" i="6" s="1"/>
  <c r="K4475" i="6"/>
  <c r="L4475" i="6" s="1"/>
  <c r="K4474" i="6"/>
  <c r="L4474" i="6" s="1"/>
  <c r="K4473" i="6"/>
  <c r="L4473" i="6" s="1"/>
  <c r="K4472" i="6"/>
  <c r="L4472" i="6" s="1"/>
  <c r="L4463" i="6"/>
  <c r="L4464" i="6" s="1"/>
  <c r="K4461" i="6"/>
  <c r="L4461" i="6" s="1"/>
  <c r="K4460" i="6"/>
  <c r="L4460" i="6" s="1"/>
  <c r="K4457" i="6"/>
  <c r="L4457" i="6" s="1"/>
  <c r="K4456" i="6"/>
  <c r="L4456" i="6" s="1"/>
  <c r="K4455" i="6"/>
  <c r="L4455" i="6" s="1"/>
  <c r="K4454" i="6"/>
  <c r="L4454" i="6" s="1"/>
  <c r="L4445" i="6"/>
  <c r="L4446" i="6" s="1"/>
  <c r="K4443" i="6"/>
  <c r="L4443" i="6" s="1"/>
  <c r="K4442" i="6"/>
  <c r="L4442" i="6" s="1"/>
  <c r="K4439" i="6"/>
  <c r="L4439" i="6" s="1"/>
  <c r="K4438" i="6"/>
  <c r="L4438" i="6" s="1"/>
  <c r="K4437" i="6"/>
  <c r="L4437" i="6" s="1"/>
  <c r="K4436" i="6"/>
  <c r="L4436" i="6" s="1"/>
  <c r="L4427" i="6"/>
  <c r="L4428" i="6" s="1"/>
  <c r="K4425" i="6"/>
  <c r="L4425" i="6" s="1"/>
  <c r="K4424" i="6"/>
  <c r="L4424" i="6" s="1"/>
  <c r="K4423" i="6"/>
  <c r="L4423" i="6" s="1"/>
  <c r="K4422" i="6"/>
  <c r="L4422" i="6" s="1"/>
  <c r="K4419" i="6"/>
  <c r="L4419" i="6" s="1"/>
  <c r="K4418" i="6"/>
  <c r="L4418" i="6" s="1"/>
  <c r="K4416" i="6"/>
  <c r="L4416" i="6" s="1"/>
  <c r="L4407" i="6"/>
  <c r="L4408" i="6" s="1"/>
  <c r="K4405" i="6"/>
  <c r="L4405" i="6" s="1"/>
  <c r="K4404" i="6"/>
  <c r="L4404" i="6" s="1"/>
  <c r="K4403" i="6"/>
  <c r="L4403" i="6" s="1"/>
  <c r="K4402" i="6"/>
  <c r="L4402" i="6" s="1"/>
  <c r="K4399" i="6"/>
  <c r="L4399" i="6" s="1"/>
  <c r="K4398" i="6"/>
  <c r="L4398" i="6" s="1"/>
  <c r="K4397" i="6"/>
  <c r="L4397" i="6" s="1"/>
  <c r="K4396" i="6"/>
  <c r="L4396" i="6" s="1"/>
  <c r="L4387" i="6"/>
  <c r="L4388" i="6" s="1"/>
  <c r="K4385" i="6"/>
  <c r="L4385" i="6" s="1"/>
  <c r="K4384" i="6"/>
  <c r="L4384" i="6" s="1"/>
  <c r="K4383" i="6"/>
  <c r="L4383" i="6" s="1"/>
  <c r="K4382" i="6"/>
  <c r="L4382" i="6" s="1"/>
  <c r="K4379" i="6"/>
  <c r="L4379" i="6" s="1"/>
  <c r="K4378" i="6"/>
  <c r="L4378" i="6" s="1"/>
  <c r="K4377" i="6"/>
  <c r="L4377" i="6" s="1"/>
  <c r="K4376" i="6"/>
  <c r="L4376" i="6" s="1"/>
  <c r="L4367" i="6"/>
  <c r="L4368" i="6" s="1"/>
  <c r="K4365" i="6"/>
  <c r="L4365" i="6" s="1"/>
  <c r="K4364" i="6"/>
  <c r="L4364" i="6" s="1"/>
  <c r="K4363" i="6"/>
  <c r="L4363" i="6" s="1"/>
  <c r="K4362" i="6"/>
  <c r="L4362" i="6" s="1"/>
  <c r="K4359" i="6"/>
  <c r="L4359" i="6" s="1"/>
  <c r="K4358" i="6"/>
  <c r="L4358" i="6" s="1"/>
  <c r="K4356" i="6"/>
  <c r="L4356" i="6" s="1"/>
  <c r="L4347" i="6"/>
  <c r="L4348" i="6" s="1"/>
  <c r="K4345" i="6"/>
  <c r="L4345" i="6" s="1"/>
  <c r="K4344" i="6"/>
  <c r="L4344" i="6" s="1"/>
  <c r="K4343" i="6"/>
  <c r="L4343" i="6" s="1"/>
  <c r="K4342" i="6"/>
  <c r="L4342" i="6" s="1"/>
  <c r="K4339" i="6"/>
  <c r="L4339" i="6" s="1"/>
  <c r="K4338" i="6"/>
  <c r="L4338" i="6" s="1"/>
  <c r="K4336" i="6"/>
  <c r="L4336" i="6" s="1"/>
  <c r="L4327" i="6"/>
  <c r="L4328" i="6" s="1"/>
  <c r="K4325" i="6"/>
  <c r="L4325" i="6" s="1"/>
  <c r="K4324" i="6"/>
  <c r="L4324" i="6" s="1"/>
  <c r="K4323" i="6"/>
  <c r="L4323" i="6" s="1"/>
  <c r="K4322" i="6"/>
  <c r="L4322" i="6" s="1"/>
  <c r="K4319" i="6"/>
  <c r="L4319" i="6" s="1"/>
  <c r="K4318" i="6"/>
  <c r="L4318" i="6" s="1"/>
  <c r="K4317" i="6"/>
  <c r="L4317" i="6" s="1"/>
  <c r="K4316" i="6"/>
  <c r="L4316" i="6" s="1"/>
  <c r="L4307" i="6"/>
  <c r="L4308" i="6" s="1"/>
  <c r="K4305" i="6"/>
  <c r="L4305" i="6" s="1"/>
  <c r="K4304" i="6"/>
  <c r="L4304" i="6" s="1"/>
  <c r="K4303" i="6"/>
  <c r="L4303" i="6" s="1"/>
  <c r="K4302" i="6"/>
  <c r="L4302" i="6" s="1"/>
  <c r="K4299" i="6"/>
  <c r="L4299" i="6" s="1"/>
  <c r="K4298" i="6"/>
  <c r="L4298" i="6" s="1"/>
  <c r="K4297" i="6"/>
  <c r="L4297" i="6" s="1"/>
  <c r="K4296" i="6"/>
  <c r="L4296" i="6" s="1"/>
  <c r="L4287" i="6"/>
  <c r="L4288" i="6" s="1"/>
  <c r="K4285" i="6"/>
  <c r="L4285" i="6" s="1"/>
  <c r="K4284" i="6"/>
  <c r="L4284" i="6" s="1"/>
  <c r="K4283" i="6"/>
  <c r="L4283" i="6" s="1"/>
  <c r="K4282" i="6"/>
  <c r="L4282" i="6" s="1"/>
  <c r="K4279" i="6"/>
  <c r="L4279" i="6" s="1"/>
  <c r="K4278" i="6"/>
  <c r="L4278" i="6" s="1"/>
  <c r="K4276" i="6"/>
  <c r="L4276" i="6" s="1"/>
  <c r="L4267" i="6"/>
  <c r="L4268" i="6" s="1"/>
  <c r="K4265" i="6"/>
  <c r="L4265" i="6" s="1"/>
  <c r="K4264" i="6"/>
  <c r="L4264" i="6" s="1"/>
  <c r="K4263" i="6"/>
  <c r="L4263" i="6" s="1"/>
  <c r="K4262" i="6"/>
  <c r="L4262" i="6" s="1"/>
  <c r="K4259" i="6"/>
  <c r="L4259" i="6" s="1"/>
  <c r="K4258" i="6"/>
  <c r="L4258" i="6" s="1"/>
  <c r="K4256" i="6"/>
  <c r="L4256" i="6" s="1"/>
  <c r="L4247" i="6"/>
  <c r="L4248" i="6" s="1"/>
  <c r="K4245" i="6"/>
  <c r="L4245" i="6" s="1"/>
  <c r="K4244" i="6"/>
  <c r="L4244" i="6" s="1"/>
  <c r="K4243" i="6"/>
  <c r="L4243" i="6" s="1"/>
  <c r="K4242" i="6"/>
  <c r="L4242" i="6" s="1"/>
  <c r="K4239" i="6"/>
  <c r="L4239" i="6" s="1"/>
  <c r="K4238" i="6"/>
  <c r="L4238" i="6" s="1"/>
  <c r="K4237" i="6"/>
  <c r="L4237" i="6" s="1"/>
  <c r="K4236" i="6"/>
  <c r="L4236" i="6" s="1"/>
  <c r="L4227" i="6"/>
  <c r="L4228" i="6" s="1"/>
  <c r="K4225" i="6"/>
  <c r="L4225" i="6" s="1"/>
  <c r="K4224" i="6"/>
  <c r="L4224" i="6" s="1"/>
  <c r="K4223" i="6"/>
  <c r="L4223" i="6" s="1"/>
  <c r="K4222" i="6"/>
  <c r="L4222" i="6" s="1"/>
  <c r="K4219" i="6"/>
  <c r="L4219" i="6" s="1"/>
  <c r="K4218" i="6"/>
  <c r="L4218" i="6" s="1"/>
  <c r="K4217" i="6"/>
  <c r="L4217" i="6" s="1"/>
  <c r="K4216" i="6"/>
  <c r="L4216" i="6" s="1"/>
  <c r="L4207" i="6"/>
  <c r="L4208" i="6" s="1"/>
  <c r="K4205" i="6"/>
  <c r="L4205" i="6" s="1"/>
  <c r="K4204" i="6"/>
  <c r="L4204" i="6" s="1"/>
  <c r="K4203" i="6"/>
  <c r="L4203" i="6" s="1"/>
  <c r="K4202" i="6"/>
  <c r="L4202" i="6" s="1"/>
  <c r="K4199" i="6"/>
  <c r="L4199" i="6" s="1"/>
  <c r="K4198" i="6"/>
  <c r="L4198" i="6" s="1"/>
  <c r="K4196" i="6"/>
  <c r="L4196" i="6" s="1"/>
  <c r="L4187" i="6"/>
  <c r="L4188" i="6" s="1"/>
  <c r="K4185" i="6"/>
  <c r="L4185" i="6" s="1"/>
  <c r="K4184" i="6"/>
  <c r="L4184" i="6" s="1"/>
  <c r="K4181" i="6"/>
  <c r="L4181" i="6" s="1"/>
  <c r="K4180" i="6"/>
  <c r="L4180" i="6" s="1"/>
  <c r="K4179" i="6"/>
  <c r="L4179" i="6" s="1"/>
  <c r="K4178" i="6"/>
  <c r="L4178" i="6" s="1"/>
  <c r="L4169" i="6"/>
  <c r="L4170" i="6" s="1"/>
  <c r="K4167" i="6"/>
  <c r="L4167" i="6" s="1"/>
  <c r="K4166" i="6"/>
  <c r="L4166" i="6" s="1"/>
  <c r="K4165" i="6"/>
  <c r="L4165" i="6" s="1"/>
  <c r="K4164" i="6"/>
  <c r="L4164" i="6" s="1"/>
  <c r="K4161" i="6"/>
  <c r="L4161" i="6" s="1"/>
  <c r="K4160" i="6"/>
  <c r="L4160" i="6" s="1"/>
  <c r="K4158" i="6"/>
  <c r="L4158" i="6" s="1"/>
  <c r="L4149" i="6"/>
  <c r="L4150" i="6" s="1"/>
  <c r="K4147" i="6"/>
  <c r="L4147" i="6" s="1"/>
  <c r="K4146" i="6"/>
  <c r="L4146" i="6" s="1"/>
  <c r="K4145" i="6"/>
  <c r="L4145" i="6" s="1"/>
  <c r="K4144" i="6"/>
  <c r="L4144" i="6" s="1"/>
  <c r="K4141" i="6"/>
  <c r="L4141" i="6" s="1"/>
  <c r="K4140" i="6"/>
  <c r="L4140" i="6" s="1"/>
  <c r="K4138" i="6"/>
  <c r="L4138" i="6" s="1"/>
  <c r="L4129" i="6"/>
  <c r="L4130" i="6" s="1"/>
  <c r="K4127" i="6"/>
  <c r="L4127" i="6" s="1"/>
  <c r="K4126" i="6"/>
  <c r="L4126" i="6" s="1"/>
  <c r="K4125" i="6"/>
  <c r="L4125" i="6" s="1"/>
  <c r="K4124" i="6"/>
  <c r="L4124" i="6" s="1"/>
  <c r="K4121" i="6"/>
  <c r="L4121" i="6" s="1"/>
  <c r="K4120" i="6"/>
  <c r="L4120" i="6" s="1"/>
  <c r="K4119" i="6"/>
  <c r="L4119" i="6" s="1"/>
  <c r="K4118" i="6"/>
  <c r="L4118" i="6" s="1"/>
  <c r="L4109" i="6"/>
  <c r="L4110" i="6" s="1"/>
  <c r="K4107" i="6"/>
  <c r="L4107" i="6" s="1"/>
  <c r="K4106" i="6"/>
  <c r="L4106" i="6" s="1"/>
  <c r="K4105" i="6"/>
  <c r="L4105" i="6" s="1"/>
  <c r="K4104" i="6"/>
  <c r="L4104" i="6" s="1"/>
  <c r="K4101" i="6"/>
  <c r="L4101" i="6" s="1"/>
  <c r="K4100" i="6"/>
  <c r="L4100" i="6" s="1"/>
  <c r="K4099" i="6"/>
  <c r="L4099" i="6" s="1"/>
  <c r="K4098" i="6"/>
  <c r="L4098" i="6" s="1"/>
  <c r="L4089" i="6"/>
  <c r="L4090" i="6" s="1"/>
  <c r="K4087" i="6"/>
  <c r="L4087" i="6" s="1"/>
  <c r="K4086" i="6"/>
  <c r="L4086" i="6" s="1"/>
  <c r="K4085" i="6"/>
  <c r="L4085" i="6" s="1"/>
  <c r="K4084" i="6"/>
  <c r="L4084" i="6" s="1"/>
  <c r="K4081" i="6"/>
  <c r="L4081" i="6" s="1"/>
  <c r="K4080" i="6"/>
  <c r="L4080" i="6" s="1"/>
  <c r="K4078" i="6"/>
  <c r="L4078" i="6" s="1"/>
  <c r="L4069" i="6"/>
  <c r="L4070" i="6" s="1"/>
  <c r="K4067" i="6"/>
  <c r="L4067" i="6" s="1"/>
  <c r="K4066" i="6"/>
  <c r="L4066" i="6" s="1"/>
  <c r="K4065" i="6"/>
  <c r="L4065" i="6" s="1"/>
  <c r="K4064" i="6"/>
  <c r="L4064" i="6" s="1"/>
  <c r="K4061" i="6"/>
  <c r="L4061" i="6" s="1"/>
  <c r="K4060" i="6"/>
  <c r="L4060" i="6" s="1"/>
  <c r="K4058" i="6"/>
  <c r="L4058" i="6" s="1"/>
  <c r="L4049" i="6"/>
  <c r="L4050" i="6" s="1"/>
  <c r="K4047" i="6"/>
  <c r="L4047" i="6" s="1"/>
  <c r="K4046" i="6"/>
  <c r="L4046" i="6" s="1"/>
  <c r="K4045" i="6"/>
  <c r="L4045" i="6" s="1"/>
  <c r="K4044" i="6"/>
  <c r="L4044" i="6" s="1"/>
  <c r="K4041" i="6"/>
  <c r="L4041" i="6" s="1"/>
  <c r="K4040" i="6"/>
  <c r="L4040" i="6" s="1"/>
  <c r="K4039" i="6"/>
  <c r="L4039" i="6" s="1"/>
  <c r="K4038" i="6"/>
  <c r="L4038" i="6" s="1"/>
  <c r="L4029" i="6"/>
  <c r="L4030" i="6" s="1"/>
  <c r="K4027" i="6"/>
  <c r="L4027" i="6" s="1"/>
  <c r="K4026" i="6"/>
  <c r="L4026" i="6" s="1"/>
  <c r="K4025" i="6"/>
  <c r="L4025" i="6" s="1"/>
  <c r="K4024" i="6"/>
  <c r="L4024" i="6" s="1"/>
  <c r="K4021" i="6"/>
  <c r="L4021" i="6" s="1"/>
  <c r="K4020" i="6"/>
  <c r="L4020" i="6" s="1"/>
  <c r="K4019" i="6"/>
  <c r="L4019" i="6" s="1"/>
  <c r="K4018" i="6"/>
  <c r="L4018" i="6" s="1"/>
  <c r="L4009" i="6"/>
  <c r="L4010" i="6" s="1"/>
  <c r="K4007" i="6"/>
  <c r="L4007" i="6" s="1"/>
  <c r="K4006" i="6"/>
  <c r="L4006" i="6" s="1"/>
  <c r="K4005" i="6"/>
  <c r="L4005" i="6" s="1"/>
  <c r="K4004" i="6"/>
  <c r="L4004" i="6" s="1"/>
  <c r="K4001" i="6"/>
  <c r="L4001" i="6" s="1"/>
  <c r="K4000" i="6"/>
  <c r="L4000" i="6" s="1"/>
  <c r="K3998" i="6"/>
  <c r="L3998" i="6" s="1"/>
  <c r="L3989" i="6"/>
  <c r="L3990" i="6" s="1"/>
  <c r="K3987" i="6"/>
  <c r="L3987" i="6" s="1"/>
  <c r="K3986" i="6"/>
  <c r="L3986" i="6" s="1"/>
  <c r="K3985" i="6"/>
  <c r="L3985" i="6" s="1"/>
  <c r="K3984" i="6"/>
  <c r="L3984" i="6" s="1"/>
  <c r="K3981" i="6"/>
  <c r="L3981" i="6" s="1"/>
  <c r="K3980" i="6"/>
  <c r="L3980" i="6" s="1"/>
  <c r="K3978" i="6"/>
  <c r="L3978" i="6" s="1"/>
  <c r="L3969" i="6"/>
  <c r="L3970" i="6" s="1"/>
  <c r="K3967" i="6"/>
  <c r="L3967" i="6" s="1"/>
  <c r="K3966" i="6"/>
  <c r="L3966" i="6" s="1"/>
  <c r="K3965" i="6"/>
  <c r="L3965" i="6" s="1"/>
  <c r="K3964" i="6"/>
  <c r="L3964" i="6" s="1"/>
  <c r="K3961" i="6"/>
  <c r="L3961" i="6" s="1"/>
  <c r="K3960" i="6"/>
  <c r="L3960" i="6" s="1"/>
  <c r="K3959" i="6"/>
  <c r="L3959" i="6" s="1"/>
  <c r="K3958" i="6"/>
  <c r="L3958" i="6" s="1"/>
  <c r="L3949" i="6"/>
  <c r="L3950" i="6" s="1"/>
  <c r="K3947" i="6"/>
  <c r="L3947" i="6" s="1"/>
  <c r="K3946" i="6"/>
  <c r="L3946" i="6" s="1"/>
  <c r="K3945" i="6"/>
  <c r="L3945" i="6" s="1"/>
  <c r="K3944" i="6"/>
  <c r="L3944" i="6" s="1"/>
  <c r="K3941" i="6"/>
  <c r="L3941" i="6" s="1"/>
  <c r="K3940" i="6"/>
  <c r="L3940" i="6" s="1"/>
  <c r="K3939" i="6"/>
  <c r="L3939" i="6" s="1"/>
  <c r="K3938" i="6"/>
  <c r="L3938" i="6" s="1"/>
  <c r="L3929" i="6"/>
  <c r="L3930" i="6" s="1"/>
  <c r="K3927" i="6"/>
  <c r="L3927" i="6" s="1"/>
  <c r="K3926" i="6"/>
  <c r="L3926" i="6" s="1"/>
  <c r="K3925" i="6"/>
  <c r="L3925" i="6" s="1"/>
  <c r="K3922" i="6"/>
  <c r="L3922" i="6" s="1"/>
  <c r="K3921" i="6"/>
  <c r="L3921" i="6" s="1"/>
  <c r="K3920" i="6"/>
  <c r="L3920" i="6" s="1"/>
  <c r="K3919" i="6"/>
  <c r="L3919" i="6" s="1"/>
  <c r="L3910" i="6"/>
  <c r="L3911" i="6" s="1"/>
  <c r="K3908" i="6"/>
  <c r="L3908" i="6" s="1"/>
  <c r="K3907" i="6"/>
  <c r="L3907" i="6" s="1"/>
  <c r="K3906" i="6"/>
  <c r="L3906" i="6" s="1"/>
  <c r="K3903" i="6"/>
  <c r="L3903" i="6" s="1"/>
  <c r="K3902" i="6"/>
  <c r="L3902" i="6" s="1"/>
  <c r="K3901" i="6"/>
  <c r="L3901" i="6" s="1"/>
  <c r="K3900" i="6"/>
  <c r="L3900" i="6" s="1"/>
  <c r="L3891" i="6"/>
  <c r="L3892" i="6" s="1"/>
  <c r="K3889" i="6"/>
  <c r="L3889" i="6" s="1"/>
  <c r="K3888" i="6"/>
  <c r="L3888" i="6" s="1"/>
  <c r="K3887" i="6"/>
  <c r="L3887" i="6" s="1"/>
  <c r="K3884" i="6"/>
  <c r="L3884" i="6" s="1"/>
  <c r="K3883" i="6"/>
  <c r="L3883" i="6" s="1"/>
  <c r="K3882" i="6"/>
  <c r="L3882" i="6" s="1"/>
  <c r="K3881" i="6"/>
  <c r="L3881" i="6" s="1"/>
  <c r="L3872" i="6"/>
  <c r="L3873" i="6" s="1"/>
  <c r="K3870" i="6"/>
  <c r="L3870" i="6" s="1"/>
  <c r="K3869" i="6"/>
  <c r="L3869" i="6" s="1"/>
  <c r="K3868" i="6"/>
  <c r="L3868" i="6" s="1"/>
  <c r="K3867" i="6"/>
  <c r="L3867" i="6" s="1"/>
  <c r="K3864" i="6"/>
  <c r="L3864" i="6" s="1"/>
  <c r="K3863" i="6"/>
  <c r="L3863" i="6" s="1"/>
  <c r="K3861" i="6"/>
  <c r="L3861" i="6" s="1"/>
  <c r="L3852" i="6"/>
  <c r="L3853" i="6" s="1"/>
  <c r="K3850" i="6"/>
  <c r="L3850" i="6" s="1"/>
  <c r="K3849" i="6"/>
  <c r="L3849" i="6" s="1"/>
  <c r="K3848" i="6"/>
  <c r="L3848" i="6" s="1"/>
  <c r="K3847" i="6"/>
  <c r="L3847" i="6" s="1"/>
  <c r="K3844" i="6"/>
  <c r="L3844" i="6" s="1"/>
  <c r="K3843" i="6"/>
  <c r="L3843" i="6" s="1"/>
  <c r="K3841" i="6"/>
  <c r="L3841" i="6" s="1"/>
  <c r="L3832" i="6"/>
  <c r="L3833" i="6" s="1"/>
  <c r="K3830" i="6"/>
  <c r="L3830" i="6" s="1"/>
  <c r="K3829" i="6"/>
  <c r="L3829" i="6" s="1"/>
  <c r="K3828" i="6"/>
  <c r="L3828" i="6" s="1"/>
  <c r="K3827" i="6"/>
  <c r="L3827" i="6" s="1"/>
  <c r="K3824" i="6"/>
  <c r="L3824" i="6" s="1"/>
  <c r="K3823" i="6"/>
  <c r="L3823" i="6" s="1"/>
  <c r="K3822" i="6"/>
  <c r="L3822" i="6" s="1"/>
  <c r="K3821" i="6"/>
  <c r="L3821" i="6" s="1"/>
  <c r="L3812" i="6"/>
  <c r="L3813" i="6" s="1"/>
  <c r="K3810" i="6"/>
  <c r="L3810" i="6" s="1"/>
  <c r="K3809" i="6"/>
  <c r="L3809" i="6" s="1"/>
  <c r="K3808" i="6"/>
  <c r="L3808" i="6" s="1"/>
  <c r="K3807" i="6"/>
  <c r="L3807" i="6" s="1"/>
  <c r="K3804" i="6"/>
  <c r="L3804" i="6" s="1"/>
  <c r="K3803" i="6"/>
  <c r="L3803" i="6" s="1"/>
  <c r="K3802" i="6"/>
  <c r="L3802" i="6" s="1"/>
  <c r="K3801" i="6"/>
  <c r="L3801" i="6" s="1"/>
  <c r="L3792" i="6"/>
  <c r="L3793" i="6" s="1"/>
  <c r="K3790" i="6"/>
  <c r="L3790" i="6" s="1"/>
  <c r="K3789" i="6"/>
  <c r="L3789" i="6" s="1"/>
  <c r="K3788" i="6"/>
  <c r="L3788" i="6" s="1"/>
  <c r="K3787" i="6"/>
  <c r="L3787" i="6" s="1"/>
  <c r="K3784" i="6"/>
  <c r="L3784" i="6" s="1"/>
  <c r="K3783" i="6"/>
  <c r="L3783" i="6" s="1"/>
  <c r="K3781" i="6"/>
  <c r="L3781" i="6" s="1"/>
  <c r="L3772" i="6"/>
  <c r="L3773" i="6" s="1"/>
  <c r="K3770" i="6"/>
  <c r="L3770" i="6" s="1"/>
  <c r="K3769" i="6"/>
  <c r="L3769" i="6" s="1"/>
  <c r="K3768" i="6"/>
  <c r="L3768" i="6" s="1"/>
  <c r="K3767" i="6"/>
  <c r="L3767" i="6" s="1"/>
  <c r="K3764" i="6"/>
  <c r="L3764" i="6" s="1"/>
  <c r="K3763" i="6"/>
  <c r="L3763" i="6" s="1"/>
  <c r="K3761" i="6"/>
  <c r="L3761" i="6" s="1"/>
  <c r="L3752" i="6"/>
  <c r="L3753" i="6" s="1"/>
  <c r="K3750" i="6"/>
  <c r="L3750" i="6" s="1"/>
  <c r="K3749" i="6"/>
  <c r="L3749" i="6" s="1"/>
  <c r="K3748" i="6"/>
  <c r="L3748" i="6" s="1"/>
  <c r="K3747" i="6"/>
  <c r="L3747" i="6" s="1"/>
  <c r="K3744" i="6"/>
  <c r="L3744" i="6" s="1"/>
  <c r="K3743" i="6"/>
  <c r="L3743" i="6" s="1"/>
  <c r="K3742" i="6"/>
  <c r="L3742" i="6" s="1"/>
  <c r="K3741" i="6"/>
  <c r="L3741" i="6" s="1"/>
  <c r="L3732" i="6"/>
  <c r="L3733" i="6" s="1"/>
  <c r="K3730" i="6"/>
  <c r="L3730" i="6" s="1"/>
  <c r="K3729" i="6"/>
  <c r="L3729" i="6" s="1"/>
  <c r="K3728" i="6"/>
  <c r="L3728" i="6" s="1"/>
  <c r="K3727" i="6"/>
  <c r="L3727" i="6" s="1"/>
  <c r="K3724" i="6"/>
  <c r="L3724" i="6" s="1"/>
  <c r="K3723" i="6"/>
  <c r="L3723" i="6" s="1"/>
  <c r="K3722" i="6"/>
  <c r="L3722" i="6" s="1"/>
  <c r="K3721" i="6"/>
  <c r="L3721" i="6" s="1"/>
  <c r="L3712" i="6"/>
  <c r="L3713" i="6" s="1"/>
  <c r="K3710" i="6"/>
  <c r="L3710" i="6" s="1"/>
  <c r="K3709" i="6"/>
  <c r="L3709" i="6" s="1"/>
  <c r="K3708" i="6"/>
  <c r="L3708" i="6" s="1"/>
  <c r="K3707" i="6"/>
  <c r="L3707" i="6" s="1"/>
  <c r="K3704" i="6"/>
  <c r="L3704" i="6" s="1"/>
  <c r="K3703" i="6"/>
  <c r="L3703" i="6" s="1"/>
  <c r="K3701" i="6"/>
  <c r="L3701" i="6" s="1"/>
  <c r="L3692" i="6"/>
  <c r="L3693" i="6" s="1"/>
  <c r="K3690" i="6"/>
  <c r="L3690" i="6" s="1"/>
  <c r="K3689" i="6"/>
  <c r="L3689" i="6" s="1"/>
  <c r="K3688" i="6"/>
  <c r="L3688" i="6" s="1"/>
  <c r="K3687" i="6"/>
  <c r="L3687" i="6" s="1"/>
  <c r="K3684" i="6"/>
  <c r="L3684" i="6" s="1"/>
  <c r="K3683" i="6"/>
  <c r="L3683" i="6" s="1"/>
  <c r="K3681" i="6"/>
  <c r="L3681" i="6" s="1"/>
  <c r="L3672" i="6"/>
  <c r="L3673" i="6" s="1"/>
  <c r="K3670" i="6"/>
  <c r="L3670" i="6" s="1"/>
  <c r="K3669" i="6"/>
  <c r="L3669" i="6" s="1"/>
  <c r="K3668" i="6"/>
  <c r="L3668" i="6" s="1"/>
  <c r="K3667" i="6"/>
  <c r="L3667" i="6" s="1"/>
  <c r="K3664" i="6"/>
  <c r="L3664" i="6" s="1"/>
  <c r="K3663" i="6"/>
  <c r="L3663" i="6" s="1"/>
  <c r="K3662" i="6"/>
  <c r="L3662" i="6" s="1"/>
  <c r="K3661" i="6"/>
  <c r="L3661" i="6" s="1"/>
  <c r="L3652" i="6"/>
  <c r="L3653" i="6" s="1"/>
  <c r="K3650" i="6"/>
  <c r="L3650" i="6" s="1"/>
  <c r="K3649" i="6"/>
  <c r="L3649" i="6" s="1"/>
  <c r="K3648" i="6"/>
  <c r="L3648" i="6" s="1"/>
  <c r="K3647" i="6"/>
  <c r="L3647" i="6" s="1"/>
  <c r="K3644" i="6"/>
  <c r="L3644" i="6" s="1"/>
  <c r="K3643" i="6"/>
  <c r="L3643" i="6" s="1"/>
  <c r="K3642" i="6"/>
  <c r="L3642" i="6" s="1"/>
  <c r="K3641" i="6"/>
  <c r="L3641" i="6" s="1"/>
  <c r="L3632" i="6"/>
  <c r="L3633" i="6" s="1"/>
  <c r="K3630" i="6"/>
  <c r="L3630" i="6" s="1"/>
  <c r="K3629" i="6"/>
  <c r="L3629" i="6" s="1"/>
  <c r="K3628" i="6"/>
  <c r="L3628" i="6" s="1"/>
  <c r="K3625" i="6"/>
  <c r="L3625" i="6" s="1"/>
  <c r="K3624" i="6"/>
  <c r="L3624" i="6" s="1"/>
  <c r="K3623" i="6"/>
  <c r="L3623" i="6" s="1"/>
  <c r="K3622" i="6"/>
  <c r="L3622" i="6" s="1"/>
  <c r="L3613" i="6"/>
  <c r="L3614" i="6" s="1"/>
  <c r="K3611" i="6"/>
  <c r="L3611" i="6" s="1"/>
  <c r="K3610" i="6"/>
  <c r="L3610" i="6" s="1"/>
  <c r="K3609" i="6"/>
  <c r="L3609" i="6" s="1"/>
  <c r="K3606" i="6"/>
  <c r="L3606" i="6" s="1"/>
  <c r="K3605" i="6"/>
  <c r="L3605" i="6" s="1"/>
  <c r="K3604" i="6"/>
  <c r="L3604" i="6" s="1"/>
  <c r="K3603" i="6"/>
  <c r="L3603" i="6" s="1"/>
  <c r="L3594" i="6"/>
  <c r="L3595" i="6" s="1"/>
  <c r="K3592" i="6"/>
  <c r="L3592" i="6" s="1"/>
  <c r="K3591" i="6"/>
  <c r="L3591" i="6" s="1"/>
  <c r="K3590" i="6"/>
  <c r="L3590" i="6" s="1"/>
  <c r="K3587" i="6"/>
  <c r="L3587" i="6" s="1"/>
  <c r="K3586" i="6"/>
  <c r="L3586" i="6" s="1"/>
  <c r="K3585" i="6"/>
  <c r="L3585" i="6" s="1"/>
  <c r="K3584" i="6"/>
  <c r="L3584" i="6" s="1"/>
  <c r="L3574" i="6"/>
  <c r="L3575" i="6" s="1"/>
  <c r="K3572" i="6"/>
  <c r="J3572" i="6"/>
  <c r="K3569" i="6"/>
  <c r="L3569" i="6" s="1"/>
  <c r="K3568" i="6"/>
  <c r="L3568" i="6" s="1"/>
  <c r="K3567" i="6"/>
  <c r="L3567" i="6" s="1"/>
  <c r="K3566" i="6"/>
  <c r="L3566" i="6" s="1"/>
  <c r="L3557" i="6"/>
  <c r="L3558" i="6" s="1"/>
  <c r="K3555" i="6"/>
  <c r="J3555" i="6"/>
  <c r="K3552" i="6"/>
  <c r="L3552" i="6" s="1"/>
  <c r="K3551" i="6"/>
  <c r="L3551" i="6" s="1"/>
  <c r="K3549" i="6"/>
  <c r="L3549" i="6" s="1"/>
  <c r="L3540" i="6"/>
  <c r="L3541" i="6" s="1"/>
  <c r="K3538" i="6"/>
  <c r="L3538" i="6" s="1"/>
  <c r="L3539" i="6" s="1"/>
  <c r="K3535" i="6"/>
  <c r="L3535" i="6" s="1"/>
  <c r="K3534" i="6"/>
  <c r="L3534" i="6" s="1"/>
  <c r="K3533" i="6"/>
  <c r="L3533" i="6" s="1"/>
  <c r="K3532" i="6"/>
  <c r="L3532" i="6" s="1"/>
  <c r="L3523" i="6"/>
  <c r="L3524" i="6" s="1"/>
  <c r="K3521" i="6"/>
  <c r="L3521" i="6" s="1"/>
  <c r="K3520" i="6"/>
  <c r="L3520" i="6" s="1"/>
  <c r="K3517" i="6"/>
  <c r="L3517" i="6" s="1"/>
  <c r="K3516" i="6"/>
  <c r="L3516" i="6" s="1"/>
  <c r="K3515" i="6"/>
  <c r="L3515" i="6" s="1"/>
  <c r="K3514" i="6"/>
  <c r="L3514" i="6" s="1"/>
  <c r="L3505" i="6"/>
  <c r="L3506" i="6" s="1"/>
  <c r="K3503" i="6"/>
  <c r="L3503" i="6" s="1"/>
  <c r="L3504" i="6" s="1"/>
  <c r="K3500" i="6"/>
  <c r="L3500" i="6" s="1"/>
  <c r="K3499" i="6"/>
  <c r="L3499" i="6" s="1"/>
  <c r="K3497" i="6"/>
  <c r="L3497" i="6" s="1"/>
  <c r="L3488" i="6"/>
  <c r="L3489" i="6" s="1"/>
  <c r="K3486" i="6"/>
  <c r="L3486" i="6" s="1"/>
  <c r="L3487" i="6" s="1"/>
  <c r="K3483" i="6"/>
  <c r="L3483" i="6" s="1"/>
  <c r="K3482" i="6"/>
  <c r="L3482" i="6" s="1"/>
  <c r="K3481" i="6"/>
  <c r="L3481" i="6" s="1"/>
  <c r="K3480" i="6"/>
  <c r="L3480" i="6" s="1"/>
  <c r="L3471" i="6"/>
  <c r="L3472" i="6" s="1"/>
  <c r="K3469" i="6"/>
  <c r="L3469" i="6" s="1"/>
  <c r="K3468" i="6"/>
  <c r="L3468" i="6" s="1"/>
  <c r="K3465" i="6"/>
  <c r="L3465" i="6" s="1"/>
  <c r="K3464" i="6"/>
  <c r="L3464" i="6" s="1"/>
  <c r="K3462" i="6"/>
  <c r="L3462" i="6" s="1"/>
  <c r="L3453" i="6"/>
  <c r="L3454" i="6" s="1"/>
  <c r="K3451" i="6"/>
  <c r="L3451" i="6" s="1"/>
  <c r="K3450" i="6"/>
  <c r="L3450" i="6" s="1"/>
  <c r="K3447" i="6"/>
  <c r="L3447" i="6" s="1"/>
  <c r="K3446" i="6"/>
  <c r="L3446" i="6" s="1"/>
  <c r="K3444" i="6"/>
  <c r="L3444" i="6" s="1"/>
  <c r="L3435" i="6"/>
  <c r="L3436" i="6" s="1"/>
  <c r="K3433" i="6"/>
  <c r="L3433" i="6" s="1"/>
  <c r="K3432" i="6"/>
  <c r="L3432" i="6" s="1"/>
  <c r="K3429" i="6"/>
  <c r="L3429" i="6" s="1"/>
  <c r="K3428" i="6"/>
  <c r="L3428" i="6" s="1"/>
  <c r="K3427" i="6"/>
  <c r="L3427" i="6" s="1"/>
  <c r="K3426" i="6"/>
  <c r="L3426" i="6" s="1"/>
  <c r="L3417" i="6"/>
  <c r="L3418" i="6" s="1"/>
  <c r="K3415" i="6"/>
  <c r="L3415" i="6" s="1"/>
  <c r="K3414" i="6"/>
  <c r="L3414" i="6" s="1"/>
  <c r="K3411" i="6"/>
  <c r="L3411" i="6" s="1"/>
  <c r="K3410" i="6"/>
  <c r="L3410" i="6" s="1"/>
  <c r="K3409" i="6"/>
  <c r="L3409" i="6" s="1"/>
  <c r="K3408" i="6"/>
  <c r="L3408" i="6" s="1"/>
  <c r="L3399" i="6"/>
  <c r="L3400" i="6" s="1"/>
  <c r="K3397" i="6"/>
  <c r="L3397" i="6" s="1"/>
  <c r="K3396" i="6"/>
  <c r="L3396" i="6" s="1"/>
  <c r="K3393" i="6"/>
  <c r="L3393" i="6" s="1"/>
  <c r="K3392" i="6"/>
  <c r="L3392" i="6" s="1"/>
  <c r="K3390" i="6"/>
  <c r="L3390" i="6" s="1"/>
  <c r="L3381" i="6"/>
  <c r="L3382" i="6" s="1"/>
  <c r="K3379" i="6"/>
  <c r="L3379" i="6" s="1"/>
  <c r="K3378" i="6"/>
  <c r="L3378" i="6" s="1"/>
  <c r="K3377" i="6"/>
  <c r="L3377" i="6" s="1"/>
  <c r="K3374" i="6"/>
  <c r="L3374" i="6" s="1"/>
  <c r="K3373" i="6"/>
  <c r="L3373" i="6" s="1"/>
  <c r="K3371" i="6"/>
  <c r="L3371" i="6" s="1"/>
  <c r="L3362" i="6"/>
  <c r="L3363" i="6" s="1"/>
  <c r="K3360" i="6"/>
  <c r="L3360" i="6" s="1"/>
  <c r="K3359" i="6"/>
  <c r="L3359" i="6" s="1"/>
  <c r="K3356" i="6"/>
  <c r="L3356" i="6" s="1"/>
  <c r="K3355" i="6"/>
  <c r="L3355" i="6" s="1"/>
  <c r="K3353" i="6"/>
  <c r="L3353" i="6" s="1"/>
  <c r="L3344" i="6"/>
  <c r="L3345" i="6" s="1"/>
  <c r="K3342" i="6"/>
  <c r="L3342" i="6" s="1"/>
  <c r="K3341" i="6"/>
  <c r="L3341" i="6" s="1"/>
  <c r="K3338" i="6"/>
  <c r="L3338" i="6" s="1"/>
  <c r="K3337" i="6"/>
  <c r="L3337" i="6" s="1"/>
  <c r="K3336" i="6"/>
  <c r="L3336" i="6" s="1"/>
  <c r="K3335" i="6"/>
  <c r="L3335" i="6" s="1"/>
  <c r="L3326" i="6"/>
  <c r="L3327" i="6" s="1"/>
  <c r="K3324" i="6"/>
  <c r="L3324" i="6" s="1"/>
  <c r="K3323" i="6"/>
  <c r="L3323" i="6" s="1"/>
  <c r="K3320" i="6"/>
  <c r="L3320" i="6" s="1"/>
  <c r="K3319" i="6"/>
  <c r="L3319" i="6" s="1"/>
  <c r="K3318" i="6"/>
  <c r="L3318" i="6" s="1"/>
  <c r="K3317" i="6"/>
  <c r="L3317" i="6" s="1"/>
  <c r="L3308" i="6"/>
  <c r="L3309" i="6" s="1"/>
  <c r="K3306" i="6"/>
  <c r="L3306" i="6" s="1"/>
  <c r="K3305" i="6"/>
  <c r="L3305" i="6" s="1"/>
  <c r="K3302" i="6"/>
  <c r="L3302" i="6" s="1"/>
  <c r="K3301" i="6"/>
  <c r="L3301" i="6" s="1"/>
  <c r="K3299" i="6"/>
  <c r="L3299" i="6" s="1"/>
  <c r="L3290" i="6"/>
  <c r="L3291" i="6" s="1"/>
  <c r="K3288" i="6"/>
  <c r="L3288" i="6" s="1"/>
  <c r="K3287" i="6"/>
  <c r="L3287" i="6" s="1"/>
  <c r="K3284" i="6"/>
  <c r="L3284" i="6" s="1"/>
  <c r="K3283" i="6"/>
  <c r="L3283" i="6" s="1"/>
  <c r="K3281" i="6"/>
  <c r="L3281" i="6" s="1"/>
  <c r="L3272" i="6"/>
  <c r="L3273" i="6" s="1"/>
  <c r="K3270" i="6"/>
  <c r="L3270" i="6" s="1"/>
  <c r="K3269" i="6"/>
  <c r="L3269" i="6" s="1"/>
  <c r="K3268" i="6"/>
  <c r="L3268" i="6" s="1"/>
  <c r="K3265" i="6"/>
  <c r="L3265" i="6" s="1"/>
  <c r="K3264" i="6"/>
  <c r="L3264" i="6" s="1"/>
  <c r="K3262" i="6"/>
  <c r="L3262" i="6" s="1"/>
  <c r="L3253" i="6"/>
  <c r="L3254" i="6" s="1"/>
  <c r="K3251" i="6"/>
  <c r="L3251" i="6" s="1"/>
  <c r="K3250" i="6"/>
  <c r="L3250" i="6" s="1"/>
  <c r="K3249" i="6"/>
  <c r="L3249" i="6" s="1"/>
  <c r="K3246" i="6"/>
  <c r="L3246" i="6" s="1"/>
  <c r="K3245" i="6"/>
  <c r="L3245" i="6" s="1"/>
  <c r="K3243" i="6"/>
  <c r="L3243" i="6" s="1"/>
  <c r="L3234" i="6"/>
  <c r="L3235" i="6" s="1"/>
  <c r="K3232" i="6"/>
  <c r="L3232" i="6" s="1"/>
  <c r="K3231" i="6"/>
  <c r="L3231" i="6" s="1"/>
  <c r="K3230" i="6"/>
  <c r="L3230" i="6" s="1"/>
  <c r="K3227" i="6"/>
  <c r="L3227" i="6" s="1"/>
  <c r="K3226" i="6"/>
  <c r="L3226" i="6" s="1"/>
  <c r="K3224" i="6"/>
  <c r="L3224" i="6" s="1"/>
  <c r="L3215" i="6"/>
  <c r="L3216" i="6" s="1"/>
  <c r="K3213" i="6"/>
  <c r="L3213" i="6" s="1"/>
  <c r="K3212" i="6"/>
  <c r="L3212" i="6" s="1"/>
  <c r="K3211" i="6"/>
  <c r="L3211" i="6" s="1"/>
  <c r="K3208" i="6"/>
  <c r="L3208" i="6" s="1"/>
  <c r="K3207" i="6"/>
  <c r="L3207" i="6" s="1"/>
  <c r="K3205" i="6"/>
  <c r="L3205" i="6" s="1"/>
  <c r="L3196" i="6"/>
  <c r="L3197" i="6" s="1"/>
  <c r="K3194" i="6"/>
  <c r="L3194" i="6" s="1"/>
  <c r="K3193" i="6"/>
  <c r="L3193" i="6" s="1"/>
  <c r="K3190" i="6"/>
  <c r="L3190" i="6" s="1"/>
  <c r="K3189" i="6"/>
  <c r="L3189" i="6" s="1"/>
  <c r="K3188" i="6"/>
  <c r="L3188" i="6" s="1"/>
  <c r="K3187" i="6"/>
  <c r="L3187" i="6" s="1"/>
  <c r="L3178" i="6"/>
  <c r="L3179" i="6" s="1"/>
  <c r="K3176" i="6"/>
  <c r="L3176" i="6" s="1"/>
  <c r="K3175" i="6"/>
  <c r="L3175" i="6" s="1"/>
  <c r="K3172" i="6"/>
  <c r="L3172" i="6" s="1"/>
  <c r="K3171" i="6"/>
  <c r="L3171" i="6" s="1"/>
  <c r="K3170" i="6"/>
  <c r="L3170" i="6" s="1"/>
  <c r="K3169" i="6"/>
  <c r="L3169" i="6" s="1"/>
  <c r="L3160" i="6"/>
  <c r="L3161" i="6" s="1"/>
  <c r="K3158" i="6"/>
  <c r="L3158" i="6" s="1"/>
  <c r="K3157" i="6"/>
  <c r="L3157" i="6" s="1"/>
  <c r="K3154" i="6"/>
  <c r="L3154" i="6" s="1"/>
  <c r="K3153" i="6"/>
  <c r="L3153" i="6" s="1"/>
  <c r="K3151" i="6"/>
  <c r="L3151" i="6" s="1"/>
  <c r="L3142" i="6"/>
  <c r="L3143" i="6" s="1"/>
  <c r="K3140" i="6"/>
  <c r="L3140" i="6" s="1"/>
  <c r="K3139" i="6"/>
  <c r="L3139" i="6" s="1"/>
  <c r="K3136" i="6"/>
  <c r="L3136" i="6" s="1"/>
  <c r="K3135" i="6"/>
  <c r="L3135" i="6" s="1"/>
  <c r="K3133" i="6"/>
  <c r="L3133" i="6" s="1"/>
  <c r="L3124" i="6"/>
  <c r="L3125" i="6" s="1"/>
  <c r="K3122" i="6"/>
  <c r="L3122" i="6" s="1"/>
  <c r="K3121" i="6"/>
  <c r="L3121" i="6" s="1"/>
  <c r="K3118" i="6"/>
  <c r="L3118" i="6" s="1"/>
  <c r="K3117" i="6"/>
  <c r="L3117" i="6" s="1"/>
  <c r="K3116" i="6"/>
  <c r="L3116" i="6" s="1"/>
  <c r="K3115" i="6"/>
  <c r="L3115" i="6" s="1"/>
  <c r="L3106" i="6"/>
  <c r="L3107" i="6" s="1"/>
  <c r="K3104" i="6"/>
  <c r="L3104" i="6" s="1"/>
  <c r="K3103" i="6"/>
  <c r="L3103" i="6" s="1"/>
  <c r="K3100" i="6"/>
  <c r="L3100" i="6" s="1"/>
  <c r="K3099" i="6"/>
  <c r="L3099" i="6" s="1"/>
  <c r="K3098" i="6"/>
  <c r="L3098" i="6" s="1"/>
  <c r="K3097" i="6"/>
  <c r="L3097" i="6" s="1"/>
  <c r="L3088" i="6"/>
  <c r="L3089" i="6" s="1"/>
  <c r="K3086" i="6"/>
  <c r="L3086" i="6" s="1"/>
  <c r="K3085" i="6"/>
  <c r="L3085" i="6" s="1"/>
  <c r="K3082" i="6"/>
  <c r="L3082" i="6" s="1"/>
  <c r="K3081" i="6"/>
  <c r="L3081" i="6" s="1"/>
  <c r="K3079" i="6"/>
  <c r="L3079" i="6" s="1"/>
  <c r="L3070" i="6"/>
  <c r="L3071" i="6" s="1"/>
  <c r="K3068" i="6"/>
  <c r="L3068" i="6" s="1"/>
  <c r="K3067" i="6"/>
  <c r="L3067" i="6" s="1"/>
  <c r="K3064" i="6"/>
  <c r="L3064" i="6" s="1"/>
  <c r="K3063" i="6"/>
  <c r="L3063" i="6" s="1"/>
  <c r="K3061" i="6"/>
  <c r="L3061" i="6" s="1"/>
  <c r="L3051" i="6"/>
  <c r="K3047" i="6"/>
  <c r="L3047" i="6" s="1"/>
  <c r="K3046" i="6"/>
  <c r="L3046" i="6" s="1"/>
  <c r="K3043" i="6"/>
  <c r="L3043" i="6" s="1"/>
  <c r="K3042" i="6"/>
  <c r="L3042" i="6" s="1"/>
  <c r="K3041" i="6"/>
  <c r="L3041" i="6" s="1"/>
  <c r="K3040" i="6"/>
  <c r="L3040" i="6" s="1"/>
  <c r="L3032" i="6"/>
  <c r="K3028" i="6"/>
  <c r="J3028" i="6"/>
  <c r="K3027" i="6"/>
  <c r="L3027" i="6" s="1"/>
  <c r="K3024" i="6"/>
  <c r="L3024" i="6" s="1"/>
  <c r="K3023" i="6"/>
  <c r="L3023" i="6" s="1"/>
  <c r="K3022" i="6"/>
  <c r="L3022" i="6" s="1"/>
  <c r="K3021" i="6"/>
  <c r="L3021" i="6" s="1"/>
  <c r="L3012" i="6"/>
  <c r="L3013" i="6" s="1"/>
  <c r="K3010" i="6"/>
  <c r="L3010" i="6" s="1"/>
  <c r="K3009" i="6"/>
  <c r="L3009" i="6" s="1"/>
  <c r="K3008" i="6"/>
  <c r="L3008" i="6" s="1"/>
  <c r="K3005" i="6"/>
  <c r="L3005" i="6" s="1"/>
  <c r="K3004" i="6"/>
  <c r="L3004" i="6" s="1"/>
  <c r="K3003" i="6"/>
  <c r="L3003" i="6" s="1"/>
  <c r="K3002" i="6"/>
  <c r="L3002" i="6" s="1"/>
  <c r="L2993" i="6"/>
  <c r="L2994" i="6" s="1"/>
  <c r="K2991" i="6"/>
  <c r="L2991" i="6" s="1"/>
  <c r="K2990" i="6"/>
  <c r="L2990" i="6" s="1"/>
  <c r="K2989" i="6"/>
  <c r="L2989" i="6" s="1"/>
  <c r="K2986" i="6"/>
  <c r="L2986" i="6" s="1"/>
  <c r="K2985" i="6"/>
  <c r="L2985" i="6" s="1"/>
  <c r="K2984" i="6"/>
  <c r="L2984" i="6" s="1"/>
  <c r="K2983" i="6"/>
  <c r="L2983" i="6" s="1"/>
  <c r="L2974" i="6"/>
  <c r="L2975" i="6" s="1"/>
  <c r="K2972" i="6"/>
  <c r="L2972" i="6" s="1"/>
  <c r="K2971" i="6"/>
  <c r="L2971" i="6" s="1"/>
  <c r="K2970" i="6"/>
  <c r="L2970" i="6" s="1"/>
  <c r="K2967" i="6"/>
  <c r="L2967" i="6" s="1"/>
  <c r="K2966" i="6"/>
  <c r="L2966" i="6" s="1"/>
  <c r="K2965" i="6"/>
  <c r="L2965" i="6" s="1"/>
  <c r="K2964" i="6"/>
  <c r="L2964" i="6" s="1"/>
  <c r="L2955" i="6"/>
  <c r="L2956" i="6" s="1"/>
  <c r="K2953" i="6"/>
  <c r="L2953" i="6" s="1"/>
  <c r="K2952" i="6"/>
  <c r="L2952" i="6" s="1"/>
  <c r="K2951" i="6"/>
  <c r="L2951" i="6" s="1"/>
  <c r="K2950" i="6"/>
  <c r="L2950" i="6" s="1"/>
  <c r="K2947" i="6"/>
  <c r="L2947" i="6" s="1"/>
  <c r="K2946" i="6"/>
  <c r="L2946" i="6" s="1"/>
  <c r="K2944" i="6"/>
  <c r="L2944" i="6" s="1"/>
  <c r="L2935" i="6"/>
  <c r="L2936" i="6" s="1"/>
  <c r="K2933" i="6"/>
  <c r="L2933" i="6" s="1"/>
  <c r="K2932" i="6"/>
  <c r="L2932" i="6" s="1"/>
  <c r="K2931" i="6"/>
  <c r="L2931" i="6" s="1"/>
  <c r="K2930" i="6"/>
  <c r="L2930" i="6" s="1"/>
  <c r="K2927" i="6"/>
  <c r="L2927" i="6" s="1"/>
  <c r="K2926" i="6"/>
  <c r="L2926" i="6" s="1"/>
  <c r="K2924" i="6"/>
  <c r="L2924" i="6" s="1"/>
  <c r="L2915" i="6"/>
  <c r="L2916" i="6" s="1"/>
  <c r="K2913" i="6"/>
  <c r="L2913" i="6" s="1"/>
  <c r="K2912" i="6"/>
  <c r="L2912" i="6" s="1"/>
  <c r="K2911" i="6"/>
  <c r="L2911" i="6" s="1"/>
  <c r="K2910" i="6"/>
  <c r="L2910" i="6" s="1"/>
  <c r="K2907" i="6"/>
  <c r="L2907" i="6" s="1"/>
  <c r="K2906" i="6"/>
  <c r="L2906" i="6" s="1"/>
  <c r="K2905" i="6"/>
  <c r="L2905" i="6" s="1"/>
  <c r="K2904" i="6"/>
  <c r="L2904" i="6" s="1"/>
  <c r="L2895" i="6"/>
  <c r="L2896" i="6" s="1"/>
  <c r="K2893" i="6"/>
  <c r="L2893" i="6" s="1"/>
  <c r="K2892" i="6"/>
  <c r="L2892" i="6" s="1"/>
  <c r="K2891" i="6"/>
  <c r="L2891" i="6" s="1"/>
  <c r="K2890" i="6"/>
  <c r="L2890" i="6" s="1"/>
  <c r="K2887" i="6"/>
  <c r="L2887" i="6" s="1"/>
  <c r="K2886" i="6"/>
  <c r="L2886" i="6" s="1"/>
  <c r="K2885" i="6"/>
  <c r="L2885" i="6" s="1"/>
  <c r="K2884" i="6"/>
  <c r="L2884" i="6" s="1"/>
  <c r="L2875" i="6"/>
  <c r="L2876" i="6" s="1"/>
  <c r="K2873" i="6"/>
  <c r="L2873" i="6" s="1"/>
  <c r="K2872" i="6"/>
  <c r="L2872" i="6" s="1"/>
  <c r="K2871" i="6"/>
  <c r="L2871" i="6" s="1"/>
  <c r="K2870" i="6"/>
  <c r="L2870" i="6" s="1"/>
  <c r="K2867" i="6"/>
  <c r="L2867" i="6" s="1"/>
  <c r="K2866" i="6"/>
  <c r="L2866" i="6" s="1"/>
  <c r="K2864" i="6"/>
  <c r="L2864" i="6" s="1"/>
  <c r="L2855" i="6"/>
  <c r="L2856" i="6" s="1"/>
  <c r="K2853" i="6"/>
  <c r="L2853" i="6" s="1"/>
  <c r="K2852" i="6"/>
  <c r="L2852" i="6" s="1"/>
  <c r="K2851" i="6"/>
  <c r="L2851" i="6" s="1"/>
  <c r="K2850" i="6"/>
  <c r="L2850" i="6" s="1"/>
  <c r="K2847" i="6"/>
  <c r="L2847" i="6" s="1"/>
  <c r="K2846" i="6"/>
  <c r="L2846" i="6" s="1"/>
  <c r="K2844" i="6"/>
  <c r="L2844" i="6" s="1"/>
  <c r="L2835" i="6"/>
  <c r="L2836" i="6" s="1"/>
  <c r="K2833" i="6"/>
  <c r="L2833" i="6" s="1"/>
  <c r="K2832" i="6"/>
  <c r="L2832" i="6" s="1"/>
  <c r="K2831" i="6"/>
  <c r="L2831" i="6" s="1"/>
  <c r="K2830" i="6"/>
  <c r="L2830" i="6" s="1"/>
  <c r="K2827" i="6"/>
  <c r="L2827" i="6" s="1"/>
  <c r="K2826" i="6"/>
  <c r="L2826" i="6" s="1"/>
  <c r="K2825" i="6"/>
  <c r="L2825" i="6" s="1"/>
  <c r="K2824" i="6"/>
  <c r="L2824" i="6" s="1"/>
  <c r="L2815" i="6"/>
  <c r="L2816" i="6" s="1"/>
  <c r="K2813" i="6"/>
  <c r="L2813" i="6" s="1"/>
  <c r="K2812" i="6"/>
  <c r="L2812" i="6" s="1"/>
  <c r="K2811" i="6"/>
  <c r="L2811" i="6" s="1"/>
  <c r="K2810" i="6"/>
  <c r="L2810" i="6" s="1"/>
  <c r="K2807" i="6"/>
  <c r="L2807" i="6" s="1"/>
  <c r="K2806" i="6"/>
  <c r="L2806" i="6" s="1"/>
  <c r="K2805" i="6"/>
  <c r="L2805" i="6" s="1"/>
  <c r="K2804" i="6"/>
  <c r="L2804" i="6" s="1"/>
  <c r="L2795" i="6"/>
  <c r="L2796" i="6" s="1"/>
  <c r="K2793" i="6"/>
  <c r="L2793" i="6" s="1"/>
  <c r="K2792" i="6"/>
  <c r="L2792" i="6" s="1"/>
  <c r="K2791" i="6"/>
  <c r="L2791" i="6" s="1"/>
  <c r="K2790" i="6"/>
  <c r="L2790" i="6" s="1"/>
  <c r="K2787" i="6"/>
  <c r="L2787" i="6" s="1"/>
  <c r="K2786" i="6"/>
  <c r="L2786" i="6" s="1"/>
  <c r="K2784" i="6"/>
  <c r="L2784" i="6" s="1"/>
  <c r="L2775" i="6"/>
  <c r="L2776" i="6" s="1"/>
  <c r="K2773" i="6"/>
  <c r="L2773" i="6" s="1"/>
  <c r="K2772" i="6"/>
  <c r="L2772" i="6" s="1"/>
  <c r="K2771" i="6"/>
  <c r="L2771" i="6" s="1"/>
  <c r="K2768" i="6"/>
  <c r="L2768" i="6" s="1"/>
  <c r="K2767" i="6"/>
  <c r="L2767" i="6" s="1"/>
  <c r="K2765" i="6"/>
  <c r="L2765" i="6" s="1"/>
  <c r="L2756" i="6"/>
  <c r="L2757" i="6" s="1"/>
  <c r="K2754" i="6"/>
  <c r="L2754" i="6" s="1"/>
  <c r="K2753" i="6"/>
  <c r="L2753" i="6" s="1"/>
  <c r="K2752" i="6"/>
  <c r="L2752" i="6" s="1"/>
  <c r="K2749" i="6"/>
  <c r="L2749" i="6" s="1"/>
  <c r="K2748" i="6"/>
  <c r="L2748" i="6" s="1"/>
  <c r="K2746" i="6"/>
  <c r="L2746" i="6" s="1"/>
  <c r="L2737" i="6"/>
  <c r="L2738" i="6" s="1"/>
  <c r="K2735" i="6"/>
  <c r="L2735" i="6" s="1"/>
  <c r="K2734" i="6"/>
  <c r="L2734" i="6" s="1"/>
  <c r="K2733" i="6"/>
  <c r="L2733" i="6" s="1"/>
  <c r="K2730" i="6"/>
  <c r="L2730" i="6" s="1"/>
  <c r="K2729" i="6"/>
  <c r="L2729" i="6" s="1"/>
  <c r="K2727" i="6"/>
  <c r="L2727" i="6" s="1"/>
  <c r="L2718" i="6"/>
  <c r="L2719" i="6" s="1"/>
  <c r="K2716" i="6"/>
  <c r="L2716" i="6" s="1"/>
  <c r="K2715" i="6"/>
  <c r="L2715" i="6" s="1"/>
  <c r="K2714" i="6"/>
  <c r="L2714" i="6" s="1"/>
  <c r="K2711" i="6"/>
  <c r="L2711" i="6" s="1"/>
  <c r="K2710" i="6"/>
  <c r="L2710" i="6" s="1"/>
  <c r="K2708" i="6"/>
  <c r="L2708" i="6" s="1"/>
  <c r="L2699" i="6"/>
  <c r="L2700" i="6" s="1"/>
  <c r="K2697" i="6"/>
  <c r="L2697" i="6" s="1"/>
  <c r="K2696" i="6"/>
  <c r="L2696" i="6" s="1"/>
  <c r="K2695" i="6"/>
  <c r="L2695" i="6" s="1"/>
  <c r="K2692" i="6"/>
  <c r="L2692" i="6" s="1"/>
  <c r="K2691" i="6"/>
  <c r="L2691" i="6" s="1"/>
  <c r="K2689" i="6"/>
  <c r="L2689" i="6" s="1"/>
  <c r="L2680" i="6"/>
  <c r="L2681" i="6" s="1"/>
  <c r="K2678" i="6"/>
  <c r="L2678" i="6" s="1"/>
  <c r="K2677" i="6"/>
  <c r="L2677" i="6" s="1"/>
  <c r="K2676" i="6"/>
  <c r="L2676" i="6" s="1"/>
  <c r="K2673" i="6"/>
  <c r="L2673" i="6" s="1"/>
  <c r="K2672" i="6"/>
  <c r="L2672" i="6" s="1"/>
  <c r="K2670" i="6"/>
  <c r="L2670" i="6" s="1"/>
  <c r="L2661" i="6"/>
  <c r="L2662" i="6" s="1"/>
  <c r="K2659" i="6"/>
  <c r="L2659" i="6" s="1"/>
  <c r="K2658" i="6"/>
  <c r="L2658" i="6" s="1"/>
  <c r="K2657" i="6"/>
  <c r="L2657" i="6" s="1"/>
  <c r="K2656" i="6"/>
  <c r="L2656" i="6" s="1"/>
  <c r="K2653" i="6"/>
  <c r="L2653" i="6" s="1"/>
  <c r="K2652" i="6"/>
  <c r="L2652" i="6" s="1"/>
  <c r="K2650" i="6"/>
  <c r="L2650" i="6" s="1"/>
  <c r="L2641" i="6"/>
  <c r="L2642" i="6" s="1"/>
  <c r="K2639" i="6"/>
  <c r="L2639" i="6" s="1"/>
  <c r="K2638" i="6"/>
  <c r="L2638" i="6" s="1"/>
  <c r="K2637" i="6"/>
  <c r="L2637" i="6" s="1"/>
  <c r="K2634" i="6"/>
  <c r="L2634" i="6" s="1"/>
  <c r="K2633" i="6"/>
  <c r="L2633" i="6" s="1"/>
  <c r="K2631" i="6"/>
  <c r="L2631" i="6" s="1"/>
  <c r="L2622" i="6"/>
  <c r="L2623" i="6" s="1"/>
  <c r="K2620" i="6"/>
  <c r="L2620" i="6" s="1"/>
  <c r="K2619" i="6"/>
  <c r="L2619" i="6" s="1"/>
  <c r="K2618" i="6"/>
  <c r="L2618" i="6" s="1"/>
  <c r="K2615" i="6"/>
  <c r="L2615" i="6" s="1"/>
  <c r="K2614" i="6"/>
  <c r="L2614" i="6" s="1"/>
  <c r="K2612" i="6"/>
  <c r="L2612" i="6" s="1"/>
  <c r="L2603" i="6"/>
  <c r="L2604" i="6" s="1"/>
  <c r="K2601" i="6"/>
  <c r="L2601" i="6" s="1"/>
  <c r="K2600" i="6"/>
  <c r="L2600" i="6" s="1"/>
  <c r="K2599" i="6"/>
  <c r="L2599" i="6" s="1"/>
  <c r="K2596" i="6"/>
  <c r="L2596" i="6" s="1"/>
  <c r="K2595" i="6"/>
  <c r="L2595" i="6" s="1"/>
  <c r="K2593" i="6"/>
  <c r="L2593" i="6" s="1"/>
  <c r="L2584" i="6"/>
  <c r="L2585" i="6" s="1"/>
  <c r="K2582" i="6"/>
  <c r="L2582" i="6" s="1"/>
  <c r="K2581" i="6"/>
  <c r="L2581" i="6" s="1"/>
  <c r="K2580" i="6"/>
  <c r="L2580" i="6" s="1"/>
  <c r="K2577" i="6"/>
  <c r="L2577" i="6" s="1"/>
  <c r="K2576" i="6"/>
  <c r="L2576" i="6" s="1"/>
  <c r="K2574" i="6"/>
  <c r="L2574" i="6" s="1"/>
  <c r="L2565" i="6"/>
  <c r="L2566" i="6" s="1"/>
  <c r="K2563" i="6"/>
  <c r="L2563" i="6" s="1"/>
  <c r="K2562" i="6"/>
  <c r="L2562" i="6" s="1"/>
  <c r="K2561" i="6"/>
  <c r="L2561" i="6" s="1"/>
  <c r="K2558" i="6"/>
  <c r="L2558" i="6" s="1"/>
  <c r="K2557" i="6"/>
  <c r="L2557" i="6" s="1"/>
  <c r="K2555" i="6"/>
  <c r="L2555" i="6" s="1"/>
  <c r="L2546" i="6"/>
  <c r="K2541" i="6"/>
  <c r="L2541" i="6" s="1"/>
  <c r="L2543" i="6" s="1"/>
  <c r="K2538" i="6"/>
  <c r="L2538" i="6" s="1"/>
  <c r="K2537" i="6"/>
  <c r="L2537" i="6" s="1"/>
  <c r="K2536" i="6"/>
  <c r="L2536" i="6" s="1"/>
  <c r="K2535" i="6"/>
  <c r="L2535" i="6" s="1"/>
  <c r="L2526" i="6"/>
  <c r="K2522" i="6"/>
  <c r="L2522" i="6" s="1"/>
  <c r="K2521" i="6"/>
  <c r="L2521" i="6" s="1"/>
  <c r="K2520" i="6"/>
  <c r="L2520" i="6" s="1"/>
  <c r="K2519" i="6"/>
  <c r="L2519" i="6" s="1"/>
  <c r="K2518" i="6"/>
  <c r="L2518" i="6" s="1"/>
  <c r="K2515" i="6"/>
  <c r="L2515" i="6" s="1"/>
  <c r="K2514" i="6"/>
  <c r="L2514" i="6" s="1"/>
  <c r="K2513" i="6"/>
  <c r="L2513" i="6" s="1"/>
  <c r="K2512" i="6"/>
  <c r="L2512" i="6" s="1"/>
  <c r="L2504" i="6"/>
  <c r="K2500" i="6"/>
  <c r="L2500" i="6" s="1"/>
  <c r="L2501" i="6" s="1"/>
  <c r="L2503" i="6" s="1"/>
  <c r="K2497" i="6"/>
  <c r="L2497" i="6" s="1"/>
  <c r="K2496" i="6"/>
  <c r="L2496" i="6" s="1"/>
  <c r="K2495" i="6"/>
  <c r="L2495" i="6" s="1"/>
  <c r="K2494" i="6"/>
  <c r="L2494" i="6" s="1"/>
  <c r="L2484" i="6"/>
  <c r="K2482" i="6"/>
  <c r="L2482" i="6" s="1"/>
  <c r="L2483" i="6" s="1"/>
  <c r="L2485" i="6" s="1"/>
  <c r="L2486" i="6" s="1"/>
  <c r="K2479" i="6"/>
  <c r="L2479" i="6" s="1"/>
  <c r="K2478" i="6"/>
  <c r="L2478" i="6" s="1"/>
  <c r="K2477" i="6"/>
  <c r="L2477" i="6" s="1"/>
  <c r="K2476" i="6"/>
  <c r="L2476" i="6" s="1"/>
  <c r="L2467" i="6"/>
  <c r="L2468" i="6" s="1"/>
  <c r="K2465" i="6"/>
  <c r="L2465" i="6" s="1"/>
  <c r="K2464" i="6"/>
  <c r="L2464" i="6" s="1"/>
  <c r="K2461" i="6"/>
  <c r="L2461" i="6" s="1"/>
  <c r="K2460" i="6"/>
  <c r="L2460" i="6" s="1"/>
  <c r="K2459" i="6"/>
  <c r="L2459" i="6" s="1"/>
  <c r="K2458" i="6"/>
  <c r="L2458" i="6" s="1"/>
  <c r="L2449" i="6"/>
  <c r="L2450" i="6" s="1"/>
  <c r="K2447" i="6"/>
  <c r="L2447" i="6" s="1"/>
  <c r="K2446" i="6"/>
  <c r="L2446" i="6" s="1"/>
  <c r="K2443" i="6"/>
  <c r="L2443" i="6" s="1"/>
  <c r="K2442" i="6"/>
  <c r="L2442" i="6" s="1"/>
  <c r="K2441" i="6"/>
  <c r="L2441" i="6" s="1"/>
  <c r="K2440" i="6"/>
  <c r="L2440" i="6" s="1"/>
  <c r="L2431" i="6"/>
  <c r="L2432" i="6" s="1"/>
  <c r="K2429" i="6"/>
  <c r="L2429" i="6" s="1"/>
  <c r="K2428" i="6"/>
  <c r="L2428" i="6" s="1"/>
  <c r="K2427" i="6"/>
  <c r="L2427" i="6" s="1"/>
  <c r="K2424" i="6"/>
  <c r="L2424" i="6" s="1"/>
  <c r="K2423" i="6"/>
  <c r="L2423" i="6" s="1"/>
  <c r="K2422" i="6"/>
  <c r="L2422" i="6" s="1"/>
  <c r="K2421" i="6"/>
  <c r="L2421" i="6" s="1"/>
  <c r="L2412" i="6"/>
  <c r="L2413" i="6" s="1"/>
  <c r="K2410" i="6"/>
  <c r="L2410" i="6" s="1"/>
  <c r="K2409" i="6"/>
  <c r="L2409" i="6" s="1"/>
  <c r="K2408" i="6"/>
  <c r="L2408" i="6" s="1"/>
  <c r="K2405" i="6"/>
  <c r="L2405" i="6" s="1"/>
  <c r="K2404" i="6"/>
  <c r="L2404" i="6" s="1"/>
  <c r="K2403" i="6"/>
  <c r="L2403" i="6" s="1"/>
  <c r="K2402" i="6"/>
  <c r="L2402" i="6" s="1"/>
  <c r="L2393" i="6"/>
  <c r="L2394" i="6" s="1"/>
  <c r="K2391" i="6"/>
  <c r="L2391" i="6" s="1"/>
  <c r="K2390" i="6"/>
  <c r="L2390" i="6" s="1"/>
  <c r="K2389" i="6"/>
  <c r="L2389" i="6" s="1"/>
  <c r="K2386" i="6"/>
  <c r="L2386" i="6" s="1"/>
  <c r="K2385" i="6"/>
  <c r="L2385" i="6" s="1"/>
  <c r="K2384" i="6"/>
  <c r="L2384" i="6" s="1"/>
  <c r="K2383" i="6"/>
  <c r="L2383" i="6" s="1"/>
  <c r="L2374" i="6"/>
  <c r="L2375" i="6" s="1"/>
  <c r="K2372" i="6"/>
  <c r="L2372" i="6" s="1"/>
  <c r="K2370" i="6"/>
  <c r="L2370" i="6" s="1"/>
  <c r="K2367" i="6"/>
  <c r="L2367" i="6" s="1"/>
  <c r="K2366" i="6"/>
  <c r="L2366" i="6" s="1"/>
  <c r="K2365" i="6"/>
  <c r="L2365" i="6" s="1"/>
  <c r="K2364" i="6"/>
  <c r="L2364" i="6" s="1"/>
  <c r="L2355" i="6"/>
  <c r="L2356" i="6" s="1"/>
  <c r="K2352" i="6"/>
  <c r="L2352" i="6" s="1"/>
  <c r="K2349" i="6"/>
  <c r="L2349" i="6" s="1"/>
  <c r="K2348" i="6"/>
  <c r="L2348" i="6" s="1"/>
  <c r="K2347" i="6"/>
  <c r="L2347" i="6" s="1"/>
  <c r="K2346" i="6"/>
  <c r="L2346" i="6" s="1"/>
  <c r="L2337" i="6"/>
  <c r="L2338" i="6" s="1"/>
  <c r="K2335" i="6"/>
  <c r="L2335" i="6" s="1"/>
  <c r="L2336" i="6" s="1"/>
  <c r="K2332" i="6"/>
  <c r="L2332" i="6" s="1"/>
  <c r="K2331" i="6"/>
  <c r="L2331" i="6" s="1"/>
  <c r="K2330" i="6"/>
  <c r="L2330" i="6" s="1"/>
  <c r="K2329" i="6"/>
  <c r="L2329" i="6" s="1"/>
  <c r="L2320" i="6"/>
  <c r="L2321" i="6" s="1"/>
  <c r="K2318" i="6"/>
  <c r="L2318" i="6" s="1"/>
  <c r="K2317" i="6"/>
  <c r="L2317" i="6" s="1"/>
  <c r="K2316" i="6"/>
  <c r="L2316" i="6" s="1"/>
  <c r="K2313" i="6"/>
  <c r="L2313" i="6" s="1"/>
  <c r="K2312" i="6"/>
  <c r="L2312" i="6" s="1"/>
  <c r="K2311" i="6"/>
  <c r="L2311" i="6" s="1"/>
  <c r="K2310" i="6"/>
  <c r="L2310" i="6" s="1"/>
  <c r="L2301" i="6"/>
  <c r="L2302" i="6" s="1"/>
  <c r="K2299" i="6"/>
  <c r="L2299" i="6" s="1"/>
  <c r="K2298" i="6"/>
  <c r="L2298" i="6" s="1"/>
  <c r="K2295" i="6"/>
  <c r="L2295" i="6" s="1"/>
  <c r="K2294" i="6"/>
  <c r="L2294" i="6" s="1"/>
  <c r="K2292" i="6"/>
  <c r="L2292" i="6" s="1"/>
  <c r="L2283" i="6"/>
  <c r="L2284" i="6" s="1"/>
  <c r="K2281" i="6"/>
  <c r="L2281" i="6" s="1"/>
  <c r="K2280" i="6"/>
  <c r="L2280" i="6" s="1"/>
  <c r="K2279" i="6"/>
  <c r="L2279" i="6" s="1"/>
  <c r="K2276" i="6"/>
  <c r="L2276" i="6" s="1"/>
  <c r="K2275" i="6"/>
  <c r="L2275" i="6" s="1"/>
  <c r="K2273" i="6"/>
  <c r="L2273" i="6" s="1"/>
  <c r="L2264" i="6"/>
  <c r="L2265" i="6" s="1"/>
  <c r="K2262" i="6"/>
  <c r="L2262" i="6" s="1"/>
  <c r="L2263" i="6" s="1"/>
  <c r="K2259" i="6"/>
  <c r="L2259" i="6" s="1"/>
  <c r="K2258" i="6"/>
  <c r="L2258" i="6" s="1"/>
  <c r="K2257" i="6"/>
  <c r="L2257" i="6" s="1"/>
  <c r="K2256" i="6"/>
  <c r="L2256" i="6" s="1"/>
  <c r="L2247" i="6"/>
  <c r="L2248" i="6" s="1"/>
  <c r="K2245" i="6"/>
  <c r="L2245" i="6" s="1"/>
  <c r="L2246" i="6" s="1"/>
  <c r="K2242" i="6"/>
  <c r="L2242" i="6" s="1"/>
  <c r="K2241" i="6"/>
  <c r="L2241" i="6" s="1"/>
  <c r="K2240" i="6"/>
  <c r="L2240" i="6" s="1"/>
  <c r="K2239" i="6"/>
  <c r="L2239" i="6" s="1"/>
  <c r="L2230" i="6"/>
  <c r="L2231" i="6" s="1"/>
  <c r="K2228" i="6"/>
  <c r="L2228" i="6" s="1"/>
  <c r="L2229" i="6" s="1"/>
  <c r="K2225" i="6"/>
  <c r="L2225" i="6" s="1"/>
  <c r="K2224" i="6"/>
  <c r="L2224" i="6" s="1"/>
  <c r="K2223" i="6"/>
  <c r="L2223" i="6" s="1"/>
  <c r="K2222" i="6"/>
  <c r="L2222" i="6" s="1"/>
  <c r="L2214" i="6"/>
  <c r="K2211" i="6"/>
  <c r="L2211" i="6" s="1"/>
  <c r="L2212" i="6" s="1"/>
  <c r="K2208" i="6"/>
  <c r="L2208" i="6" s="1"/>
  <c r="K2207" i="6"/>
  <c r="L2207" i="6" s="1"/>
  <c r="K2206" i="6"/>
  <c r="L2206" i="6" s="1"/>
  <c r="K2205" i="6"/>
  <c r="L2205" i="6" s="1"/>
  <c r="L2197" i="6"/>
  <c r="K2193" i="6"/>
  <c r="L2193" i="6" s="1"/>
  <c r="K2192" i="6"/>
  <c r="L2192" i="6" s="1"/>
  <c r="K2189" i="6"/>
  <c r="L2189" i="6" s="1"/>
  <c r="K2188" i="6"/>
  <c r="L2188" i="6" s="1"/>
  <c r="K2187" i="6"/>
  <c r="L2187" i="6" s="1"/>
  <c r="K2186" i="6"/>
  <c r="L2186" i="6" s="1"/>
  <c r="K2177" i="6"/>
  <c r="L2177" i="6" s="1"/>
  <c r="L2178" i="6" s="1"/>
  <c r="K2174" i="6"/>
  <c r="L2174" i="6" s="1"/>
  <c r="K2173" i="6"/>
  <c r="L2173" i="6" s="1"/>
  <c r="K2172" i="6"/>
  <c r="L2172" i="6" s="1"/>
  <c r="K2169" i="6"/>
  <c r="L2169" i="6" s="1"/>
  <c r="K2168" i="6"/>
  <c r="L2168" i="6" s="1"/>
  <c r="K2167" i="6"/>
  <c r="L2167" i="6" s="1"/>
  <c r="K2166" i="6"/>
  <c r="L2166" i="6" s="1"/>
  <c r="L2158" i="6"/>
  <c r="K2155" i="6"/>
  <c r="L2155" i="6" s="1"/>
  <c r="K2154" i="6"/>
  <c r="L2154" i="6" s="1"/>
  <c r="K2153" i="6"/>
  <c r="L2153" i="6" s="1"/>
  <c r="K2150" i="6"/>
  <c r="L2150" i="6" s="1"/>
  <c r="K2149" i="6"/>
  <c r="L2149" i="6" s="1"/>
  <c r="K2148" i="6"/>
  <c r="L2148" i="6" s="1"/>
  <c r="K2147" i="6"/>
  <c r="L2147" i="6" s="1"/>
  <c r="L2138" i="6"/>
  <c r="L2139" i="6" s="1"/>
  <c r="K2135" i="6"/>
  <c r="L2135" i="6" s="1"/>
  <c r="K2134" i="6"/>
  <c r="L2134" i="6" s="1"/>
  <c r="K2131" i="6"/>
  <c r="L2131" i="6" s="1"/>
  <c r="K2130" i="6"/>
  <c r="L2130" i="6" s="1"/>
  <c r="K2129" i="6"/>
  <c r="L2129" i="6" s="1"/>
  <c r="K2128" i="6"/>
  <c r="L2128" i="6" s="1"/>
  <c r="L2120" i="6"/>
  <c r="K2117" i="6"/>
  <c r="L2117" i="6" s="1"/>
  <c r="L2118" i="6" s="1"/>
  <c r="K2114" i="6"/>
  <c r="L2114" i="6" s="1"/>
  <c r="K2113" i="6"/>
  <c r="L2113" i="6" s="1"/>
  <c r="K2111" i="6"/>
  <c r="L2111" i="6" s="1"/>
  <c r="L2102" i="6"/>
  <c r="L2103" i="6" s="1"/>
  <c r="K2100" i="6"/>
  <c r="L2100" i="6" s="1"/>
  <c r="L2101" i="6" s="1"/>
  <c r="K2097" i="6"/>
  <c r="L2097" i="6" s="1"/>
  <c r="K2096" i="6"/>
  <c r="L2096" i="6" s="1"/>
  <c r="K2095" i="6"/>
  <c r="L2095" i="6" s="1"/>
  <c r="K2094" i="6"/>
  <c r="L2094" i="6" s="1"/>
  <c r="L2084" i="6"/>
  <c r="L2085" i="6" s="1"/>
  <c r="L2083" i="6"/>
  <c r="K2080" i="6"/>
  <c r="L2080" i="6" s="1"/>
  <c r="K2079" i="6"/>
  <c r="L2079" i="6" s="1"/>
  <c r="K2078" i="6"/>
  <c r="L2078" i="6" s="1"/>
  <c r="K2077" i="6"/>
  <c r="L2077" i="6" s="1"/>
  <c r="L2068" i="6"/>
  <c r="L2069" i="6" s="1"/>
  <c r="K2066" i="6"/>
  <c r="L2066" i="6" s="1"/>
  <c r="K2065" i="6"/>
  <c r="L2065" i="6" s="1"/>
  <c r="K2064" i="6"/>
  <c r="L2064" i="6" s="1"/>
  <c r="K2061" i="6"/>
  <c r="L2061" i="6" s="1"/>
  <c r="K2060" i="6"/>
  <c r="L2060" i="6" s="1"/>
  <c r="K2059" i="6"/>
  <c r="L2059" i="6" s="1"/>
  <c r="K2058" i="6"/>
  <c r="L2058" i="6" s="1"/>
  <c r="L2049" i="6"/>
  <c r="L2050" i="6" s="1"/>
  <c r="L2047" i="6"/>
  <c r="L2048" i="6" s="1"/>
  <c r="K2045" i="6"/>
  <c r="L2045" i="6" s="1"/>
  <c r="K2044" i="6"/>
  <c r="L2044" i="6" s="1"/>
  <c r="K2043" i="6"/>
  <c r="L2043" i="6" s="1"/>
  <c r="L2035" i="6"/>
  <c r="K2032" i="6"/>
  <c r="L2032" i="6" s="1"/>
  <c r="K2031" i="6"/>
  <c r="L2031" i="6" s="1"/>
  <c r="L2030" i="6"/>
  <c r="L2029" i="6"/>
  <c r="L2021" i="6"/>
  <c r="K2018" i="6"/>
  <c r="L2018" i="6" s="1"/>
  <c r="K2017" i="6"/>
  <c r="L2017" i="6" s="1"/>
  <c r="K2016" i="6"/>
  <c r="L2016" i="6" s="1"/>
  <c r="L2015" i="6"/>
  <c r="L2014" i="6"/>
  <c r="K2005" i="6"/>
  <c r="L2005" i="6" s="1"/>
  <c r="L2006" i="6" s="1"/>
  <c r="K2002" i="6"/>
  <c r="L2002" i="6" s="1"/>
  <c r="L2003" i="6" s="1"/>
  <c r="K1996" i="6"/>
  <c r="L1996" i="6" s="1"/>
  <c r="K1987" i="6"/>
  <c r="L1987" i="6" s="1"/>
  <c r="L1988" i="6" s="1"/>
  <c r="K1984" i="6"/>
  <c r="L1984" i="6" s="1"/>
  <c r="L1985" i="6" s="1"/>
  <c r="K1978" i="6"/>
  <c r="L1978" i="6" s="1"/>
  <c r="K1969" i="6"/>
  <c r="L1969" i="6" s="1"/>
  <c r="L1970" i="6" s="1"/>
  <c r="K1966" i="6"/>
  <c r="L1966" i="6" s="1"/>
  <c r="L1967" i="6" s="1"/>
  <c r="K1960" i="6"/>
  <c r="L1960" i="6" s="1"/>
  <c r="K1920" i="6"/>
  <c r="L1920" i="6" s="1"/>
  <c r="K1919" i="6"/>
  <c r="L1919" i="6" s="1"/>
  <c r="K1916" i="6"/>
  <c r="L1916" i="6" s="1"/>
  <c r="L1917" i="6" s="1"/>
  <c r="K1913" i="6"/>
  <c r="L1913" i="6" s="1"/>
  <c r="K1912" i="6"/>
  <c r="L1912" i="6" s="1"/>
  <c r="K1911" i="6"/>
  <c r="L1911" i="6" s="1"/>
  <c r="K1909" i="6"/>
  <c r="L1909" i="6" s="1"/>
  <c r="K1867" i="6"/>
  <c r="L1867" i="6" s="1"/>
  <c r="K1866" i="6"/>
  <c r="L1866" i="6" s="1"/>
  <c r="K1863" i="6"/>
  <c r="L1863" i="6" s="1"/>
  <c r="L1864" i="6" s="1"/>
  <c r="K1860" i="6"/>
  <c r="L1860" i="6" s="1"/>
  <c r="K1859" i="6"/>
  <c r="L1859" i="6" s="1"/>
  <c r="K1858" i="6"/>
  <c r="L1858" i="6" s="1"/>
  <c r="K1856" i="6"/>
  <c r="L1856" i="6" s="1"/>
  <c r="L1814" i="6"/>
  <c r="L1813" i="6"/>
  <c r="K1810" i="6"/>
  <c r="L1810" i="6" s="1"/>
  <c r="L1811" i="6" s="1"/>
  <c r="K1807" i="6"/>
  <c r="L1807" i="6" s="1"/>
  <c r="K1806" i="6"/>
  <c r="L1806" i="6" s="1"/>
  <c r="K1805" i="6"/>
  <c r="L1805" i="6" s="1"/>
  <c r="K1803" i="6"/>
  <c r="L1803" i="6" s="1"/>
  <c r="L1793" i="6"/>
  <c r="L1791" i="6"/>
  <c r="K1788" i="6"/>
  <c r="L1788" i="6" s="1"/>
  <c r="K1787" i="6"/>
  <c r="L1787" i="6" s="1"/>
  <c r="K1786" i="6"/>
  <c r="L1786" i="6" s="1"/>
  <c r="K1784" i="6"/>
  <c r="L1784" i="6" s="1"/>
  <c r="L1775" i="6"/>
  <c r="L1776" i="6" s="1"/>
  <c r="L1774" i="6"/>
  <c r="K1771" i="6"/>
  <c r="L1771" i="6" s="1"/>
  <c r="K1770" i="6"/>
  <c r="L1770" i="6" s="1"/>
  <c r="K1769" i="6"/>
  <c r="L1769" i="6" s="1"/>
  <c r="K1768" i="6"/>
  <c r="L1768" i="6" s="1"/>
  <c r="K1767" i="6"/>
  <c r="L1767" i="6" s="1"/>
  <c r="L1758" i="6"/>
  <c r="L1759" i="6" s="1"/>
  <c r="L1757" i="6"/>
  <c r="K1754" i="6"/>
  <c r="L1754" i="6" s="1"/>
  <c r="K1753" i="6"/>
  <c r="L1753" i="6" s="1"/>
  <c r="K1752" i="6"/>
  <c r="L1752" i="6" s="1"/>
  <c r="K1751" i="6"/>
  <c r="L1751" i="6" s="1"/>
  <c r="K1750" i="6"/>
  <c r="L1750" i="6" s="1"/>
  <c r="L1741" i="6"/>
  <c r="L1742" i="6" s="1"/>
  <c r="L1740" i="6"/>
  <c r="K1737" i="6"/>
  <c r="L1737" i="6" s="1"/>
  <c r="K1736" i="6"/>
  <c r="L1736" i="6" s="1"/>
  <c r="K1735" i="6"/>
  <c r="L1735" i="6" s="1"/>
  <c r="L1726" i="6"/>
  <c r="L1727" i="6" s="1"/>
  <c r="L1725" i="6"/>
  <c r="K1722" i="6"/>
  <c r="L1722" i="6" s="1"/>
  <c r="K1721" i="6"/>
  <c r="L1721" i="6" s="1"/>
  <c r="K1720" i="6"/>
  <c r="L1720" i="6" s="1"/>
  <c r="L1711" i="6"/>
  <c r="L1712" i="6" s="1"/>
  <c r="L1710" i="6"/>
  <c r="K1707" i="6"/>
  <c r="L1707" i="6" s="1"/>
  <c r="K1706" i="6"/>
  <c r="L1706" i="6" s="1"/>
  <c r="K1705" i="6"/>
  <c r="L1705" i="6" s="1"/>
  <c r="L1696" i="6"/>
  <c r="L1697" i="6" s="1"/>
  <c r="K1694" i="6"/>
  <c r="L1694" i="6" s="1"/>
  <c r="K1693" i="6"/>
  <c r="L1693" i="6" s="1"/>
  <c r="K1692" i="6"/>
  <c r="L1692" i="6" s="1"/>
  <c r="K1691" i="6"/>
  <c r="L1691" i="6" s="1"/>
  <c r="K1690" i="6"/>
  <c r="L1690" i="6" s="1"/>
  <c r="K1687" i="6"/>
  <c r="L1687" i="6" s="1"/>
  <c r="K1686" i="6"/>
  <c r="L1686" i="6" s="1"/>
  <c r="K1685" i="6"/>
  <c r="L1685" i="6" s="1"/>
  <c r="K1684" i="6"/>
  <c r="L1684" i="6" s="1"/>
  <c r="L1675" i="6"/>
  <c r="L1676" i="6" s="1"/>
  <c r="K1673" i="6"/>
  <c r="L1673" i="6" s="1"/>
  <c r="K1672" i="6"/>
  <c r="L1672" i="6" s="1"/>
  <c r="K1671" i="6"/>
  <c r="L1671" i="6" s="1"/>
  <c r="K1670" i="6"/>
  <c r="L1670" i="6" s="1"/>
  <c r="K1667" i="6"/>
  <c r="L1667" i="6" s="1"/>
  <c r="K1666" i="6"/>
  <c r="L1666" i="6" s="1"/>
  <c r="K1664" i="6"/>
  <c r="L1664" i="6" s="1"/>
  <c r="L1655" i="6"/>
  <c r="L1656" i="6" s="1"/>
  <c r="K1653" i="6"/>
  <c r="L1653" i="6" s="1"/>
  <c r="K1652" i="6"/>
  <c r="L1652" i="6" s="1"/>
  <c r="K1651" i="6"/>
  <c r="L1651" i="6" s="1"/>
  <c r="K1650" i="6"/>
  <c r="L1650" i="6" s="1"/>
  <c r="K1649" i="6"/>
  <c r="L1649" i="6" s="1"/>
  <c r="K1648" i="6"/>
  <c r="L1648" i="6" s="1"/>
  <c r="K1645" i="6"/>
  <c r="L1645" i="6" s="1"/>
  <c r="K1644" i="6"/>
  <c r="L1644" i="6" s="1"/>
  <c r="K1643" i="6"/>
  <c r="L1643" i="6" s="1"/>
  <c r="K1642" i="6"/>
  <c r="L1642" i="6" s="1"/>
  <c r="L1633" i="6"/>
  <c r="L1634" i="6" s="1"/>
  <c r="K1631" i="6"/>
  <c r="L1631" i="6" s="1"/>
  <c r="K1630" i="6"/>
  <c r="L1630" i="6" s="1"/>
  <c r="K1629" i="6"/>
  <c r="L1629" i="6" s="1"/>
  <c r="K1628" i="6"/>
  <c r="L1628" i="6" s="1"/>
  <c r="K1625" i="6"/>
  <c r="L1625" i="6" s="1"/>
  <c r="K1624" i="6"/>
  <c r="L1624" i="6" s="1"/>
  <c r="K1622" i="6"/>
  <c r="L1622" i="6" s="1"/>
  <c r="L1613" i="6"/>
  <c r="L1614" i="6" s="1"/>
  <c r="K1611" i="6"/>
  <c r="L1611" i="6" s="1"/>
  <c r="K1610" i="6"/>
  <c r="L1610" i="6" s="1"/>
  <c r="K1609" i="6"/>
  <c r="L1609" i="6" s="1"/>
  <c r="K1608" i="6"/>
  <c r="L1608" i="6" s="1"/>
  <c r="K1605" i="6"/>
  <c r="L1605" i="6" s="1"/>
  <c r="K1604" i="6"/>
  <c r="L1604" i="6" s="1"/>
  <c r="K1602" i="6"/>
  <c r="L1602" i="6" s="1"/>
  <c r="L1593" i="6"/>
  <c r="L1594" i="6" s="1"/>
  <c r="K1591" i="6"/>
  <c r="L1591" i="6" s="1"/>
  <c r="K1590" i="6"/>
  <c r="L1590" i="6" s="1"/>
  <c r="K1589" i="6"/>
  <c r="L1589" i="6" s="1"/>
  <c r="K1588" i="6"/>
  <c r="L1588" i="6" s="1"/>
  <c r="K1585" i="6"/>
  <c r="L1585" i="6" s="1"/>
  <c r="K1584" i="6"/>
  <c r="L1584" i="6" s="1"/>
  <c r="K1583" i="6"/>
  <c r="L1583" i="6" s="1"/>
  <c r="K1582" i="6"/>
  <c r="L1582" i="6" s="1"/>
  <c r="L1573" i="6"/>
  <c r="L1574" i="6" s="1"/>
  <c r="K1571" i="6"/>
  <c r="L1571" i="6" s="1"/>
  <c r="K1570" i="6"/>
  <c r="L1570" i="6" s="1"/>
  <c r="K1569" i="6"/>
  <c r="L1569" i="6" s="1"/>
  <c r="K1568" i="6"/>
  <c r="L1568" i="6" s="1"/>
  <c r="K1565" i="6"/>
  <c r="L1565" i="6" s="1"/>
  <c r="K1564" i="6"/>
  <c r="L1564" i="6" s="1"/>
  <c r="K1563" i="6"/>
  <c r="L1563" i="6" s="1"/>
  <c r="K1562" i="6"/>
  <c r="L1562" i="6" s="1"/>
  <c r="L1552" i="6"/>
  <c r="L1553" i="6" s="1"/>
  <c r="K1550" i="6"/>
  <c r="L1550" i="6" s="1"/>
  <c r="K1549" i="6"/>
  <c r="L1549" i="6" s="1"/>
  <c r="K1548" i="6"/>
  <c r="L1548" i="6" s="1"/>
  <c r="K1547" i="6"/>
  <c r="L1547" i="6" s="1"/>
  <c r="K1546" i="6"/>
  <c r="L1546" i="6" s="1"/>
  <c r="K1545" i="6"/>
  <c r="L1545" i="6" s="1"/>
  <c r="K1544" i="6"/>
  <c r="L1544" i="6" s="1"/>
  <c r="K1543" i="6"/>
  <c r="L1543" i="6" s="1"/>
  <c r="K1540" i="6"/>
  <c r="L1540" i="6" s="1"/>
  <c r="K1539" i="6"/>
  <c r="L1539" i="6" s="1"/>
  <c r="K1538" i="6"/>
  <c r="L1538" i="6" s="1"/>
  <c r="K1537" i="6"/>
  <c r="L1537" i="6" s="1"/>
  <c r="K1536" i="6"/>
  <c r="L1536" i="6" s="1"/>
  <c r="K1535" i="6"/>
  <c r="L1535" i="6" s="1"/>
  <c r="L1526" i="6"/>
  <c r="L1527" i="6" s="1"/>
  <c r="K1524" i="6"/>
  <c r="L1524" i="6" s="1"/>
  <c r="K1523" i="6"/>
  <c r="L1523" i="6" s="1"/>
  <c r="K1522" i="6"/>
  <c r="L1522" i="6" s="1"/>
  <c r="K1521" i="6"/>
  <c r="L1521" i="6" s="1"/>
  <c r="K1520" i="6"/>
  <c r="L1520" i="6" s="1"/>
  <c r="K1519" i="6"/>
  <c r="L1519" i="6" s="1"/>
  <c r="K1518" i="6"/>
  <c r="L1518" i="6" s="1"/>
  <c r="K1517" i="6"/>
  <c r="L1517" i="6" s="1"/>
  <c r="K1514" i="6"/>
  <c r="L1514" i="6" s="1"/>
  <c r="K1513" i="6"/>
  <c r="L1513" i="6" s="1"/>
  <c r="K1512" i="6"/>
  <c r="L1512" i="6" s="1"/>
  <c r="K1511" i="6"/>
  <c r="L1511" i="6" s="1"/>
  <c r="K1509" i="6"/>
  <c r="L1509" i="6" s="1"/>
  <c r="L1500" i="6"/>
  <c r="L1501" i="6" s="1"/>
  <c r="K1498" i="6"/>
  <c r="L1498" i="6" s="1"/>
  <c r="K1497" i="6"/>
  <c r="L1497" i="6" s="1"/>
  <c r="K1496" i="6"/>
  <c r="L1496" i="6" s="1"/>
  <c r="K1495" i="6"/>
  <c r="L1495" i="6" s="1"/>
  <c r="K1494" i="6"/>
  <c r="L1494" i="6" s="1"/>
  <c r="K1493" i="6"/>
  <c r="L1493" i="6" s="1"/>
  <c r="K1492" i="6"/>
  <c r="L1492" i="6" s="1"/>
  <c r="K1491" i="6"/>
  <c r="L1491" i="6" s="1"/>
  <c r="K1490" i="6"/>
  <c r="L1490" i="6" s="1"/>
  <c r="K1489" i="6"/>
  <c r="L1489" i="6" s="1"/>
  <c r="K1488" i="6"/>
  <c r="L1488" i="6" s="1"/>
  <c r="K1485" i="6"/>
  <c r="L1485" i="6" s="1"/>
  <c r="K1484" i="6"/>
  <c r="L1484" i="6" s="1"/>
  <c r="K1483" i="6"/>
  <c r="L1483" i="6" s="1"/>
  <c r="K1482" i="6"/>
  <c r="L1482" i="6" s="1"/>
  <c r="K1481" i="6"/>
  <c r="L1481" i="6" s="1"/>
  <c r="K1480" i="6"/>
  <c r="L1480" i="6" s="1"/>
  <c r="L1471" i="6"/>
  <c r="L1472" i="6" s="1"/>
  <c r="K1469" i="6"/>
  <c r="L1469" i="6" s="1"/>
  <c r="K1468" i="6"/>
  <c r="L1468" i="6" s="1"/>
  <c r="K1467" i="6"/>
  <c r="L1467" i="6" s="1"/>
  <c r="K1466" i="6"/>
  <c r="L1466" i="6" s="1"/>
  <c r="K1465" i="6"/>
  <c r="L1465" i="6" s="1"/>
  <c r="K1464" i="6"/>
  <c r="L1464" i="6" s="1"/>
  <c r="K1463" i="6"/>
  <c r="L1463" i="6" s="1"/>
  <c r="K1462" i="6"/>
  <c r="L1462" i="6" s="1"/>
  <c r="K1461" i="6"/>
  <c r="L1461" i="6" s="1"/>
  <c r="K1460" i="6"/>
  <c r="L1460" i="6" s="1"/>
  <c r="K1459" i="6"/>
  <c r="L1459" i="6" s="1"/>
  <c r="K1456" i="6"/>
  <c r="L1456" i="6" s="1"/>
  <c r="K1455" i="6"/>
  <c r="L1455" i="6" s="1"/>
  <c r="K1454" i="6"/>
  <c r="L1454" i="6" s="1"/>
  <c r="K1453" i="6"/>
  <c r="L1453" i="6" s="1"/>
  <c r="K1451" i="6"/>
  <c r="L1451" i="6" s="1"/>
  <c r="L1442" i="6"/>
  <c r="L1443" i="6" s="1"/>
  <c r="K1440" i="6"/>
  <c r="L1440" i="6" s="1"/>
  <c r="K1439" i="6"/>
  <c r="L1439" i="6" s="1"/>
  <c r="K1438" i="6"/>
  <c r="L1438" i="6" s="1"/>
  <c r="K1437" i="6"/>
  <c r="L1437" i="6" s="1"/>
  <c r="K1436" i="6"/>
  <c r="L1436" i="6" s="1"/>
  <c r="K1435" i="6"/>
  <c r="L1435" i="6" s="1"/>
  <c r="K1434" i="6"/>
  <c r="L1434" i="6" s="1"/>
  <c r="K1433" i="6"/>
  <c r="L1433" i="6" s="1"/>
  <c r="K1432" i="6"/>
  <c r="L1432" i="6" s="1"/>
  <c r="K1431" i="6"/>
  <c r="L1431" i="6" s="1"/>
  <c r="K1430" i="6"/>
  <c r="L1430" i="6" s="1"/>
  <c r="K1427" i="6"/>
  <c r="L1427" i="6" s="1"/>
  <c r="K1426" i="6"/>
  <c r="L1426" i="6" s="1"/>
  <c r="K1425" i="6"/>
  <c r="L1425" i="6" s="1"/>
  <c r="K1424" i="6"/>
  <c r="L1424" i="6" s="1"/>
  <c r="K1423" i="6"/>
  <c r="L1423" i="6" s="1"/>
  <c r="K1422" i="6"/>
  <c r="L1422" i="6" s="1"/>
  <c r="L1413" i="6"/>
  <c r="L1414" i="6" s="1"/>
  <c r="K1411" i="6"/>
  <c r="L1411" i="6" s="1"/>
  <c r="K1410" i="6"/>
  <c r="L1410" i="6" s="1"/>
  <c r="K1409" i="6"/>
  <c r="L1409" i="6" s="1"/>
  <c r="K1408" i="6"/>
  <c r="L1408" i="6" s="1"/>
  <c r="K1407" i="6"/>
  <c r="L1407" i="6" s="1"/>
  <c r="K1406" i="6"/>
  <c r="L1406" i="6" s="1"/>
  <c r="K1405" i="6"/>
  <c r="L1405" i="6" s="1"/>
  <c r="K1404" i="6"/>
  <c r="L1404" i="6" s="1"/>
  <c r="K1403" i="6"/>
  <c r="L1403" i="6" s="1"/>
  <c r="K1402" i="6"/>
  <c r="L1402" i="6" s="1"/>
  <c r="K1401" i="6"/>
  <c r="L1401" i="6" s="1"/>
  <c r="K1398" i="6"/>
  <c r="L1398" i="6" s="1"/>
  <c r="K1397" i="6"/>
  <c r="L1397" i="6" s="1"/>
  <c r="K1396" i="6"/>
  <c r="L1396" i="6" s="1"/>
  <c r="K1395" i="6"/>
  <c r="L1395" i="6" s="1"/>
  <c r="K1393" i="6"/>
  <c r="L1393" i="6" s="1"/>
  <c r="L1384" i="6"/>
  <c r="L1385" i="6" s="1"/>
  <c r="K1382" i="6"/>
  <c r="L1382" i="6" s="1"/>
  <c r="K1381" i="6"/>
  <c r="L1381" i="6" s="1"/>
  <c r="K1380" i="6"/>
  <c r="L1380" i="6" s="1"/>
  <c r="K1379" i="6"/>
  <c r="L1379" i="6" s="1"/>
  <c r="K1378" i="6"/>
  <c r="L1378" i="6" s="1"/>
  <c r="K1377" i="6"/>
  <c r="L1377" i="6" s="1"/>
  <c r="K1376" i="6"/>
  <c r="L1376" i="6" s="1"/>
  <c r="K1375" i="6"/>
  <c r="L1375" i="6" s="1"/>
  <c r="K1374" i="6"/>
  <c r="L1374" i="6" s="1"/>
  <c r="K1373" i="6"/>
  <c r="L1373" i="6" s="1"/>
  <c r="K1372" i="6"/>
  <c r="L1372" i="6" s="1"/>
  <c r="K1369" i="6"/>
  <c r="L1369" i="6" s="1"/>
  <c r="K1368" i="6"/>
  <c r="L1368" i="6" s="1"/>
  <c r="K1367" i="6"/>
  <c r="L1367" i="6" s="1"/>
  <c r="K1366" i="6"/>
  <c r="L1366" i="6" s="1"/>
  <c r="K1365" i="6"/>
  <c r="L1365" i="6" s="1"/>
  <c r="K1364" i="6"/>
  <c r="L1364" i="6" s="1"/>
  <c r="L1355" i="6"/>
  <c r="L1356" i="6" s="1"/>
  <c r="K1353" i="6"/>
  <c r="L1353" i="6" s="1"/>
  <c r="K1352" i="6"/>
  <c r="L1352" i="6" s="1"/>
  <c r="K1351" i="6"/>
  <c r="L1351" i="6" s="1"/>
  <c r="K1350" i="6"/>
  <c r="L1350" i="6" s="1"/>
  <c r="K1349" i="6"/>
  <c r="L1349" i="6" s="1"/>
  <c r="K1348" i="6"/>
  <c r="L1348" i="6" s="1"/>
  <c r="K1347" i="6"/>
  <c r="L1347" i="6" s="1"/>
  <c r="K1346" i="6"/>
  <c r="L1346" i="6" s="1"/>
  <c r="K1343" i="6"/>
  <c r="L1343" i="6" s="1"/>
  <c r="K1342" i="6"/>
  <c r="L1342" i="6" s="1"/>
  <c r="K1341" i="6"/>
  <c r="L1341" i="6" s="1"/>
  <c r="K1340" i="6"/>
  <c r="L1340" i="6" s="1"/>
  <c r="K1339" i="6"/>
  <c r="L1339" i="6" s="1"/>
  <c r="K1338" i="6"/>
  <c r="L1338" i="6" s="1"/>
  <c r="L1329" i="6"/>
  <c r="L1330" i="6" s="1"/>
  <c r="K1327" i="6"/>
  <c r="L1327" i="6" s="1"/>
  <c r="K1326" i="6"/>
  <c r="L1326" i="6" s="1"/>
  <c r="K1325" i="6"/>
  <c r="L1325" i="6" s="1"/>
  <c r="K1324" i="6"/>
  <c r="L1324" i="6" s="1"/>
  <c r="K1323" i="6"/>
  <c r="L1323" i="6" s="1"/>
  <c r="K1322" i="6"/>
  <c r="L1322" i="6" s="1"/>
  <c r="K1321" i="6"/>
  <c r="L1321" i="6" s="1"/>
  <c r="K1320" i="6"/>
  <c r="L1320" i="6" s="1"/>
  <c r="K1317" i="6"/>
  <c r="L1317" i="6" s="1"/>
  <c r="K1316" i="6"/>
  <c r="L1316" i="6" s="1"/>
  <c r="K1315" i="6"/>
  <c r="L1315" i="6" s="1"/>
  <c r="K1314" i="6"/>
  <c r="L1314" i="6" s="1"/>
  <c r="K1312" i="6"/>
  <c r="L1312" i="6" s="1"/>
  <c r="L1303" i="6"/>
  <c r="L1304" i="6" s="1"/>
  <c r="K1301" i="6"/>
  <c r="L1301" i="6" s="1"/>
  <c r="K1300" i="6"/>
  <c r="L1300" i="6" s="1"/>
  <c r="K1299" i="6"/>
  <c r="L1299" i="6" s="1"/>
  <c r="K1296" i="6"/>
  <c r="L1296" i="6" s="1"/>
  <c r="K1295" i="6"/>
  <c r="L1295" i="6" s="1"/>
  <c r="K1294" i="6"/>
  <c r="L1294" i="6" s="1"/>
  <c r="K1293" i="6"/>
  <c r="L1293" i="6" s="1"/>
  <c r="L1284" i="6"/>
  <c r="L1285" i="6" s="1"/>
  <c r="K1282" i="6"/>
  <c r="L1282" i="6" s="1"/>
  <c r="K1281" i="6"/>
  <c r="L1281" i="6" s="1"/>
  <c r="K1280" i="6"/>
  <c r="L1280" i="6" s="1"/>
  <c r="K1279" i="6"/>
  <c r="L1279" i="6" s="1"/>
  <c r="K1277" i="6"/>
  <c r="L1277" i="6" s="1"/>
  <c r="K1274" i="6"/>
  <c r="L1274" i="6" s="1"/>
  <c r="K1273" i="6"/>
  <c r="L1273" i="6" s="1"/>
  <c r="K1272" i="6"/>
  <c r="L1272" i="6" s="1"/>
  <c r="K1271" i="6"/>
  <c r="L1271" i="6" s="1"/>
  <c r="L1262" i="6"/>
  <c r="L1263" i="6" s="1"/>
  <c r="K1260" i="6"/>
  <c r="L1260" i="6" s="1"/>
  <c r="K1259" i="6"/>
  <c r="L1259" i="6" s="1"/>
  <c r="K1258" i="6"/>
  <c r="L1258" i="6" s="1"/>
  <c r="K1257" i="6"/>
  <c r="L1257" i="6" s="1"/>
  <c r="K1256" i="6"/>
  <c r="L1256" i="6" s="1"/>
  <c r="K1254" i="6"/>
  <c r="L1254" i="6" s="1"/>
  <c r="K1251" i="6"/>
  <c r="L1251" i="6" s="1"/>
  <c r="K1250" i="6"/>
  <c r="L1250" i="6" s="1"/>
  <c r="K1249" i="6"/>
  <c r="L1249" i="6" s="1"/>
  <c r="K1248" i="6"/>
  <c r="L1248" i="6" s="1"/>
  <c r="L1239" i="6"/>
  <c r="L1240" i="6" s="1"/>
  <c r="K1237" i="6"/>
  <c r="L1237" i="6" s="1"/>
  <c r="K1236" i="6"/>
  <c r="L1236" i="6" s="1"/>
  <c r="K1235" i="6"/>
  <c r="L1235" i="6" s="1"/>
  <c r="K1234" i="6"/>
  <c r="L1234" i="6" s="1"/>
  <c r="K1232" i="6"/>
  <c r="L1232" i="6" s="1"/>
  <c r="K1229" i="6"/>
  <c r="L1229" i="6" s="1"/>
  <c r="K1228" i="6"/>
  <c r="L1228" i="6" s="1"/>
  <c r="K1227" i="6"/>
  <c r="L1227" i="6" s="1"/>
  <c r="K1226" i="6"/>
  <c r="L1226" i="6" s="1"/>
  <c r="L1217" i="6"/>
  <c r="L1218" i="6" s="1"/>
  <c r="K1215" i="6"/>
  <c r="L1215" i="6" s="1"/>
  <c r="K1214" i="6"/>
  <c r="L1214" i="6" s="1"/>
  <c r="K1213" i="6"/>
  <c r="L1213" i="6" s="1"/>
  <c r="K1212" i="6"/>
  <c r="L1212" i="6" s="1"/>
  <c r="K1210" i="6"/>
  <c r="L1210" i="6" s="1"/>
  <c r="K1207" i="6"/>
  <c r="L1207" i="6" s="1"/>
  <c r="K1206" i="6"/>
  <c r="L1206" i="6" s="1"/>
  <c r="K1205" i="6"/>
  <c r="L1205" i="6" s="1"/>
  <c r="K1204" i="6"/>
  <c r="L1204" i="6" s="1"/>
  <c r="L1195" i="6"/>
  <c r="L1196" i="6" s="1"/>
  <c r="K1193" i="6"/>
  <c r="L1193" i="6" s="1"/>
  <c r="K1192" i="6"/>
  <c r="L1192" i="6" s="1"/>
  <c r="K1191" i="6"/>
  <c r="L1191" i="6" s="1"/>
  <c r="K1190" i="6"/>
  <c r="L1190" i="6" s="1"/>
  <c r="K1189" i="6"/>
  <c r="L1189" i="6" s="1"/>
  <c r="K1188" i="6"/>
  <c r="L1188" i="6" s="1"/>
  <c r="K1185" i="6"/>
  <c r="L1185" i="6" s="1"/>
  <c r="K1184" i="6"/>
  <c r="L1184" i="6" s="1"/>
  <c r="K1183" i="6"/>
  <c r="L1183" i="6" s="1"/>
  <c r="K1182" i="6"/>
  <c r="L1182" i="6" s="1"/>
  <c r="L1173" i="6"/>
  <c r="L1174" i="6" s="1"/>
  <c r="K1171" i="6"/>
  <c r="L1171" i="6" s="1"/>
  <c r="K1170" i="6"/>
  <c r="L1170" i="6" s="1"/>
  <c r="K1169" i="6"/>
  <c r="L1169" i="6" s="1"/>
  <c r="K1166" i="6"/>
  <c r="L1166" i="6" s="1"/>
  <c r="K1165" i="6"/>
  <c r="L1165" i="6" s="1"/>
  <c r="K1164" i="6"/>
  <c r="L1164" i="6" s="1"/>
  <c r="K1163" i="6"/>
  <c r="L1163" i="6" s="1"/>
  <c r="L1154" i="6"/>
  <c r="L1155" i="6" s="1"/>
  <c r="K1152" i="6"/>
  <c r="L1152" i="6" s="1"/>
  <c r="K1151" i="6"/>
  <c r="L1151" i="6" s="1"/>
  <c r="K1150" i="6"/>
  <c r="L1150" i="6" s="1"/>
  <c r="K1147" i="6"/>
  <c r="L1147" i="6" s="1"/>
  <c r="K1146" i="6"/>
  <c r="L1146" i="6" s="1"/>
  <c r="K1145" i="6"/>
  <c r="L1145" i="6" s="1"/>
  <c r="K1144" i="6"/>
  <c r="L1144" i="6" s="1"/>
  <c r="L1135" i="6"/>
  <c r="L1136" i="6" s="1"/>
  <c r="K1133" i="6"/>
  <c r="L1133" i="6" s="1"/>
  <c r="K1132" i="6"/>
  <c r="L1132" i="6" s="1"/>
  <c r="K1129" i="6"/>
  <c r="L1129" i="6" s="1"/>
  <c r="K1128" i="6"/>
  <c r="L1128" i="6" s="1"/>
  <c r="K1127" i="6"/>
  <c r="L1127" i="6" s="1"/>
  <c r="K1126" i="6"/>
  <c r="L1126" i="6" s="1"/>
  <c r="L1117" i="6"/>
  <c r="L1118" i="6" s="1"/>
  <c r="K1115" i="6"/>
  <c r="L1115" i="6" s="1"/>
  <c r="K1114" i="6"/>
  <c r="L1114" i="6" s="1"/>
  <c r="K1111" i="6"/>
  <c r="L1111" i="6" s="1"/>
  <c r="K1110" i="6"/>
  <c r="L1110" i="6" s="1"/>
  <c r="K1109" i="6"/>
  <c r="L1109" i="6" s="1"/>
  <c r="K1108" i="6"/>
  <c r="L1108" i="6" s="1"/>
  <c r="L1099" i="6"/>
  <c r="L1100" i="6" s="1"/>
  <c r="K1097" i="6"/>
  <c r="L1097" i="6" s="1"/>
  <c r="K1096" i="6"/>
  <c r="L1096" i="6" s="1"/>
  <c r="K1093" i="6"/>
  <c r="L1093" i="6" s="1"/>
  <c r="K1092" i="6"/>
  <c r="L1092" i="6" s="1"/>
  <c r="K1091" i="6"/>
  <c r="L1091" i="6" s="1"/>
  <c r="K1090" i="6"/>
  <c r="L1090" i="6" s="1"/>
  <c r="L1081" i="6"/>
  <c r="L1082" i="6" s="1"/>
  <c r="K1079" i="6"/>
  <c r="L1079" i="6" s="1"/>
  <c r="L1080" i="6" s="1"/>
  <c r="K1076" i="6"/>
  <c r="L1076" i="6" s="1"/>
  <c r="K1075" i="6"/>
  <c r="L1075" i="6" s="1"/>
  <c r="K1073" i="6"/>
  <c r="L1073" i="6" s="1"/>
  <c r="L1064" i="6"/>
  <c r="L1065" i="6" s="1"/>
  <c r="K1062" i="6"/>
  <c r="L1062" i="6" s="1"/>
  <c r="L1063" i="6" s="1"/>
  <c r="K1059" i="6"/>
  <c r="L1059" i="6" s="1"/>
  <c r="K1058" i="6"/>
  <c r="L1058" i="6" s="1"/>
  <c r="K1057" i="6"/>
  <c r="L1057" i="6" s="1"/>
  <c r="K1056" i="6"/>
  <c r="L1056" i="6" s="1"/>
  <c r="L1047" i="6"/>
  <c r="L1048" i="6" s="1"/>
  <c r="K1045" i="6"/>
  <c r="L1045" i="6" s="1"/>
  <c r="L1046" i="6" s="1"/>
  <c r="K1042" i="6"/>
  <c r="L1042" i="6" s="1"/>
  <c r="K1041" i="6"/>
  <c r="L1041" i="6" s="1"/>
  <c r="K1040" i="6"/>
  <c r="L1040" i="6" s="1"/>
  <c r="K1039" i="6"/>
  <c r="L1039" i="6" s="1"/>
  <c r="L1030" i="6"/>
  <c r="L1031" i="6" s="1"/>
  <c r="K1028" i="6"/>
  <c r="L1028" i="6" s="1"/>
  <c r="K1027" i="6"/>
  <c r="L1027" i="6" s="1"/>
  <c r="K1026" i="6"/>
  <c r="L1026" i="6" s="1"/>
  <c r="K1025" i="6"/>
  <c r="L1025" i="6" s="1"/>
  <c r="K1022" i="6"/>
  <c r="L1022" i="6" s="1"/>
  <c r="K1021" i="6"/>
  <c r="L1021" i="6" s="1"/>
  <c r="K1020" i="6"/>
  <c r="L1020" i="6" s="1"/>
  <c r="K1019" i="6"/>
  <c r="L1019" i="6" s="1"/>
  <c r="L1008" i="6"/>
  <c r="L1009" i="6" s="1"/>
  <c r="K1006" i="6"/>
  <c r="L1006" i="6" s="1"/>
  <c r="K1005" i="6"/>
  <c r="L1005" i="6" s="1"/>
  <c r="K1004" i="6"/>
  <c r="L1004" i="6" s="1"/>
  <c r="K1003" i="6"/>
  <c r="L1003" i="6" s="1"/>
  <c r="K1002" i="6"/>
  <c r="L1002" i="6" s="1"/>
  <c r="K999" i="6"/>
  <c r="L999" i="6" s="1"/>
  <c r="K998" i="6"/>
  <c r="L998" i="6" s="1"/>
  <c r="K997" i="6"/>
  <c r="L997" i="6" s="1"/>
  <c r="K996" i="6"/>
  <c r="L996" i="6" s="1"/>
  <c r="L987" i="6"/>
  <c r="L988" i="6" s="1"/>
  <c r="K985" i="6"/>
  <c r="L985" i="6" s="1"/>
  <c r="K984" i="6"/>
  <c r="L984" i="6" s="1"/>
  <c r="K983" i="6"/>
  <c r="L983" i="6" s="1"/>
  <c r="K982" i="6"/>
  <c r="L982" i="6" s="1"/>
  <c r="K979" i="6"/>
  <c r="L979" i="6" s="1"/>
  <c r="K978" i="6"/>
  <c r="L978" i="6" s="1"/>
  <c r="K976" i="6"/>
  <c r="L976" i="6" s="1"/>
  <c r="L967" i="6"/>
  <c r="L968" i="6" s="1"/>
  <c r="K965" i="6"/>
  <c r="L965" i="6" s="1"/>
  <c r="K964" i="6"/>
  <c r="L964" i="6" s="1"/>
  <c r="K963" i="6"/>
  <c r="L963" i="6" s="1"/>
  <c r="K962" i="6"/>
  <c r="L962" i="6" s="1"/>
  <c r="K959" i="6"/>
  <c r="L959" i="6" s="1"/>
  <c r="K958" i="6"/>
  <c r="L958" i="6" s="1"/>
  <c r="K957" i="6"/>
  <c r="L957" i="6" s="1"/>
  <c r="K956" i="6"/>
  <c r="L956" i="6" s="1"/>
  <c r="L947" i="6"/>
  <c r="L948" i="6" s="1"/>
  <c r="K945" i="6"/>
  <c r="L945" i="6" s="1"/>
  <c r="K944" i="6"/>
  <c r="L944" i="6" s="1"/>
  <c r="K943" i="6"/>
  <c r="L943" i="6" s="1"/>
  <c r="K942" i="6"/>
  <c r="L942" i="6" s="1"/>
  <c r="K939" i="6"/>
  <c r="L939" i="6" s="1"/>
  <c r="K938" i="6"/>
  <c r="L938" i="6" s="1"/>
  <c r="K937" i="6"/>
  <c r="L937" i="6" s="1"/>
  <c r="K936" i="6"/>
  <c r="L936" i="6" s="1"/>
  <c r="L927" i="6"/>
  <c r="L928" i="6" s="1"/>
  <c r="K925" i="6"/>
  <c r="L925" i="6" s="1"/>
  <c r="K924" i="6"/>
  <c r="L924" i="6" s="1"/>
  <c r="K923" i="6"/>
  <c r="L923" i="6" s="1"/>
  <c r="K922" i="6"/>
  <c r="L922" i="6" s="1"/>
  <c r="K919" i="6"/>
  <c r="L919" i="6" s="1"/>
  <c r="K918" i="6"/>
  <c r="L918" i="6" s="1"/>
  <c r="K917" i="6"/>
  <c r="L917" i="6" s="1"/>
  <c r="K916" i="6"/>
  <c r="L916" i="6" s="1"/>
  <c r="L907" i="6"/>
  <c r="L908" i="6" s="1"/>
  <c r="K905" i="6"/>
  <c r="L905" i="6" s="1"/>
  <c r="K904" i="6"/>
  <c r="L904" i="6" s="1"/>
  <c r="K903" i="6"/>
  <c r="L903" i="6" s="1"/>
  <c r="K902" i="6"/>
  <c r="L902" i="6" s="1"/>
  <c r="K899" i="6"/>
  <c r="L899" i="6" s="1"/>
  <c r="K898" i="6"/>
  <c r="L898" i="6" s="1"/>
  <c r="K896" i="6"/>
  <c r="L896" i="6" s="1"/>
  <c r="L887" i="6"/>
  <c r="L888" i="6" s="1"/>
  <c r="K885" i="6"/>
  <c r="L885" i="6" s="1"/>
  <c r="K884" i="6"/>
  <c r="L884" i="6" s="1"/>
  <c r="K883" i="6"/>
  <c r="L883" i="6" s="1"/>
  <c r="K882" i="6"/>
  <c r="L882" i="6" s="1"/>
  <c r="K879" i="6"/>
  <c r="L879" i="6" s="1"/>
  <c r="K878" i="6"/>
  <c r="L878" i="6" s="1"/>
  <c r="K877" i="6"/>
  <c r="L877" i="6" s="1"/>
  <c r="K876" i="6"/>
  <c r="L876" i="6" s="1"/>
  <c r="L867" i="6"/>
  <c r="L868" i="6" s="1"/>
  <c r="K865" i="6"/>
  <c r="L865" i="6" s="1"/>
  <c r="K864" i="6"/>
  <c r="L864" i="6" s="1"/>
  <c r="K863" i="6"/>
  <c r="L863" i="6" s="1"/>
  <c r="K862" i="6"/>
  <c r="L862" i="6" s="1"/>
  <c r="K859" i="6"/>
  <c r="L859" i="6" s="1"/>
  <c r="K858" i="6"/>
  <c r="L858" i="6" s="1"/>
  <c r="K857" i="6"/>
  <c r="L857" i="6" s="1"/>
  <c r="K856" i="6"/>
  <c r="L856" i="6" s="1"/>
  <c r="L847" i="6"/>
  <c r="L848" i="6" s="1"/>
  <c r="K845" i="6"/>
  <c r="L845" i="6" s="1"/>
  <c r="K844" i="6"/>
  <c r="L844" i="6" s="1"/>
  <c r="K843" i="6"/>
  <c r="L843" i="6" s="1"/>
  <c r="K842" i="6"/>
  <c r="L842" i="6" s="1"/>
  <c r="K839" i="6"/>
  <c r="L839" i="6" s="1"/>
  <c r="K838" i="6"/>
  <c r="L838" i="6" s="1"/>
  <c r="K837" i="6"/>
  <c r="L837" i="6" s="1"/>
  <c r="K836" i="6"/>
  <c r="L836" i="6" s="1"/>
  <c r="L827" i="6"/>
  <c r="L828" i="6" s="1"/>
  <c r="K825" i="6"/>
  <c r="L825" i="6" s="1"/>
  <c r="K824" i="6"/>
  <c r="L824" i="6" s="1"/>
  <c r="K823" i="6"/>
  <c r="L823" i="6" s="1"/>
  <c r="K822" i="6"/>
  <c r="L822" i="6" s="1"/>
  <c r="K819" i="6"/>
  <c r="L819" i="6" s="1"/>
  <c r="K818" i="6"/>
  <c r="L818" i="6" s="1"/>
  <c r="K816" i="6"/>
  <c r="L816" i="6" s="1"/>
  <c r="L805" i="6"/>
  <c r="L806" i="6" s="1"/>
  <c r="K803" i="6"/>
  <c r="L803" i="6" s="1"/>
  <c r="K802" i="6"/>
  <c r="L802" i="6" s="1"/>
  <c r="K801" i="6"/>
  <c r="L801" i="6" s="1"/>
  <c r="K800" i="6"/>
  <c r="L800" i="6" s="1"/>
  <c r="K797" i="6"/>
  <c r="L797" i="6" s="1"/>
  <c r="K796" i="6"/>
  <c r="L796" i="6" s="1"/>
  <c r="K795" i="6"/>
  <c r="L795" i="6" s="1"/>
  <c r="K794" i="6"/>
  <c r="L794" i="6" s="1"/>
  <c r="L785" i="6"/>
  <c r="L786" i="6" s="1"/>
  <c r="K783" i="6"/>
  <c r="L783" i="6" s="1"/>
  <c r="K782" i="6"/>
  <c r="L782" i="6" s="1"/>
  <c r="K781" i="6"/>
  <c r="L781" i="6" s="1"/>
  <c r="K780" i="6"/>
  <c r="L780" i="6" s="1"/>
  <c r="K777" i="6"/>
  <c r="L777" i="6" s="1"/>
  <c r="K776" i="6"/>
  <c r="L776" i="6" s="1"/>
  <c r="K775" i="6"/>
  <c r="L775" i="6" s="1"/>
  <c r="K774" i="6"/>
  <c r="L774" i="6" s="1"/>
  <c r="L765" i="6"/>
  <c r="L766" i="6" s="1"/>
  <c r="K763" i="6"/>
  <c r="L763" i="6" s="1"/>
  <c r="K762" i="6"/>
  <c r="L762" i="6" s="1"/>
  <c r="K761" i="6"/>
  <c r="L761" i="6" s="1"/>
  <c r="K760" i="6"/>
  <c r="L760" i="6" s="1"/>
  <c r="K757" i="6"/>
  <c r="L757" i="6" s="1"/>
  <c r="K756" i="6"/>
  <c r="L756" i="6" s="1"/>
  <c r="K755" i="6"/>
  <c r="L755" i="6" s="1"/>
  <c r="K754" i="6"/>
  <c r="L754" i="6" s="1"/>
  <c r="L744" i="6"/>
  <c r="L745" i="6" s="1"/>
  <c r="K742" i="6"/>
  <c r="L742" i="6" s="1"/>
  <c r="K741" i="6"/>
  <c r="L741" i="6" s="1"/>
  <c r="K740" i="6"/>
  <c r="L740" i="6" s="1"/>
  <c r="K739" i="6"/>
  <c r="L739" i="6" s="1"/>
  <c r="K736" i="6"/>
  <c r="L736" i="6" s="1"/>
  <c r="K735" i="6"/>
  <c r="L735" i="6" s="1"/>
  <c r="K733" i="6"/>
  <c r="L733" i="6" s="1"/>
  <c r="L724" i="6"/>
  <c r="L725" i="6" s="1"/>
  <c r="K722" i="6"/>
  <c r="L722" i="6" s="1"/>
  <c r="K721" i="6"/>
  <c r="L721" i="6" s="1"/>
  <c r="K720" i="6"/>
  <c r="L720" i="6" s="1"/>
  <c r="K719" i="6"/>
  <c r="L719" i="6" s="1"/>
  <c r="K718" i="6"/>
  <c r="L718" i="6" s="1"/>
  <c r="K717" i="6"/>
  <c r="L717" i="6" s="1"/>
  <c r="K714" i="6"/>
  <c r="L714" i="6" s="1"/>
  <c r="K713" i="6"/>
  <c r="L713" i="6" s="1"/>
  <c r="K712" i="6"/>
  <c r="L712" i="6" s="1"/>
  <c r="K711" i="6"/>
  <c r="L711" i="6" s="1"/>
  <c r="L702" i="6"/>
  <c r="L703" i="6" s="1"/>
  <c r="K700" i="6"/>
  <c r="L700" i="6" s="1"/>
  <c r="K699" i="6"/>
  <c r="L699" i="6" s="1"/>
  <c r="K696" i="6"/>
  <c r="L696" i="6" s="1"/>
  <c r="K695" i="6"/>
  <c r="L695" i="6" s="1"/>
  <c r="K694" i="6"/>
  <c r="L694" i="6" s="1"/>
  <c r="K693" i="6"/>
  <c r="L693" i="6" s="1"/>
  <c r="L684" i="6"/>
  <c r="L685" i="6" s="1"/>
  <c r="K682" i="6"/>
  <c r="L682" i="6" s="1"/>
  <c r="K681" i="6"/>
  <c r="L681" i="6" s="1"/>
  <c r="K680" i="6"/>
  <c r="L680" i="6" s="1"/>
  <c r="K679" i="6"/>
  <c r="L679" i="6" s="1"/>
  <c r="K676" i="6"/>
  <c r="L676" i="6" s="1"/>
  <c r="K675" i="6"/>
  <c r="L675" i="6" s="1"/>
  <c r="K674" i="6"/>
  <c r="L674" i="6" s="1"/>
  <c r="K673" i="6"/>
  <c r="L673" i="6" s="1"/>
  <c r="L664" i="6"/>
  <c r="L665" i="6" s="1"/>
  <c r="K662" i="6"/>
  <c r="L662" i="6" s="1"/>
  <c r="K661" i="6"/>
  <c r="L661" i="6" s="1"/>
  <c r="K660" i="6"/>
  <c r="L660" i="6" s="1"/>
  <c r="K659" i="6"/>
  <c r="L659" i="6" s="1"/>
  <c r="K656" i="6"/>
  <c r="L656" i="6" s="1"/>
  <c r="K655" i="6"/>
  <c r="L655" i="6" s="1"/>
  <c r="K653" i="6"/>
  <c r="L653" i="6" s="1"/>
  <c r="L644" i="6"/>
  <c r="L645" i="6" s="1"/>
  <c r="K642" i="6"/>
  <c r="L642" i="6" s="1"/>
  <c r="K641" i="6"/>
  <c r="L641" i="6" s="1"/>
  <c r="K640" i="6"/>
  <c r="L640" i="6" s="1"/>
  <c r="K639" i="6"/>
  <c r="L639" i="6" s="1"/>
  <c r="K636" i="6"/>
  <c r="L636" i="6" s="1"/>
  <c r="K635" i="6"/>
  <c r="L635" i="6" s="1"/>
  <c r="K634" i="6"/>
  <c r="L634" i="6" s="1"/>
  <c r="K633" i="6"/>
  <c r="L633" i="6" s="1"/>
  <c r="L624" i="6"/>
  <c r="L625" i="6" s="1"/>
  <c r="K622" i="6"/>
  <c r="L622" i="6" s="1"/>
  <c r="K621" i="6"/>
  <c r="L621" i="6" s="1"/>
  <c r="K620" i="6"/>
  <c r="L620" i="6" s="1"/>
  <c r="L619" i="6"/>
  <c r="K617" i="6"/>
  <c r="L617" i="6" s="1"/>
  <c r="K616" i="6"/>
  <c r="L616" i="6" s="1"/>
  <c r="K615" i="6"/>
  <c r="L615" i="6" s="1"/>
  <c r="K614" i="6"/>
  <c r="L614" i="6" s="1"/>
  <c r="L605" i="6"/>
  <c r="L606" i="6" s="1"/>
  <c r="K603" i="6"/>
  <c r="L603" i="6" s="1"/>
  <c r="K602" i="6"/>
  <c r="L602" i="6" s="1"/>
  <c r="K601" i="6"/>
  <c r="L601" i="6" s="1"/>
  <c r="L600" i="6"/>
  <c r="K598" i="6"/>
  <c r="L598" i="6" s="1"/>
  <c r="K597" i="6"/>
  <c r="L597" i="6" s="1"/>
  <c r="K596" i="6"/>
  <c r="L596" i="6" s="1"/>
  <c r="K595" i="6"/>
  <c r="L595" i="6" s="1"/>
  <c r="L586" i="6"/>
  <c r="L587" i="6" s="1"/>
  <c r="K584" i="6"/>
  <c r="L584" i="6" s="1"/>
  <c r="K583" i="6"/>
  <c r="L583" i="6" s="1"/>
  <c r="K582" i="6"/>
  <c r="L582" i="6" s="1"/>
  <c r="L581" i="6"/>
  <c r="K579" i="6"/>
  <c r="L579" i="6" s="1"/>
  <c r="K578" i="6"/>
  <c r="L578" i="6" s="1"/>
  <c r="K576" i="6"/>
  <c r="L576" i="6" s="1"/>
  <c r="L567" i="6"/>
  <c r="L568" i="6" s="1"/>
  <c r="K565" i="6"/>
  <c r="L565" i="6" s="1"/>
  <c r="K564" i="6"/>
  <c r="L564" i="6" s="1"/>
  <c r="K563" i="6"/>
  <c r="L563" i="6" s="1"/>
  <c r="L562" i="6"/>
  <c r="K560" i="6"/>
  <c r="L560" i="6" s="1"/>
  <c r="K559" i="6"/>
  <c r="L559" i="6" s="1"/>
  <c r="K558" i="6"/>
  <c r="L558" i="6" s="1"/>
  <c r="K557" i="6"/>
  <c r="L557" i="6" s="1"/>
  <c r="L548" i="6"/>
  <c r="L549" i="6" s="1"/>
  <c r="K546" i="6"/>
  <c r="L546" i="6" s="1"/>
  <c r="K545" i="6"/>
  <c r="L545" i="6" s="1"/>
  <c r="K544" i="6"/>
  <c r="L544" i="6" s="1"/>
  <c r="K541" i="6"/>
  <c r="L541" i="6" s="1"/>
  <c r="K540" i="6"/>
  <c r="L540" i="6" s="1"/>
  <c r="K539" i="6"/>
  <c r="L539" i="6" s="1"/>
  <c r="K538" i="6"/>
  <c r="L538" i="6" s="1"/>
  <c r="L537" i="6"/>
  <c r="L528" i="6"/>
  <c r="L529" i="6" s="1"/>
  <c r="K526" i="6"/>
  <c r="L526" i="6" s="1"/>
  <c r="L527" i="6" s="1"/>
  <c r="L525" i="6"/>
  <c r="K523" i="6"/>
  <c r="L523" i="6" s="1"/>
  <c r="K522" i="6"/>
  <c r="L522" i="6" s="1"/>
  <c r="L521" i="6"/>
  <c r="L513" i="6"/>
  <c r="L514" i="6" s="1"/>
  <c r="K511" i="6"/>
  <c r="L511" i="6" s="1"/>
  <c r="L512" i="6" s="1"/>
  <c r="L510" i="6"/>
  <c r="K508" i="6"/>
  <c r="L508" i="6" s="1"/>
  <c r="K507" i="6"/>
  <c r="L507" i="6" s="1"/>
  <c r="L506" i="6"/>
  <c r="L498" i="6"/>
  <c r="L499" i="6" s="1"/>
  <c r="K496" i="6"/>
  <c r="L496" i="6" s="1"/>
  <c r="K495" i="6"/>
  <c r="L495" i="6" s="1"/>
  <c r="K494" i="6"/>
  <c r="L494" i="6" s="1"/>
  <c r="L493" i="6"/>
  <c r="K491" i="6"/>
  <c r="L491" i="6" s="1"/>
  <c r="K490" i="6"/>
  <c r="L490" i="6" s="1"/>
  <c r="K489" i="6"/>
  <c r="L489" i="6" s="1"/>
  <c r="K488" i="6"/>
  <c r="L488" i="6" s="1"/>
  <c r="L487" i="6"/>
  <c r="L479" i="6"/>
  <c r="L480" i="6" s="1"/>
  <c r="K477" i="6"/>
  <c r="L477" i="6" s="1"/>
  <c r="L478" i="6" s="1"/>
  <c r="L476" i="6"/>
  <c r="K474" i="6"/>
  <c r="L474" i="6" s="1"/>
  <c r="K473" i="6"/>
  <c r="L473" i="6" s="1"/>
  <c r="L472" i="6"/>
  <c r="L464" i="6"/>
  <c r="L465" i="6" s="1"/>
  <c r="L462" i="6"/>
  <c r="L463" i="6" s="1"/>
  <c r="K460" i="6"/>
  <c r="L460" i="6" s="1"/>
  <c r="K459" i="6"/>
  <c r="L459" i="6" s="1"/>
  <c r="L458" i="6"/>
  <c r="L450" i="6"/>
  <c r="L451" i="6" s="1"/>
  <c r="L448" i="6"/>
  <c r="L449" i="6" s="1"/>
  <c r="K446" i="6"/>
  <c r="L446" i="6" s="1"/>
  <c r="K445" i="6"/>
  <c r="L445" i="6" s="1"/>
  <c r="L444" i="6"/>
  <c r="L435" i="6"/>
  <c r="L436" i="6" s="1"/>
  <c r="L433" i="6"/>
  <c r="L434" i="6" s="1"/>
  <c r="K431" i="6"/>
  <c r="L431" i="6" s="1"/>
  <c r="K430" i="6"/>
  <c r="L430" i="6" s="1"/>
  <c r="L429" i="6"/>
  <c r="L421" i="6"/>
  <c r="L422" i="6" s="1"/>
  <c r="L419" i="6"/>
  <c r="L420" i="6" s="1"/>
  <c r="K417" i="6"/>
  <c r="L417" i="6" s="1"/>
  <c r="K416" i="6"/>
  <c r="L416" i="6" s="1"/>
  <c r="L415" i="6"/>
  <c r="L407" i="6"/>
  <c r="L408" i="6" s="1"/>
  <c r="L405" i="6"/>
  <c r="L406" i="6" s="1"/>
  <c r="K403" i="6"/>
  <c r="L403" i="6" s="1"/>
  <c r="K402" i="6"/>
  <c r="L402" i="6" s="1"/>
  <c r="L401" i="6"/>
  <c r="L393" i="6"/>
  <c r="L394" i="6" s="1"/>
  <c r="L391" i="6"/>
  <c r="L392" i="6" s="1"/>
  <c r="K389" i="6"/>
  <c r="L389" i="6" s="1"/>
  <c r="K388" i="6"/>
  <c r="L388" i="6" s="1"/>
  <c r="L387" i="6"/>
  <c r="L379" i="6"/>
  <c r="L380" i="6" s="1"/>
  <c r="L377" i="6"/>
  <c r="L378" i="6" s="1"/>
  <c r="K375" i="6"/>
  <c r="L375" i="6" s="1"/>
  <c r="K374" i="6"/>
  <c r="L374" i="6" s="1"/>
  <c r="L373" i="6"/>
  <c r="L365" i="6"/>
  <c r="L366" i="6" s="1"/>
  <c r="L363" i="6"/>
  <c r="L364" i="6" s="1"/>
  <c r="K361" i="6"/>
  <c r="L361" i="6" s="1"/>
  <c r="K360" i="6"/>
  <c r="L360" i="6" s="1"/>
  <c r="L359" i="6"/>
  <c r="L351" i="6"/>
  <c r="L352" i="6" s="1"/>
  <c r="L349" i="6"/>
  <c r="L350" i="6" s="1"/>
  <c r="K347" i="6"/>
  <c r="L347" i="6" s="1"/>
  <c r="K346" i="6"/>
  <c r="L346" i="6" s="1"/>
  <c r="L345" i="6"/>
  <c r="L337" i="6"/>
  <c r="L338" i="6" s="1"/>
  <c r="L335" i="6"/>
  <c r="L336" i="6" s="1"/>
  <c r="K333" i="6"/>
  <c r="L333" i="6" s="1"/>
  <c r="K332" i="6"/>
  <c r="L332" i="6" s="1"/>
  <c r="L331" i="6"/>
  <c r="L322" i="6"/>
  <c r="L323" i="6" s="1"/>
  <c r="K320" i="6"/>
  <c r="L320" i="6" s="1"/>
  <c r="K319" i="6"/>
  <c r="L319" i="6" s="1"/>
  <c r="K318" i="6"/>
  <c r="L318" i="6" s="1"/>
  <c r="K317" i="6"/>
  <c r="L317" i="6" s="1"/>
  <c r="K316" i="6"/>
  <c r="L316" i="6" s="1"/>
  <c r="L315" i="6"/>
  <c r="K313" i="6"/>
  <c r="L313" i="6" s="1"/>
  <c r="K312" i="6"/>
  <c r="L312" i="6" s="1"/>
  <c r="K311" i="6"/>
  <c r="L311" i="6" s="1"/>
  <c r="K310" i="6"/>
  <c r="L310" i="6" s="1"/>
  <c r="L301" i="6"/>
  <c r="L302" i="6" s="1"/>
  <c r="K299" i="6"/>
  <c r="L299" i="6" s="1"/>
  <c r="L300" i="6" s="1"/>
  <c r="L298" i="6"/>
  <c r="K296" i="6"/>
  <c r="L296" i="6" s="1"/>
  <c r="K295" i="6"/>
  <c r="L295" i="6" s="1"/>
  <c r="K294" i="6"/>
  <c r="L294" i="6" s="1"/>
  <c r="K293" i="6"/>
  <c r="L293" i="6" s="1"/>
  <c r="L284" i="6"/>
  <c r="L285" i="6" s="1"/>
  <c r="L282" i="6"/>
  <c r="L283" i="6" s="1"/>
  <c r="K280" i="6"/>
  <c r="L280" i="6" s="1"/>
  <c r="K279" i="6"/>
  <c r="L279" i="6" s="1"/>
  <c r="L270" i="6"/>
  <c r="L271" i="6" s="1"/>
  <c r="L267" i="6"/>
  <c r="L268" i="6" s="1"/>
  <c r="K265" i="6"/>
  <c r="L265" i="6" s="1"/>
  <c r="K264" i="6"/>
  <c r="L264" i="6" s="1"/>
  <c r="L255" i="6"/>
  <c r="L256" i="6" s="1"/>
  <c r="K253" i="6"/>
  <c r="L253" i="6" s="1"/>
  <c r="K252" i="6"/>
  <c r="L252" i="6" s="1"/>
  <c r="K251" i="6"/>
  <c r="L251" i="6" s="1"/>
  <c r="L250" i="6"/>
  <c r="K248" i="6"/>
  <c r="L248" i="6" s="1"/>
  <c r="K247" i="6"/>
  <c r="L247" i="6" s="1"/>
  <c r="L246" i="6"/>
  <c r="L238" i="6"/>
  <c r="L239" i="6" s="1"/>
  <c r="K236" i="6"/>
  <c r="L236" i="6" s="1"/>
  <c r="K235" i="6"/>
  <c r="L235" i="6" s="1"/>
  <c r="K232" i="6"/>
  <c r="L232" i="6" s="1"/>
  <c r="K231" i="6"/>
  <c r="L231" i="6" s="1"/>
  <c r="K230" i="6"/>
  <c r="L230" i="6" s="1"/>
  <c r="K229" i="6"/>
  <c r="L229" i="6" s="1"/>
  <c r="L220" i="6"/>
  <c r="L221" i="6" s="1"/>
  <c r="K218" i="6"/>
  <c r="L218" i="6" s="1"/>
  <c r="K217" i="6"/>
  <c r="L217" i="6" s="1"/>
  <c r="K216" i="6"/>
  <c r="L216" i="6" s="1"/>
  <c r="L215" i="6"/>
  <c r="K213" i="6"/>
  <c r="L213" i="6" s="1"/>
  <c r="K212" i="6"/>
  <c r="L212" i="6" s="1"/>
  <c r="L211" i="6"/>
  <c r="L203" i="6"/>
  <c r="L204" i="6" s="1"/>
  <c r="K201" i="6"/>
  <c r="L201" i="6" s="1"/>
  <c r="K200" i="6"/>
  <c r="L200" i="6" s="1"/>
  <c r="K199" i="6"/>
  <c r="L199" i="6" s="1"/>
  <c r="K198" i="6"/>
  <c r="L198" i="6" s="1"/>
  <c r="K197" i="6"/>
  <c r="L197" i="6" s="1"/>
  <c r="K196" i="6"/>
  <c r="L196" i="6" s="1"/>
  <c r="K195" i="6"/>
  <c r="L195" i="6" s="1"/>
  <c r="K194" i="6"/>
  <c r="L194" i="6" s="1"/>
  <c r="K191" i="6"/>
  <c r="L191" i="6" s="1"/>
  <c r="K190" i="6"/>
  <c r="L190" i="6" s="1"/>
  <c r="K189" i="6"/>
  <c r="L189" i="6" s="1"/>
  <c r="K188" i="6"/>
  <c r="L188" i="6" s="1"/>
  <c r="L179" i="6"/>
  <c r="L180" i="6" s="1"/>
  <c r="K175" i="6"/>
  <c r="L175" i="6" s="1"/>
  <c r="K174" i="6"/>
  <c r="L174" i="6" s="1"/>
  <c r="L165" i="6"/>
  <c r="L166" i="6" s="1"/>
  <c r="K163" i="6"/>
  <c r="L163" i="6" s="1"/>
  <c r="K162" i="6"/>
  <c r="L162" i="6" s="1"/>
  <c r="K161" i="6"/>
  <c r="L161" i="6" s="1"/>
  <c r="K160" i="6"/>
  <c r="L160" i="6" s="1"/>
  <c r="K157" i="6"/>
  <c r="L157" i="6" s="1"/>
  <c r="K156" i="6"/>
  <c r="L156" i="6" s="1"/>
  <c r="K155" i="6"/>
  <c r="L155" i="6" s="1"/>
  <c r="K154" i="6"/>
  <c r="L154" i="6" s="1"/>
  <c r="L153" i="6"/>
  <c r="K143" i="6"/>
  <c r="L143" i="6" s="1"/>
  <c r="K142" i="6"/>
  <c r="L142" i="6" s="1"/>
  <c r="K141" i="6"/>
  <c r="L141" i="6" s="1"/>
  <c r="K140" i="6"/>
  <c r="L140" i="6" s="1"/>
  <c r="K139" i="6"/>
  <c r="L139" i="6" s="1"/>
  <c r="K138" i="6"/>
  <c r="L138" i="6" s="1"/>
  <c r="K137" i="6"/>
  <c r="L137" i="6" s="1"/>
  <c r="K136" i="6"/>
  <c r="L136" i="6" s="1"/>
  <c r="K133" i="6"/>
  <c r="L133" i="6" s="1"/>
  <c r="K132" i="6"/>
  <c r="L132" i="6" s="1"/>
  <c r="K131" i="6"/>
  <c r="L131" i="6" s="1"/>
  <c r="K130" i="6"/>
  <c r="L130" i="6" s="1"/>
  <c r="L121" i="6"/>
  <c r="L122" i="6" s="1"/>
  <c r="K119" i="6"/>
  <c r="L119" i="6" s="1"/>
  <c r="K118" i="6"/>
  <c r="L118" i="6" s="1"/>
  <c r="K117" i="6"/>
  <c r="L117" i="6" s="1"/>
  <c r="K116" i="6"/>
  <c r="L116" i="6" s="1"/>
  <c r="K115" i="6"/>
  <c r="L115" i="6" s="1"/>
  <c r="K114" i="6"/>
  <c r="L114" i="6" s="1"/>
  <c r="K113" i="6"/>
  <c r="L113" i="6" s="1"/>
  <c r="K112" i="6"/>
  <c r="L112" i="6" s="1"/>
  <c r="K111" i="6"/>
  <c r="L111" i="6" s="1"/>
  <c r="K110" i="6"/>
  <c r="L110" i="6" s="1"/>
  <c r="K109" i="6"/>
  <c r="L109" i="6" s="1"/>
  <c r="K108" i="6"/>
  <c r="L108" i="6" s="1"/>
  <c r="K107" i="6"/>
  <c r="L107" i="6" s="1"/>
  <c r="K106" i="6"/>
  <c r="L106" i="6" s="1"/>
  <c r="L105" i="6"/>
  <c r="K103" i="6"/>
  <c r="L103" i="6" s="1"/>
  <c r="K102" i="6"/>
  <c r="L102" i="6" s="1"/>
  <c r="K101" i="6"/>
  <c r="L101" i="6" s="1"/>
  <c r="K100" i="6"/>
  <c r="L100" i="6" s="1"/>
  <c r="K99" i="6"/>
  <c r="L99" i="6" s="1"/>
  <c r="L90" i="6"/>
  <c r="L91" i="6" s="1"/>
  <c r="K88" i="6"/>
  <c r="L88" i="6" s="1"/>
  <c r="K87" i="6"/>
  <c r="L87" i="6" s="1"/>
  <c r="K86" i="6"/>
  <c r="L86" i="6" s="1"/>
  <c r="K83" i="6"/>
  <c r="L83" i="6" s="1"/>
  <c r="K82" i="6"/>
  <c r="L82" i="6" s="1"/>
  <c r="K81" i="6"/>
  <c r="L81" i="6" s="1"/>
  <c r="K80" i="6"/>
  <c r="L80" i="6" s="1"/>
  <c r="L71" i="6"/>
  <c r="L72" i="6" s="1"/>
  <c r="K69" i="6"/>
  <c r="L69" i="6" s="1"/>
  <c r="K68" i="6"/>
  <c r="L68" i="6" s="1"/>
  <c r="K67" i="6"/>
  <c r="L67" i="6" s="1"/>
  <c r="K66" i="6"/>
  <c r="L66" i="6" s="1"/>
  <c r="K65" i="6"/>
  <c r="L65" i="6" s="1"/>
  <c r="K64" i="6"/>
  <c r="L64" i="6" s="1"/>
  <c r="L63" i="6"/>
  <c r="K61" i="6"/>
  <c r="L61" i="6" s="1"/>
  <c r="K60" i="6"/>
  <c r="L60" i="6" s="1"/>
  <c r="K59" i="6"/>
  <c r="L59" i="6" s="1"/>
  <c r="K58" i="6"/>
  <c r="L58" i="6" s="1"/>
  <c r="L57" i="6"/>
  <c r="L50" i="6"/>
  <c r="K47" i="6"/>
  <c r="L47" i="6" s="1"/>
  <c r="K46" i="6"/>
  <c r="L46" i="6" s="1"/>
  <c r="K45" i="6"/>
  <c r="L45" i="6" s="1"/>
  <c r="K44" i="6"/>
  <c r="L44" i="6" s="1"/>
  <c r="K43" i="6"/>
  <c r="L43" i="6" s="1"/>
  <c r="K42" i="6"/>
  <c r="L42" i="6" s="1"/>
  <c r="K41" i="6"/>
  <c r="L41" i="6" s="1"/>
  <c r="K40" i="6"/>
  <c r="L40" i="6" s="1"/>
  <c r="K37" i="6"/>
  <c r="L37" i="6" s="1"/>
  <c r="K36" i="6"/>
  <c r="L36" i="6" s="1"/>
  <c r="K35" i="6"/>
  <c r="L35" i="6" s="1"/>
  <c r="K34" i="6"/>
  <c r="L34" i="6" s="1"/>
  <c r="L33" i="6"/>
  <c r="L26" i="6"/>
  <c r="K23" i="6"/>
  <c r="L23" i="6" s="1"/>
  <c r="K22" i="6"/>
  <c r="L22" i="6" s="1"/>
  <c r="K21" i="6"/>
  <c r="L21" i="6" s="1"/>
  <c r="K20" i="6"/>
  <c r="L20" i="6" s="1"/>
  <c r="K19" i="6"/>
  <c r="L19" i="6" s="1"/>
  <c r="K18" i="6"/>
  <c r="L18" i="6" s="1"/>
  <c r="K17" i="6"/>
  <c r="L17" i="6" s="1"/>
  <c r="K14" i="6"/>
  <c r="L14" i="6" s="1"/>
  <c r="K13" i="6"/>
  <c r="L13" i="6" s="1"/>
  <c r="K12" i="6"/>
  <c r="L12" i="6" s="1"/>
  <c r="L11" i="6"/>
  <c r="K4690" i="6" l="1"/>
  <c r="L4690" i="6" s="1"/>
  <c r="K4709" i="6"/>
  <c r="L4709" i="6" s="1"/>
  <c r="K4728" i="6"/>
  <c r="L4728" i="6" s="1"/>
  <c r="K4781" i="6"/>
  <c r="L4781" i="6" s="1"/>
  <c r="K7483" i="6"/>
  <c r="L7483" i="6" s="1"/>
  <c r="K7521" i="6"/>
  <c r="L7521" i="6" s="1"/>
  <c r="K7582" i="6"/>
  <c r="L7582" i="6" s="1"/>
  <c r="K7622" i="6"/>
  <c r="L7622" i="6" s="1"/>
  <c r="K7935" i="6"/>
  <c r="L7935" i="6" s="1"/>
  <c r="K1313" i="6"/>
  <c r="L1313" i="6" s="1"/>
  <c r="K1394" i="6"/>
  <c r="L1394" i="6" s="1"/>
  <c r="K1452" i="6"/>
  <c r="L1452" i="6" s="1"/>
  <c r="K1510" i="6"/>
  <c r="L1510" i="6" s="1"/>
  <c r="K1603" i="6"/>
  <c r="L1603" i="6" s="1"/>
  <c r="K1804" i="6"/>
  <c r="L1804" i="6" s="1"/>
  <c r="K1857" i="6"/>
  <c r="L1857" i="6" s="1"/>
  <c r="K1910" i="6"/>
  <c r="L1910" i="6" s="1"/>
  <c r="K1961" i="6"/>
  <c r="L1961" i="6" s="1"/>
  <c r="K1979" i="6"/>
  <c r="L1979" i="6" s="1"/>
  <c r="K1997" i="6"/>
  <c r="L1997" i="6" s="1"/>
  <c r="K2112" i="6"/>
  <c r="L2112" i="6" s="1"/>
  <c r="K2274" i="6"/>
  <c r="L2274" i="6" s="1"/>
  <c r="K2293" i="6"/>
  <c r="L2293" i="6" s="1"/>
  <c r="K2556" i="6"/>
  <c r="L2556" i="6" s="1"/>
  <c r="K2575" i="6"/>
  <c r="L2575" i="6" s="1"/>
  <c r="K2594" i="6"/>
  <c r="L2594" i="6" s="1"/>
  <c r="K2613" i="6"/>
  <c r="L2613" i="6" s="1"/>
  <c r="K2632" i="6"/>
  <c r="L2632" i="6" s="1"/>
  <c r="K2651" i="6"/>
  <c r="L2651" i="6" s="1"/>
  <c r="K2845" i="6"/>
  <c r="L2845" i="6" s="1"/>
  <c r="K2925" i="6"/>
  <c r="L2925" i="6" s="1"/>
  <c r="K3080" i="6"/>
  <c r="L3080" i="6" s="1"/>
  <c r="K3152" i="6"/>
  <c r="L3152" i="6" s="1"/>
  <c r="K3300" i="6"/>
  <c r="L3300" i="6" s="1"/>
  <c r="K3372" i="6"/>
  <c r="L3372" i="6" s="1"/>
  <c r="K3391" i="6"/>
  <c r="L3391" i="6" s="1"/>
  <c r="K3463" i="6"/>
  <c r="L3463" i="6" s="1"/>
  <c r="K3550" i="6"/>
  <c r="L3550" i="6" s="1"/>
  <c r="K3682" i="6"/>
  <c r="L3682" i="6" s="1"/>
  <c r="K3762" i="6"/>
  <c r="L3762" i="6" s="1"/>
  <c r="K3842" i="6"/>
  <c r="L3842" i="6" s="1"/>
  <c r="K3979" i="6"/>
  <c r="L3979" i="6" s="1"/>
  <c r="K4059" i="6"/>
  <c r="L4059" i="6" s="1"/>
  <c r="K4139" i="6"/>
  <c r="L4139" i="6" s="1"/>
  <c r="K4257" i="6"/>
  <c r="L4257" i="6" s="1"/>
  <c r="K4337" i="6"/>
  <c r="L4337" i="6" s="1"/>
  <c r="K4417" i="6"/>
  <c r="L4417" i="6" s="1"/>
  <c r="K4569" i="6"/>
  <c r="L4569" i="6" s="1"/>
  <c r="K4649" i="6"/>
  <c r="L4649" i="6" s="1"/>
  <c r="K7290" i="6"/>
  <c r="L7290" i="6" s="1"/>
  <c r="K7309" i="6"/>
  <c r="L7309" i="6" s="1"/>
  <c r="K7329" i="6"/>
  <c r="L7329" i="6" s="1"/>
  <c r="K7349" i="6"/>
  <c r="L7349" i="6" s="1"/>
  <c r="K7369" i="6"/>
  <c r="L7369" i="6" s="1"/>
  <c r="K7405" i="6"/>
  <c r="L7405" i="6" s="1"/>
  <c r="K7444" i="6"/>
  <c r="L7444" i="6" s="1"/>
  <c r="K7560" i="6"/>
  <c r="L7560" i="6" s="1"/>
  <c r="K7658" i="6"/>
  <c r="L7658" i="6" s="1"/>
  <c r="K7694" i="6"/>
  <c r="L7694" i="6" s="1"/>
  <c r="K7730" i="6"/>
  <c r="L7730" i="6" s="1"/>
  <c r="K7766" i="6"/>
  <c r="L7766" i="6" s="1"/>
  <c r="K7802" i="6"/>
  <c r="L7802" i="6" s="1"/>
  <c r="K7838" i="6"/>
  <c r="L7838" i="6" s="1"/>
  <c r="K7874" i="6"/>
  <c r="L7874" i="6" s="1"/>
  <c r="K577" i="6"/>
  <c r="L577" i="6" s="1"/>
  <c r="K654" i="6"/>
  <c r="L654" i="6" s="1"/>
  <c r="K734" i="6"/>
  <c r="L734" i="6" s="1"/>
  <c r="K817" i="6"/>
  <c r="L817" i="6" s="1"/>
  <c r="K897" i="6"/>
  <c r="L897" i="6" s="1"/>
  <c r="K977" i="6"/>
  <c r="L977" i="6" s="1"/>
  <c r="K1074" i="6"/>
  <c r="L1074" i="6" s="1"/>
  <c r="K1623" i="6"/>
  <c r="L1623" i="6" s="1"/>
  <c r="K1665" i="6"/>
  <c r="L1665" i="6" s="1"/>
  <c r="K1785" i="6"/>
  <c r="L1785" i="6" s="1"/>
  <c r="K2671" i="6"/>
  <c r="L2671" i="6" s="1"/>
  <c r="K2690" i="6"/>
  <c r="L2690" i="6" s="1"/>
  <c r="K2709" i="6"/>
  <c r="L2709" i="6" s="1"/>
  <c r="K2728" i="6"/>
  <c r="L2728" i="6" s="1"/>
  <c r="K2747" i="6"/>
  <c r="L2747" i="6" s="1"/>
  <c r="K2766" i="6"/>
  <c r="L2766" i="6" s="1"/>
  <c r="K2785" i="6"/>
  <c r="L2785" i="6" s="1"/>
  <c r="K2865" i="6"/>
  <c r="L2865" i="6" s="1"/>
  <c r="K2945" i="6"/>
  <c r="L2945" i="6" s="1"/>
  <c r="K3062" i="6"/>
  <c r="L3062" i="6" s="1"/>
  <c r="K3134" i="6"/>
  <c r="L3134" i="6" s="1"/>
  <c r="K3206" i="6"/>
  <c r="L3206" i="6" s="1"/>
  <c r="K3225" i="6"/>
  <c r="L3225" i="6" s="1"/>
  <c r="K3244" i="6"/>
  <c r="L3244" i="6" s="1"/>
  <c r="K3263" i="6"/>
  <c r="L3263" i="6" s="1"/>
  <c r="K3282" i="6"/>
  <c r="L3282" i="6" s="1"/>
  <c r="K3354" i="6"/>
  <c r="L3354" i="6" s="1"/>
  <c r="K3445" i="6"/>
  <c r="L3445" i="6" s="1"/>
  <c r="K3498" i="6"/>
  <c r="L3498" i="6" s="1"/>
  <c r="K3702" i="6"/>
  <c r="L3702" i="6" s="1"/>
  <c r="K3782" i="6"/>
  <c r="L3782" i="6" s="1"/>
  <c r="K3862" i="6"/>
  <c r="L3862" i="6" s="1"/>
  <c r="K3999" i="6"/>
  <c r="L3999" i="6" s="1"/>
  <c r="K4079" i="6"/>
  <c r="L4079" i="6" s="1"/>
  <c r="K4159" i="6"/>
  <c r="L4159" i="6" s="1"/>
  <c r="K4197" i="6"/>
  <c r="L4197" i="6" s="1"/>
  <c r="K4277" i="6"/>
  <c r="L4277" i="6" s="1"/>
  <c r="K4357" i="6"/>
  <c r="L4357" i="6" s="1"/>
  <c r="K4509" i="6"/>
  <c r="L4509" i="6" s="1"/>
  <c r="K4589" i="6"/>
  <c r="L4589" i="6" s="1"/>
  <c r="K4764" i="6"/>
  <c r="L4764" i="6" s="1"/>
  <c r="K7538" i="6"/>
  <c r="L7538" i="6" s="1"/>
  <c r="K7604" i="6"/>
  <c r="L7604" i="6" s="1"/>
  <c r="K7894" i="6"/>
  <c r="L7894" i="6" s="1"/>
  <c r="AJ6" i="24"/>
  <c r="AJ5" i="24" s="1"/>
  <c r="AH5" i="24"/>
  <c r="K1255" i="6"/>
  <c r="L1255" i="6" s="1"/>
  <c r="K1233" i="6"/>
  <c r="L1233" i="6" s="1"/>
  <c r="K1278" i="6"/>
  <c r="L1278" i="6" s="1"/>
  <c r="K7101" i="6"/>
  <c r="L7101" i="6" s="1"/>
  <c r="L7102" i="6" s="1"/>
  <c r="K7156" i="6"/>
  <c r="L7156" i="6" s="1"/>
  <c r="K7216" i="6"/>
  <c r="L7216" i="6" s="1"/>
  <c r="K7237" i="6"/>
  <c r="L7237" i="6" s="1"/>
  <c r="K7311" i="6"/>
  <c r="L7311" i="6" s="1"/>
  <c r="K7584" i="6"/>
  <c r="L7584" i="6" s="1"/>
  <c r="K7916" i="6"/>
  <c r="L7916" i="6" s="1"/>
  <c r="K7937" i="6"/>
  <c r="L7937" i="6" s="1"/>
  <c r="H126" i="4"/>
  <c r="L6206" i="6"/>
  <c r="H118" i="4"/>
  <c r="H114" i="4"/>
  <c r="H110" i="4"/>
  <c r="H103" i="4"/>
  <c r="H96" i="4"/>
  <c r="H92" i="4"/>
  <c r="H88" i="4"/>
  <c r="H81" i="4"/>
  <c r="H77" i="4"/>
  <c r="H70" i="4"/>
  <c r="H63" i="4"/>
  <c r="H56" i="4"/>
  <c r="H49" i="4"/>
  <c r="H44" i="4"/>
  <c r="H39" i="4"/>
  <c r="H33" i="4"/>
  <c r="H25" i="4"/>
  <c r="H18" i="4"/>
  <c r="H9" i="4"/>
  <c r="H117" i="4"/>
  <c r="H112" i="4"/>
  <c r="H107" i="4"/>
  <c r="H95" i="4"/>
  <c r="H90" i="4"/>
  <c r="H85" i="4"/>
  <c r="H76" i="4"/>
  <c r="H65" i="4"/>
  <c r="H57" i="4"/>
  <c r="H48" i="4"/>
  <c r="H41" i="4"/>
  <c r="H35" i="4"/>
  <c r="H24" i="4"/>
  <c r="H16" i="4"/>
  <c r="H108" i="4"/>
  <c r="H86" i="4"/>
  <c r="H58" i="4"/>
  <c r="H36" i="4"/>
  <c r="H122" i="4"/>
  <c r="H116" i="4"/>
  <c r="H111" i="4"/>
  <c r="H102" i="4"/>
  <c r="H94" i="4"/>
  <c r="H89" i="4"/>
  <c r="H80" i="4"/>
  <c r="H75" i="4"/>
  <c r="H64" i="4"/>
  <c r="H55" i="4"/>
  <c r="H47" i="4"/>
  <c r="H40" i="4"/>
  <c r="H32" i="4"/>
  <c r="H23" i="4"/>
  <c r="H15" i="4"/>
  <c r="H113" i="4"/>
  <c r="H91" i="4"/>
  <c r="H66" i="4"/>
  <c r="H43" i="4"/>
  <c r="H26" i="4"/>
  <c r="H120" i="4"/>
  <c r="H115" i="4"/>
  <c r="H109" i="4"/>
  <c r="H101" i="4"/>
  <c r="H93" i="4"/>
  <c r="H87" i="4"/>
  <c r="H79" i="4"/>
  <c r="H71" i="4"/>
  <c r="H62" i="4"/>
  <c r="H54" i="4"/>
  <c r="H45" i="4"/>
  <c r="H37" i="4"/>
  <c r="H31" i="4"/>
  <c r="H22" i="4"/>
  <c r="H8" i="4"/>
  <c r="H119" i="4"/>
  <c r="H100" i="4"/>
  <c r="H78" i="4"/>
  <c r="H53" i="4"/>
  <c r="H17" i="4"/>
  <c r="N39" i="9"/>
  <c r="K1998" i="6"/>
  <c r="L1998" i="6" s="1"/>
  <c r="K1980" i="6"/>
  <c r="L1980" i="6" s="1"/>
  <c r="K1962" i="6"/>
  <c r="L1962" i="6" s="1"/>
  <c r="K1907" i="6"/>
  <c r="L1907" i="6" s="1"/>
  <c r="K1854" i="6"/>
  <c r="L1854" i="6" s="1"/>
  <c r="K1801" i="6"/>
  <c r="L1801" i="6" s="1"/>
  <c r="E15" i="9"/>
  <c r="E16" i="9" s="1"/>
  <c r="E17" i="9" s="1"/>
  <c r="E18" i="9" s="1"/>
  <c r="E19" i="9" s="1"/>
  <c r="E20" i="9" s="1"/>
  <c r="E21" i="9" s="1"/>
  <c r="E22" i="9" s="1"/>
  <c r="E23" i="9" s="1"/>
  <c r="E24" i="9" s="1"/>
  <c r="E25" i="9" s="1"/>
  <c r="E26" i="9" s="1"/>
  <c r="E27" i="9" s="1"/>
  <c r="E28" i="9" s="1"/>
  <c r="E29" i="9" s="1"/>
  <c r="E30" i="9" s="1"/>
  <c r="E31" i="9" s="1"/>
  <c r="E32" i="9" s="1"/>
  <c r="E33" i="9" s="1"/>
  <c r="E34" i="9" s="1"/>
  <c r="E35" i="9" s="1"/>
  <c r="E36" i="9" s="1"/>
  <c r="E37" i="9" s="1"/>
  <c r="E38" i="9" s="1"/>
  <c r="E39" i="9" s="1"/>
  <c r="E40" i="9" s="1"/>
  <c r="E41" i="9" s="1"/>
  <c r="M12" i="9"/>
  <c r="K5038" i="6"/>
  <c r="L5038" i="6" s="1"/>
  <c r="N31" i="9"/>
  <c r="M31" i="9" s="1"/>
  <c r="K7980" i="6"/>
  <c r="L7980" i="6" s="1"/>
  <c r="K8040" i="6"/>
  <c r="L8040" i="6" s="1"/>
  <c r="K8022" i="6"/>
  <c r="L8022" i="6" s="1"/>
  <c r="K8004" i="6"/>
  <c r="L8004" i="6" s="1"/>
  <c r="K5039" i="6"/>
  <c r="L5039" i="6" s="1"/>
  <c r="K5097" i="6"/>
  <c r="L5097" i="6" s="1"/>
  <c r="K5115" i="6"/>
  <c r="L5115" i="6" s="1"/>
  <c r="M13" i="9"/>
  <c r="K5096" i="6"/>
  <c r="L5096" i="6" s="1"/>
  <c r="K5114" i="6"/>
  <c r="L5114" i="6" s="1"/>
  <c r="K7981" i="6"/>
  <c r="L7981" i="6" s="1"/>
  <c r="K8041" i="6"/>
  <c r="L8041" i="6" s="1"/>
  <c r="K8023" i="6"/>
  <c r="L8023" i="6" s="1"/>
  <c r="K8005" i="6"/>
  <c r="L8005" i="6" s="1"/>
  <c r="K8058" i="6"/>
  <c r="L8058" i="6" s="1"/>
  <c r="L8059" i="6" s="1"/>
  <c r="L8066" i="6" s="1"/>
  <c r="L8067" i="6" s="1"/>
  <c r="L8068" i="6" s="1"/>
  <c r="M8053" i="6" s="1"/>
  <c r="J458" i="7" s="1"/>
  <c r="K5040" i="6"/>
  <c r="L5040" i="6" s="1"/>
  <c r="K5098" i="6"/>
  <c r="L5098" i="6" s="1"/>
  <c r="K5116" i="6"/>
  <c r="L5116" i="6" s="1"/>
  <c r="E154" i="8"/>
  <c r="E155" i="8" s="1"/>
  <c r="E156" i="8" s="1"/>
  <c r="E157" i="8" s="1"/>
  <c r="E158" i="8" s="1"/>
  <c r="E159" i="8" s="1"/>
  <c r="E160" i="8" s="1"/>
  <c r="E161" i="8" s="1"/>
  <c r="E162" i="8" s="1"/>
  <c r="E163" i="8" s="1"/>
  <c r="E164" i="8" s="1"/>
  <c r="E165" i="8" s="1"/>
  <c r="E166" i="8" s="1"/>
  <c r="E167" i="8" s="1"/>
  <c r="E168" i="8" s="1"/>
  <c r="E169" i="8" s="1"/>
  <c r="E170" i="8" s="1"/>
  <c r="E171" i="8" s="1"/>
  <c r="E172" i="8" s="1"/>
  <c r="E173" i="8" s="1"/>
  <c r="E174" i="8" s="1"/>
  <c r="E175" i="8" s="1"/>
  <c r="E176" i="8" s="1"/>
  <c r="E177" i="8" s="1"/>
  <c r="E178" i="8" s="1"/>
  <c r="E179" i="8" s="1"/>
  <c r="E180" i="8" s="1"/>
  <c r="E285" i="7"/>
  <c r="E286" i="7" s="1"/>
  <c r="E287" i="7" s="1"/>
  <c r="E290" i="7" s="1"/>
  <c r="E291" i="7" s="1"/>
  <c r="E292" i="7" s="1"/>
  <c r="E293" i="7" s="1"/>
  <c r="E294" i="7" s="1"/>
  <c r="E295" i="7" s="1"/>
  <c r="E296" i="7" s="1"/>
  <c r="E297" i="7" s="1"/>
  <c r="E298" i="7" s="1"/>
  <c r="E299" i="7" s="1"/>
  <c r="E300" i="7" s="1"/>
  <c r="E301" i="7" s="1"/>
  <c r="E302" i="7" s="1"/>
  <c r="E303" i="7" s="1"/>
  <c r="E304" i="7" s="1"/>
  <c r="E305" i="7" s="1"/>
  <c r="E306" i="7" s="1"/>
  <c r="E307" i="7" s="1"/>
  <c r="E308" i="7" s="1"/>
  <c r="E309" i="7" s="1"/>
  <c r="E310" i="7" s="1"/>
  <c r="E311" i="7" s="1"/>
  <c r="E312" i="7" s="1"/>
  <c r="E313" i="7" s="1"/>
  <c r="E314" i="7" s="1"/>
  <c r="E315" i="7" s="1"/>
  <c r="E316" i="7" s="1"/>
  <c r="E317" i="7" s="1"/>
  <c r="E318" i="7" s="1"/>
  <c r="E319" i="7" s="1"/>
  <c r="E320" i="7" s="1"/>
  <c r="E321" i="7" s="1"/>
  <c r="E322" i="7" s="1"/>
  <c r="E323" i="7" s="1"/>
  <c r="E324" i="7" s="1"/>
  <c r="E325" i="7" s="1"/>
  <c r="E326" i="7" s="1"/>
  <c r="E327" i="7" s="1"/>
  <c r="E328" i="7" s="1"/>
  <c r="E329" i="7" s="1"/>
  <c r="E330" i="7" s="1"/>
  <c r="E331" i="7" s="1"/>
  <c r="E332" i="7" s="1"/>
  <c r="E335" i="7" s="1"/>
  <c r="E336" i="7" s="1"/>
  <c r="E337" i="7" s="1"/>
  <c r="E338" i="7" s="1"/>
  <c r="E339" i="7" s="1"/>
  <c r="E340" i="7" s="1"/>
  <c r="E341" i="7" s="1"/>
  <c r="E342" i="7" s="1"/>
  <c r="E343" i="7" s="1"/>
  <c r="E344" i="7" s="1"/>
  <c r="E345" i="7" s="1"/>
  <c r="E346" i="7" s="1"/>
  <c r="E347" i="7" s="1"/>
  <c r="E348" i="7" s="1"/>
  <c r="E349" i="7" s="1"/>
  <c r="E350" i="7" s="1"/>
  <c r="E351" i="7" s="1"/>
  <c r="E352" i="7" s="1"/>
  <c r="E353" i="7" s="1"/>
  <c r="E354" i="7" s="1"/>
  <c r="E355" i="7" s="1"/>
  <c r="E356" i="7" s="1"/>
  <c r="E357" i="7" s="1"/>
  <c r="E358" i="7" s="1"/>
  <c r="E359" i="7" s="1"/>
  <c r="E360" i="7" s="1"/>
  <c r="E361" i="7" s="1"/>
  <c r="E362" i="7" s="1"/>
  <c r="E365" i="7" s="1"/>
  <c r="E366" i="7" s="1"/>
  <c r="E367" i="7" s="1"/>
  <c r="E368" i="7" s="1"/>
  <c r="E369" i="7" s="1"/>
  <c r="E370" i="7" s="1"/>
  <c r="E371" i="7" s="1"/>
  <c r="E372" i="7" s="1"/>
  <c r="E373" i="7" s="1"/>
  <c r="E374" i="7" s="1"/>
  <c r="E375" i="7" s="1"/>
  <c r="E376" i="7" s="1"/>
  <c r="E377" i="7" s="1"/>
  <c r="E378" i="7" s="1"/>
  <c r="E379" i="7" s="1"/>
  <c r="E380" i="7" s="1"/>
  <c r="E381" i="7" s="1"/>
  <c r="E382" i="7" s="1"/>
  <c r="E383" i="7" s="1"/>
  <c r="E384" i="7" s="1"/>
  <c r="E385" i="7" s="1"/>
  <c r="E386" i="7" s="1"/>
  <c r="E387" i="7" s="1"/>
  <c r="E390" i="7" s="1"/>
  <c r="E391" i="7" s="1"/>
  <c r="E392" i="7" s="1"/>
  <c r="E393" i="7" s="1"/>
  <c r="E394" i="7" s="1"/>
  <c r="E395" i="7" s="1"/>
  <c r="E396" i="7" s="1"/>
  <c r="E397" i="7" s="1"/>
  <c r="E398" i="7" s="1"/>
  <c r="E399" i="7" s="1"/>
  <c r="E400" i="7" s="1"/>
  <c r="E401" i="7" s="1"/>
  <c r="E402" i="7" s="1"/>
  <c r="E403" i="7" s="1"/>
  <c r="E404" i="7" s="1"/>
  <c r="E405" i="7" s="1"/>
  <c r="E406" i="7" s="1"/>
  <c r="E407" i="7" s="1"/>
  <c r="E408" i="7" s="1"/>
  <c r="E409" i="7" s="1"/>
  <c r="E410" i="7" s="1"/>
  <c r="E411" i="7" s="1"/>
  <c r="E414" i="7" s="1"/>
  <c r="E415" i="7" s="1"/>
  <c r="E416" i="7" s="1"/>
  <c r="E417" i="7" s="1"/>
  <c r="E418" i="7" s="1"/>
  <c r="E419" i="7" s="1"/>
  <c r="E420" i="7" s="1"/>
  <c r="E421" i="7" s="1"/>
  <c r="E422" i="7" s="1"/>
  <c r="E423" i="7" s="1"/>
  <c r="E424" i="7" s="1"/>
  <c r="E425" i="7" s="1"/>
  <c r="E426" i="7" s="1"/>
  <c r="E427" i="7" s="1"/>
  <c r="E428" i="7" s="1"/>
  <c r="E429" i="7" s="1"/>
  <c r="E430" i="7" s="1"/>
  <c r="E431" i="7" s="1"/>
  <c r="E432" i="7" s="1"/>
  <c r="E433" i="7" s="1"/>
  <c r="E434" i="7" s="1"/>
  <c r="E435" i="7" s="1"/>
  <c r="E436" i="7" s="1"/>
  <c r="E437" i="7" s="1"/>
  <c r="E438" i="7" s="1"/>
  <c r="E439" i="7" s="1"/>
  <c r="E440" i="7" s="1"/>
  <c r="E441" i="7" s="1"/>
  <c r="E442" i="7" s="1"/>
  <c r="E443" i="7" s="1"/>
  <c r="E444" i="7" s="1"/>
  <c r="E445" i="7" s="1"/>
  <c r="E446" i="7" s="1"/>
  <c r="E447" i="7" s="1"/>
  <c r="E448" i="7" s="1"/>
  <c r="E449" i="7" s="1"/>
  <c r="L1815" i="6"/>
  <c r="L3177" i="6"/>
  <c r="L4280" i="6"/>
  <c r="L7938" i="6"/>
  <c r="L3087" i="6"/>
  <c r="L3434" i="6"/>
  <c r="L4462" i="6"/>
  <c r="L5269" i="6"/>
  <c r="L2466" i="6"/>
  <c r="L3048" i="6"/>
  <c r="K3050" i="6" s="1"/>
  <c r="L3050" i="6" s="1"/>
  <c r="L618" i="6"/>
  <c r="L1230" i="6"/>
  <c r="L5485" i="6"/>
  <c r="L5836" i="6"/>
  <c r="L7433" i="6"/>
  <c r="L7629" i="6"/>
  <c r="L249" i="6"/>
  <c r="L701" i="6"/>
  <c r="L3325" i="6"/>
  <c r="L3851" i="6"/>
  <c r="L3909" i="6"/>
  <c r="L6113" i="6"/>
  <c r="L158" i="6"/>
  <c r="L1668" i="6"/>
  <c r="L3452" i="6"/>
  <c r="L2848" i="6"/>
  <c r="L3555" i="6"/>
  <c r="L3556" i="6" s="1"/>
  <c r="L3570" i="6"/>
  <c r="L1261" i="6"/>
  <c r="L2808" i="6"/>
  <c r="L3711" i="6"/>
  <c r="L4108" i="6"/>
  <c r="L4735" i="6"/>
  <c r="L5593" i="6"/>
  <c r="L6454" i="6"/>
  <c r="L5208" i="6"/>
  <c r="L5213" i="6"/>
  <c r="L5283" i="6"/>
  <c r="L5873" i="6"/>
  <c r="L5449" i="6"/>
  <c r="L5905" i="6"/>
  <c r="L6154" i="6"/>
  <c r="L7490" i="6"/>
  <c r="L4042" i="6"/>
  <c r="L3865" i="6"/>
  <c r="L1586" i="6"/>
  <c r="L1921" i="6"/>
  <c r="L3101" i="6"/>
  <c r="L3289" i="6"/>
  <c r="L3307" i="6"/>
  <c r="L3412" i="6"/>
  <c r="L3705" i="6"/>
  <c r="L4082" i="6"/>
  <c r="L4226" i="6"/>
  <c r="L4346" i="6"/>
  <c r="L4919" i="6"/>
  <c r="L70" i="6"/>
  <c r="L623" i="6"/>
  <c r="L1302" i="6"/>
  <c r="L2282" i="6"/>
  <c r="L2635" i="6"/>
  <c r="L3105" i="6"/>
  <c r="L3159" i="6"/>
  <c r="L3361" i="6"/>
  <c r="L3398" i="6"/>
  <c r="L4122" i="6"/>
  <c r="L4162" i="6"/>
  <c r="L4168" i="6"/>
  <c r="L4246" i="6"/>
  <c r="L4300" i="6"/>
  <c r="L4444" i="6"/>
  <c r="L4731" i="6"/>
  <c r="L4820" i="6"/>
  <c r="L4862" i="6"/>
  <c r="K4864" i="6" s="1"/>
  <c r="L4864" i="6" s="1"/>
  <c r="L4865" i="6" s="1"/>
  <c r="L4973" i="6"/>
  <c r="L5305" i="6"/>
  <c r="L5851" i="6"/>
  <c r="L38" i="6"/>
  <c r="L475" i="6"/>
  <c r="L481" i="6" s="1"/>
  <c r="L677" i="6"/>
  <c r="L723" i="6"/>
  <c r="L758" i="6"/>
  <c r="L840" i="6"/>
  <c r="L2640" i="6"/>
  <c r="L2698" i="6"/>
  <c r="L2717" i="6"/>
  <c r="L3006" i="6"/>
  <c r="L3771" i="6"/>
  <c r="L3948" i="6"/>
  <c r="L4306" i="6"/>
  <c r="L4309" i="6" s="1"/>
  <c r="L4558" i="6"/>
  <c r="L4638" i="6"/>
  <c r="L219" i="6"/>
  <c r="L697" i="6"/>
  <c r="L920" i="6"/>
  <c r="L1275" i="6"/>
  <c r="L2660" i="6"/>
  <c r="L2679" i="6"/>
  <c r="L2794" i="6"/>
  <c r="L2874" i="6"/>
  <c r="L3123" i="6"/>
  <c r="L3209" i="6"/>
  <c r="L3430" i="6"/>
  <c r="L3522" i="6"/>
  <c r="L4028" i="6"/>
  <c r="L4220" i="6"/>
  <c r="L4229" i="6" s="1"/>
  <c r="L4326" i="6"/>
  <c r="L4659" i="6"/>
  <c r="L5413" i="6"/>
  <c r="L5427" i="6"/>
  <c r="L5571" i="6"/>
  <c r="L5759" i="6"/>
  <c r="L7415" i="6"/>
  <c r="L5083" i="6"/>
  <c r="L5377" i="6"/>
  <c r="L5521" i="6"/>
  <c r="L5855" i="6"/>
  <c r="L6015" i="6"/>
  <c r="L6055" i="6"/>
  <c r="L6321" i="6"/>
  <c r="L7203" i="6"/>
  <c r="K7664" i="6"/>
  <c r="L7664" i="6" s="1"/>
  <c r="L7665" i="6" s="1"/>
  <c r="L5142" i="6"/>
  <c r="L5629" i="6"/>
  <c r="L6267" i="6"/>
  <c r="L7260" i="6"/>
  <c r="L7593" i="6"/>
  <c r="L7125" i="6"/>
  <c r="L7429" i="6"/>
  <c r="L7679" i="6"/>
  <c r="L120" i="6"/>
  <c r="L134" i="6"/>
  <c r="L314" i="6"/>
  <c r="L1632" i="6"/>
  <c r="L15" i="6"/>
  <c r="L1354" i="6"/>
  <c r="L254" i="6"/>
  <c r="L233" i="6"/>
  <c r="L266" i="6"/>
  <c r="L272" i="6" s="1"/>
  <c r="L492" i="6"/>
  <c r="L1134" i="6"/>
  <c r="L2300" i="6"/>
  <c r="L2411" i="6"/>
  <c r="L2448" i="6"/>
  <c r="L3233" i="6"/>
  <c r="L3612" i="6"/>
  <c r="L3665" i="6"/>
  <c r="L3685" i="6"/>
  <c r="L62" i="6"/>
  <c r="L202" i="6"/>
  <c r="L542" i="6"/>
  <c r="L585" i="6"/>
  <c r="L599" i="6"/>
  <c r="L663" i="6"/>
  <c r="L743" i="6"/>
  <c r="L906" i="6"/>
  <c r="L1029" i="6"/>
  <c r="L1441" i="6"/>
  <c r="L1572" i="6"/>
  <c r="L2430" i="6"/>
  <c r="L2498" i="6"/>
  <c r="L2505" i="6" s="1"/>
  <c r="L2539" i="6"/>
  <c r="L2547" i="6" s="1"/>
  <c r="L2564" i="6"/>
  <c r="L2674" i="6"/>
  <c r="L176" i="6"/>
  <c r="L181" i="6" s="1"/>
  <c r="L2319" i="6"/>
  <c r="L2731" i="6"/>
  <c r="L2814" i="6"/>
  <c r="L237" i="6"/>
  <c r="L566" i="6"/>
  <c r="L643" i="6"/>
  <c r="L826" i="6"/>
  <c r="L986" i="6"/>
  <c r="L1172" i="6"/>
  <c r="L1318" i="6"/>
  <c r="L1328" i="6"/>
  <c r="L1515" i="6"/>
  <c r="L1868" i="6"/>
  <c r="L2019" i="6"/>
  <c r="L2022" i="6" s="1"/>
  <c r="L2115" i="6"/>
  <c r="L2121" i="6" s="1"/>
  <c r="L2136" i="6"/>
  <c r="L2175" i="6"/>
  <c r="L2296" i="6"/>
  <c r="L2392" i="6"/>
  <c r="L2444" i="6"/>
  <c r="L2462" i="6"/>
  <c r="L2516" i="6"/>
  <c r="L2621" i="6"/>
  <c r="L3745" i="6"/>
  <c r="L2755" i="6"/>
  <c r="L3470" i="6"/>
  <c r="L3572" i="6"/>
  <c r="L3573" i="6" s="1"/>
  <c r="L3765" i="6"/>
  <c r="L3785" i="6"/>
  <c r="L3791" i="6"/>
  <c r="L3825" i="6"/>
  <c r="L4002" i="6"/>
  <c r="L4008" i="6"/>
  <c r="L2954" i="6"/>
  <c r="L4240" i="6"/>
  <c r="L4386" i="6"/>
  <c r="L6173" i="6"/>
  <c r="L3028" i="6"/>
  <c r="L3029" i="6" s="1"/>
  <c r="K3031" i="6" s="1"/>
  <c r="L3031" i="6" s="1"/>
  <c r="L3141" i="6"/>
  <c r="L3731" i="6"/>
  <c r="L3751" i="6"/>
  <c r="L3988" i="6"/>
  <c r="L4062" i="6"/>
  <c r="L4142" i="6"/>
  <c r="L4186" i="6"/>
  <c r="L4266" i="6"/>
  <c r="L5946" i="6"/>
  <c r="L6133" i="6"/>
  <c r="L3271" i="6"/>
  <c r="L3416" i="6"/>
  <c r="L3593" i="6"/>
  <c r="L3651" i="6"/>
  <c r="L3811" i="6"/>
  <c r="L3962" i="6"/>
  <c r="L4068" i="6"/>
  <c r="L4088" i="6"/>
  <c r="L4320" i="6"/>
  <c r="L7318" i="6"/>
  <c r="L4148" i="6"/>
  <c r="L4200" i="6"/>
  <c r="L4360" i="6"/>
  <c r="L4400" i="6"/>
  <c r="L4440" i="6"/>
  <c r="L4518" i="6"/>
  <c r="L4618" i="6"/>
  <c r="L4652" i="6"/>
  <c r="L4802" i="6"/>
  <c r="L4881" i="6"/>
  <c r="K4883" i="6" s="1"/>
  <c r="L4883" i="6" s="1"/>
  <c r="L4884" i="6" s="1"/>
  <c r="L5138" i="6"/>
  <c r="L5395" i="6"/>
  <c r="L5539" i="6"/>
  <c r="L5647" i="6"/>
  <c r="L5780" i="6"/>
  <c r="L5799" i="6"/>
  <c r="L5831" i="6"/>
  <c r="L6416" i="6"/>
  <c r="L6503" i="6"/>
  <c r="L6509" i="6" s="1"/>
  <c r="L7177" i="6"/>
  <c r="L7945" i="6"/>
  <c r="L3928" i="6"/>
  <c r="L4048" i="6"/>
  <c r="L4286" i="6"/>
  <c r="L4426" i="6"/>
  <c r="L4698" i="6"/>
  <c r="L5009" i="6"/>
  <c r="L5341" i="6"/>
  <c r="L5557" i="6"/>
  <c r="L5703" i="6"/>
  <c r="L5721" i="6"/>
  <c r="L5773" i="6"/>
  <c r="L5794" i="6"/>
  <c r="L6037" i="6"/>
  <c r="L6089" i="6"/>
  <c r="L6357" i="6"/>
  <c r="L6730" i="6"/>
  <c r="L7015" i="6"/>
  <c r="L7052" i="6"/>
  <c r="L7088" i="6"/>
  <c r="L7217" i="6"/>
  <c r="L4494" i="6"/>
  <c r="L4538" i="6"/>
  <c r="L4598" i="6"/>
  <c r="L4679" i="6"/>
  <c r="L4717" i="6"/>
  <c r="L5983" i="6"/>
  <c r="L6249" i="6"/>
  <c r="L6285" i="6"/>
  <c r="L6397" i="6"/>
  <c r="L6434" i="6"/>
  <c r="L3890" i="6"/>
  <c r="L4991" i="6"/>
  <c r="L5232" i="6"/>
  <c r="L6192" i="6"/>
  <c r="L6230" i="6"/>
  <c r="L6339" i="6"/>
  <c r="L6377" i="6"/>
  <c r="L6726" i="6"/>
  <c r="L6744" i="6"/>
  <c r="L6766" i="6"/>
  <c r="L6853" i="6"/>
  <c r="L6945" i="6"/>
  <c r="L6981" i="6"/>
  <c r="L7034" i="6"/>
  <c r="L7571" i="6"/>
  <c r="L6709" i="6"/>
  <c r="L6715" i="6" s="1"/>
  <c r="L7184" i="6"/>
  <c r="L7242" i="6"/>
  <c r="L7372" i="6"/>
  <c r="L7379" i="6" s="1"/>
  <c r="L7510" i="6"/>
  <c r="L7549" i="6"/>
  <c r="L7751" i="6"/>
  <c r="L7787" i="6"/>
  <c r="L7465" i="6"/>
  <c r="L7715" i="6"/>
  <c r="L7903" i="6"/>
  <c r="M24" i="9"/>
  <c r="N29" i="9"/>
  <c r="M38" i="9"/>
  <c r="L418" i="6"/>
  <c r="L423" i="6" s="1"/>
  <c r="L980" i="6"/>
  <c r="L1060" i="6"/>
  <c r="L1066" i="6" s="1"/>
  <c r="L1112" i="6"/>
  <c r="L1167" i="6"/>
  <c r="L1283" i="6"/>
  <c r="L1370" i="6"/>
  <c r="L1457" i="6"/>
  <c r="L1486" i="6"/>
  <c r="L1789" i="6"/>
  <c r="L1794" i="6" s="1"/>
  <c r="L2350" i="6"/>
  <c r="L2387" i="6"/>
  <c r="L2616" i="6"/>
  <c r="L24" i="6"/>
  <c r="L89" i="6"/>
  <c r="L820" i="6"/>
  <c r="L144" i="6"/>
  <c r="L192" i="6"/>
  <c r="L321" i="6"/>
  <c r="L390" i="6"/>
  <c r="L395" i="6" s="1"/>
  <c r="L764" i="6"/>
  <c r="L784" i="6"/>
  <c r="L798" i="6"/>
  <c r="L860" i="6"/>
  <c r="L886" i="6"/>
  <c r="L926" i="6"/>
  <c r="L946" i="6"/>
  <c r="L960" i="6"/>
  <c r="L1094" i="6"/>
  <c r="L1130" i="6"/>
  <c r="L1153" i="6"/>
  <c r="L1186" i="6"/>
  <c r="L1216" i="6"/>
  <c r="L1238" i="6"/>
  <c r="L1344" i="6"/>
  <c r="L1470" i="6"/>
  <c r="L1541" i="6"/>
  <c r="L1592" i="6"/>
  <c r="L1612" i="6"/>
  <c r="L1626" i="6"/>
  <c r="L1646" i="6"/>
  <c r="L1723" i="6"/>
  <c r="L1728" i="6" s="1"/>
  <c r="L1738" i="6"/>
  <c r="L1743" i="6" s="1"/>
  <c r="L2067" i="6"/>
  <c r="L2156" i="6"/>
  <c r="L2260" i="6"/>
  <c r="L2266" i="6" s="1"/>
  <c r="L2480" i="6"/>
  <c r="L2487" i="6" s="1"/>
  <c r="L2602" i="6"/>
  <c r="L214" i="6"/>
  <c r="L580" i="6"/>
  <c r="L657" i="6"/>
  <c r="L900" i="6"/>
  <c r="L1023" i="6"/>
  <c r="L1566" i="6"/>
  <c r="L2190" i="6"/>
  <c r="L2209" i="6"/>
  <c r="L2215" i="6" s="1"/>
  <c r="L297" i="6"/>
  <c r="L303" i="6" s="1"/>
  <c r="L362" i="6"/>
  <c r="L367" i="6" s="1"/>
  <c r="L737" i="6"/>
  <c r="L48" i="6"/>
  <c r="L104" i="6"/>
  <c r="L164" i="6"/>
  <c r="L334" i="6"/>
  <c r="L339" i="6" s="1"/>
  <c r="L447" i="6"/>
  <c r="L452" i="6" s="1"/>
  <c r="L497" i="6"/>
  <c r="L509" i="6"/>
  <c r="L515" i="6" s="1"/>
  <c r="L524" i="6"/>
  <c r="L530" i="6" s="1"/>
  <c r="L547" i="6"/>
  <c r="L604" i="6"/>
  <c r="L683" i="6"/>
  <c r="L715" i="6"/>
  <c r="L778" i="6"/>
  <c r="L804" i="6"/>
  <c r="L846" i="6"/>
  <c r="L866" i="6"/>
  <c r="L880" i="6"/>
  <c r="L940" i="6"/>
  <c r="L966" i="6"/>
  <c r="L1007" i="6"/>
  <c r="L1098" i="6"/>
  <c r="L1116" i="6"/>
  <c r="L1194" i="6"/>
  <c r="L1208" i="6"/>
  <c r="L1383" i="6"/>
  <c r="L1412" i="6"/>
  <c r="L1499" i="6"/>
  <c r="L1525" i="6"/>
  <c r="L1551" i="6"/>
  <c r="L1606" i="6"/>
  <c r="L1654" i="6"/>
  <c r="L1674" i="6"/>
  <c r="L1695" i="6"/>
  <c r="L1755" i="6"/>
  <c r="L1760" i="6" s="1"/>
  <c r="L1808" i="6"/>
  <c r="L1861" i="6"/>
  <c r="L1914" i="6"/>
  <c r="L2033" i="6"/>
  <c r="L2036" i="6" s="1"/>
  <c r="L2081" i="6"/>
  <c r="L2086" i="6" s="1"/>
  <c r="L2151" i="6"/>
  <c r="L2243" i="6"/>
  <c r="L2249" i="6" s="1"/>
  <c r="L2523" i="6"/>
  <c r="L2525" i="6" s="1"/>
  <c r="L2583" i="6"/>
  <c r="L2597" i="6"/>
  <c r="L2712" i="6"/>
  <c r="L2654" i="6"/>
  <c r="L2693" i="6"/>
  <c r="L2750" i="6"/>
  <c r="L2987" i="6"/>
  <c r="L3083" i="6"/>
  <c r="L3191" i="6"/>
  <c r="L3339" i="6"/>
  <c r="L3466" i="6"/>
  <c r="L3536" i="6"/>
  <c r="L3542" i="6" s="1"/>
  <c r="L3885" i="6"/>
  <c r="L3942" i="6"/>
  <c r="L376" i="6"/>
  <c r="L381" i="6" s="1"/>
  <c r="L432" i="6"/>
  <c r="L437" i="6" s="1"/>
  <c r="L561" i="6"/>
  <c r="L637" i="6"/>
  <c r="L1077" i="6"/>
  <c r="L1083" i="6" s="1"/>
  <c r="L1708" i="6"/>
  <c r="L1713" i="6" s="1"/>
  <c r="L1772" i="6"/>
  <c r="L1777" i="6" s="1"/>
  <c r="L2046" i="6"/>
  <c r="L2051" i="6" s="1"/>
  <c r="L2406" i="6"/>
  <c r="L2788" i="6"/>
  <c r="L2834" i="6"/>
  <c r="L2894" i="6"/>
  <c r="L2992" i="6"/>
  <c r="L3011" i="6"/>
  <c r="L3155" i="6"/>
  <c r="L3214" i="6"/>
  <c r="L3252" i="6"/>
  <c r="L3303" i="6"/>
  <c r="L3357" i="6"/>
  <c r="L3380" i="6"/>
  <c r="L3394" i="6"/>
  <c r="L3501" i="6"/>
  <c r="L3507" i="6" s="1"/>
  <c r="L3671" i="6"/>
  <c r="L3831" i="6"/>
  <c r="L4022" i="6"/>
  <c r="L4128" i="6"/>
  <c r="L4260" i="6"/>
  <c r="L1252" i="6"/>
  <c r="L1297" i="6"/>
  <c r="L1399" i="6"/>
  <c r="L1688" i="6"/>
  <c r="L2062" i="6"/>
  <c r="L2098" i="6"/>
  <c r="L2104" i="6" s="1"/>
  <c r="L2132" i="6"/>
  <c r="L2277" i="6"/>
  <c r="L2314" i="6"/>
  <c r="L2425" i="6"/>
  <c r="L2559" i="6"/>
  <c r="L2828" i="6"/>
  <c r="L2854" i="6"/>
  <c r="L2868" i="6"/>
  <c r="L2914" i="6"/>
  <c r="L2928" i="6"/>
  <c r="L2973" i="6"/>
  <c r="L3025" i="6"/>
  <c r="L3044" i="6"/>
  <c r="L3065" i="6"/>
  <c r="L3228" i="6"/>
  <c r="L3553" i="6"/>
  <c r="L3725" i="6"/>
  <c r="L4102" i="6"/>
  <c r="L4206" i="6"/>
  <c r="L4366" i="6"/>
  <c r="L4380" i="6"/>
  <c r="L84" i="6"/>
  <c r="L281" i="6"/>
  <c r="L286" i="6" s="1"/>
  <c r="L348" i="6"/>
  <c r="L353" i="6" s="1"/>
  <c r="L404" i="6"/>
  <c r="L409" i="6" s="1"/>
  <c r="L461" i="6"/>
  <c r="L466" i="6" s="1"/>
  <c r="L1000" i="6"/>
  <c r="L1043" i="6"/>
  <c r="L1049" i="6" s="1"/>
  <c r="L1148" i="6"/>
  <c r="L1428" i="6"/>
  <c r="L2170" i="6"/>
  <c r="L2226" i="6"/>
  <c r="L2232" i="6" s="1"/>
  <c r="L2333" i="6"/>
  <c r="L2339" i="6" s="1"/>
  <c r="L2368" i="6"/>
  <c r="L2578" i="6"/>
  <c r="L2736" i="6"/>
  <c r="L2774" i="6"/>
  <c r="L2888" i="6"/>
  <c r="L2908" i="6"/>
  <c r="L2934" i="6"/>
  <c r="L2948" i="6"/>
  <c r="L3069" i="6"/>
  <c r="L3119" i="6"/>
  <c r="L3137" i="6"/>
  <c r="L3173" i="6"/>
  <c r="L3195" i="6"/>
  <c r="L3266" i="6"/>
  <c r="L3285" i="6"/>
  <c r="L3321" i="6"/>
  <c r="L3343" i="6"/>
  <c r="L3448" i="6"/>
  <c r="L3518" i="6"/>
  <c r="L3631" i="6"/>
  <c r="L3645" i="6"/>
  <c r="L3691" i="6"/>
  <c r="L3805" i="6"/>
  <c r="L3845" i="6"/>
  <c r="L3871" i="6"/>
  <c r="L3968" i="6"/>
  <c r="L3982" i="6"/>
  <c r="L4182" i="6"/>
  <c r="L4340" i="6"/>
  <c r="L4406" i="6"/>
  <c r="L4896" i="6"/>
  <c r="L5059" i="6"/>
  <c r="L5079" i="6"/>
  <c r="L5157" i="6"/>
  <c r="L5163" i="6" s="1"/>
  <c r="L5174" i="6"/>
  <c r="L5180" i="6" s="1"/>
  <c r="L5227" i="6"/>
  <c r="L5265" i="6"/>
  <c r="L5301" i="6"/>
  <c r="L5409" i="6"/>
  <c r="L5445" i="6"/>
  <c r="L5553" i="6"/>
  <c r="L5589" i="6"/>
  <c r="L5755" i="6"/>
  <c r="L5941" i="6"/>
  <c r="L6881" i="6"/>
  <c r="L6887" i="6" s="1"/>
  <c r="L6976" i="6"/>
  <c r="L7198" i="6"/>
  <c r="L3588" i="6"/>
  <c r="L4512" i="6"/>
  <c r="L4552" i="6"/>
  <c r="L4592" i="6"/>
  <c r="L4632" i="6"/>
  <c r="L4673" i="6"/>
  <c r="L4767" i="6"/>
  <c r="L4773" i="6" s="1"/>
  <c r="L4788" i="6"/>
  <c r="L4806" i="6"/>
  <c r="L4824" i="6"/>
  <c r="K4826" i="6" s="1"/>
  <c r="L4826" i="6" s="1"/>
  <c r="L4827" i="6" s="1"/>
  <c r="L4839" i="6"/>
  <c r="L4900" i="6"/>
  <c r="L4915" i="6"/>
  <c r="L4933" i="6"/>
  <c r="L4951" i="6"/>
  <c r="L5027" i="6"/>
  <c r="L5065" i="6"/>
  <c r="L5287" i="6"/>
  <c r="L5319" i="6"/>
  <c r="L5431" i="6"/>
  <c r="L5463" i="6"/>
  <c r="L5575" i="6"/>
  <c r="L5607" i="6"/>
  <c r="L5739" i="6"/>
  <c r="L5817" i="6"/>
  <c r="L6624" i="6"/>
  <c r="L6630" i="6" s="1"/>
  <c r="L6641" i="6"/>
  <c r="L6647" i="6" s="1"/>
  <c r="L6866" i="6"/>
  <c r="L6872" i="6" s="1"/>
  <c r="L7029" i="6"/>
  <c r="L7157" i="6"/>
  <c r="L2769" i="6"/>
  <c r="L2968" i="6"/>
  <c r="L3247" i="6"/>
  <c r="L3607" i="6"/>
  <c r="L3904" i="6"/>
  <c r="L4458" i="6"/>
  <c r="L4480" i="6"/>
  <c r="L4498" i="6"/>
  <c r="L4572" i="6"/>
  <c r="L4693" i="6"/>
  <c r="L4712" i="6"/>
  <c r="L4753" i="6"/>
  <c r="L4784" i="6"/>
  <c r="L4843" i="6"/>
  <c r="K4845" i="6" s="1"/>
  <c r="L4845" i="6" s="1"/>
  <c r="L4846" i="6" s="1"/>
  <c r="L4858" i="6"/>
  <c r="L4937" i="6"/>
  <c r="L4969" i="6"/>
  <c r="L5246" i="6"/>
  <c r="L5323" i="6"/>
  <c r="L5337" i="6"/>
  <c r="L5355" i="6"/>
  <c r="L5373" i="6"/>
  <c r="L5467" i="6"/>
  <c r="L5481" i="6"/>
  <c r="L5499" i="6"/>
  <c r="L5517" i="6"/>
  <c r="L5611" i="6"/>
  <c r="L5625" i="6"/>
  <c r="L5679" i="6"/>
  <c r="L6448" i="6"/>
  <c r="L6849" i="6"/>
  <c r="L3375" i="6"/>
  <c r="L3484" i="6"/>
  <c r="L3490" i="6" s="1"/>
  <c r="L3626" i="6"/>
  <c r="L3923" i="6"/>
  <c r="L4420" i="6"/>
  <c r="L4476" i="6"/>
  <c r="L4532" i="6"/>
  <c r="L4578" i="6"/>
  <c r="L4612" i="6"/>
  <c r="L4749" i="6"/>
  <c r="L4877" i="6"/>
  <c r="L4955" i="6"/>
  <c r="L4987" i="6"/>
  <c r="L5005" i="6"/>
  <c r="L5023" i="6"/>
  <c r="L5191" i="6"/>
  <c r="L5197" i="6" s="1"/>
  <c r="L5251" i="6"/>
  <c r="L5359" i="6"/>
  <c r="L5391" i="6"/>
  <c r="L5503" i="6"/>
  <c r="L5535" i="6"/>
  <c r="L5643" i="6"/>
  <c r="L5665" i="6"/>
  <c r="L5683" i="6"/>
  <c r="L5697" i="6"/>
  <c r="L5717" i="6"/>
  <c r="L5735" i="6"/>
  <c r="L5869" i="6"/>
  <c r="L5965" i="6"/>
  <c r="L6335" i="6"/>
  <c r="L6430" i="6"/>
  <c r="L6554" i="6"/>
  <c r="L6560" i="6" s="1"/>
  <c r="L7083" i="6"/>
  <c r="L7278" i="6"/>
  <c r="L7279" i="6" s="1"/>
  <c r="K7279" i="6"/>
  <c r="K7610" i="6"/>
  <c r="L7610" i="6" s="1"/>
  <c r="L7769" i="6"/>
  <c r="L5661" i="6"/>
  <c r="L5979" i="6"/>
  <c r="L6075" i="6"/>
  <c r="L6187" i="6"/>
  <c r="L6411" i="6"/>
  <c r="L6486" i="6"/>
  <c r="L6492" i="6" s="1"/>
  <c r="L6780" i="6"/>
  <c r="L6832" i="6"/>
  <c r="L6838" i="6" s="1"/>
  <c r="L6959" i="6"/>
  <c r="L6965" i="6" s="1"/>
  <c r="L7048" i="6"/>
  <c r="L7066" i="6"/>
  <c r="L7072" i="6" s="1"/>
  <c r="L7121" i="6"/>
  <c r="L7143" i="6"/>
  <c r="L7298" i="6"/>
  <c r="L7390" i="6"/>
  <c r="K7450" i="6"/>
  <c r="L7450" i="6" s="1"/>
  <c r="L7451" i="6" s="1"/>
  <c r="K7718" i="6"/>
  <c r="L7718" i="6" s="1"/>
  <c r="L5909" i="6"/>
  <c r="L6019" i="6"/>
  <c r="L6033" i="6"/>
  <c r="L6127" i="6"/>
  <c r="L6168" i="6"/>
  <c r="L6211" i="6"/>
  <c r="L6281" i="6"/>
  <c r="L6317" i="6"/>
  <c r="L6590" i="6"/>
  <c r="L6596" i="6" s="1"/>
  <c r="L6748" i="6"/>
  <c r="L6798" i="6"/>
  <c r="L6804" i="6" s="1"/>
  <c r="L6896" i="6"/>
  <c r="L6902" i="6" s="1"/>
  <c r="L7224" i="6"/>
  <c r="L7256" i="6"/>
  <c r="L7312" i="6"/>
  <c r="L7352" i="6"/>
  <c r="K7646" i="6"/>
  <c r="L7646" i="6" s="1"/>
  <c r="L7647" i="6" s="1"/>
  <c r="K7736" i="6"/>
  <c r="L7736" i="6" s="1"/>
  <c r="L7737" i="6" s="1"/>
  <c r="L5813" i="6"/>
  <c r="L5887" i="6"/>
  <c r="L5891" i="6"/>
  <c r="L5923" i="6"/>
  <c r="L5929" i="6" s="1"/>
  <c r="L6001" i="6"/>
  <c r="L6051" i="6"/>
  <c r="L6095" i="6"/>
  <c r="L6109" i="6"/>
  <c r="L6263" i="6"/>
  <c r="L6303" i="6"/>
  <c r="L6353" i="6"/>
  <c r="L6391" i="6"/>
  <c r="L6572" i="6"/>
  <c r="L6578" i="6" s="1"/>
  <c r="L6692" i="6"/>
  <c r="L6698" i="6" s="1"/>
  <c r="L6762" i="6"/>
  <c r="L6784" i="6"/>
  <c r="L6922" i="6"/>
  <c r="L6936" i="6"/>
  <c r="L7010" i="6"/>
  <c r="L7107" i="6"/>
  <c r="L7139" i="6"/>
  <c r="L7238" i="6"/>
  <c r="K7337" i="6"/>
  <c r="L7337" i="6" s="1"/>
  <c r="L7338" i="6" s="1"/>
  <c r="K7393" i="6"/>
  <c r="L7393" i="6" s="1"/>
  <c r="L7394" i="6" s="1"/>
  <c r="K7471" i="6"/>
  <c r="L7471" i="6" s="1"/>
  <c r="L7472" i="6" s="1"/>
  <c r="L7504" i="6"/>
  <c r="L7773" i="6"/>
  <c r="L5960" i="6"/>
  <c r="L5997" i="6"/>
  <c r="L6069" i="6"/>
  <c r="L6147" i="6"/>
  <c r="L6225" i="6"/>
  <c r="L6299" i="6"/>
  <c r="L6371" i="6"/>
  <c r="L6520" i="6"/>
  <c r="L6526" i="6" s="1"/>
  <c r="L6658" i="6"/>
  <c r="L6664" i="6" s="1"/>
  <c r="L7447" i="6"/>
  <c r="L7486" i="6"/>
  <c r="L7541" i="6"/>
  <c r="L7563" i="6"/>
  <c r="L7585" i="6"/>
  <c r="L7607" i="6"/>
  <c r="L7625" i="6"/>
  <c r="L7643" i="6"/>
  <c r="L7661" i="6"/>
  <c r="K7682" i="6"/>
  <c r="L7682" i="6" s="1"/>
  <c r="L7683" i="6" s="1"/>
  <c r="L7733" i="6"/>
  <c r="K7826" i="6"/>
  <c r="L7826" i="6" s="1"/>
  <c r="L7827" i="6" s="1"/>
  <c r="L7859" i="6"/>
  <c r="L6244" i="6"/>
  <c r="L6469" i="6"/>
  <c r="L6475" i="6" s="1"/>
  <c r="L6537" i="6"/>
  <c r="L6543" i="6" s="1"/>
  <c r="L6607" i="6"/>
  <c r="L6613" i="6" s="1"/>
  <c r="L6675" i="6"/>
  <c r="L6681" i="6" s="1"/>
  <c r="L6815" i="6"/>
  <c r="L6821" i="6" s="1"/>
  <c r="L6913" i="6"/>
  <c r="L6993" i="6"/>
  <c r="L6999" i="6" s="1"/>
  <c r="K7357" i="6"/>
  <c r="L7357" i="6" s="1"/>
  <c r="L7358" i="6" s="1"/>
  <c r="L7524" i="6"/>
  <c r="L7530" i="6" s="1"/>
  <c r="L7697" i="6"/>
  <c r="L7704" i="6" s="1"/>
  <c r="L7791" i="6"/>
  <c r="L7805" i="6"/>
  <c r="L7812" i="6" s="1"/>
  <c r="L7845" i="6"/>
  <c r="L7883" i="6"/>
  <c r="L7897" i="6"/>
  <c r="L7917" i="6"/>
  <c r="L7924" i="6"/>
  <c r="L7275" i="6"/>
  <c r="L7293" i="6"/>
  <c r="L7332" i="6"/>
  <c r="L7408" i="6"/>
  <c r="K7754" i="6"/>
  <c r="L7754" i="6" s="1"/>
  <c r="L7755" i="6" s="1"/>
  <c r="L7823" i="6"/>
  <c r="L7877" i="6"/>
  <c r="L7841" i="6"/>
  <c r="K7862" i="6"/>
  <c r="L7862" i="6" s="1"/>
  <c r="L7863" i="6" s="1"/>
  <c r="L7341" i="6" l="1"/>
  <c r="L4071" i="6"/>
  <c r="L6400" i="6"/>
  <c r="L6380" i="6"/>
  <c r="L6381" i="6" s="1"/>
  <c r="L6382" i="6" s="1"/>
  <c r="M6364" i="6" s="1"/>
  <c r="J358" i="7" s="1"/>
  <c r="L6136" i="6"/>
  <c r="L5650" i="6"/>
  <c r="K91" i="4"/>
  <c r="L91" i="4" s="1"/>
  <c r="L646" i="6"/>
  <c r="L647" i="6" s="1"/>
  <c r="L648" i="6" s="1"/>
  <c r="M630" i="6" s="1"/>
  <c r="J46" i="7" s="1"/>
  <c r="L1677" i="6"/>
  <c r="L5762" i="6"/>
  <c r="L5763" i="6" s="1"/>
  <c r="L5764" i="6" s="1"/>
  <c r="M5748" i="6" s="1"/>
  <c r="J323" i="7" s="1"/>
  <c r="L3525" i="6"/>
  <c r="L3526" i="6" s="1"/>
  <c r="L3527" i="6" s="1"/>
  <c r="M3511" i="6" s="1"/>
  <c r="J199" i="7" s="1"/>
  <c r="L3912" i="6"/>
  <c r="L3913" i="6" s="1"/>
  <c r="L3914" i="6" s="1"/>
  <c r="M3897" i="6" s="1"/>
  <c r="J221" i="7" s="1"/>
  <c r="L4828" i="6"/>
  <c r="L7418" i="6"/>
  <c r="L7419" i="6" s="1"/>
  <c r="L7420" i="6" s="1"/>
  <c r="M7401" i="6" s="1"/>
  <c r="J421" i="7" s="1"/>
  <c r="L4091" i="6"/>
  <c r="L73" i="6"/>
  <c r="L74" i="6" s="1"/>
  <c r="L75" i="6" s="1"/>
  <c r="M55" i="6" s="1"/>
  <c r="J9" i="7" s="1"/>
  <c r="L8006" i="6"/>
  <c r="L8013" i="6" s="1"/>
  <c r="L8014" i="6" s="1"/>
  <c r="L8015" i="6" s="1"/>
  <c r="M7999" i="6" s="1"/>
  <c r="J455" i="7" s="1"/>
  <c r="I80" i="11" s="1"/>
  <c r="J80" i="11" s="1"/>
  <c r="J48" i="4"/>
  <c r="I44" i="12"/>
  <c r="H45" i="11"/>
  <c r="J44" i="4"/>
  <c r="I40" i="12"/>
  <c r="H41" i="11"/>
  <c r="L7794" i="6"/>
  <c r="L7795" i="6" s="1"/>
  <c r="L7796" i="6" s="1"/>
  <c r="M7780" i="6" s="1"/>
  <c r="J441" i="7" s="1"/>
  <c r="L5434" i="6"/>
  <c r="L607" i="6"/>
  <c r="L2857" i="6"/>
  <c r="L2858" i="6" s="1"/>
  <c r="L2859" i="6" s="1"/>
  <c r="M2841" i="6" s="1"/>
  <c r="J161" i="7" s="1"/>
  <c r="L7686" i="6"/>
  <c r="L7687" i="6" s="1"/>
  <c r="L7688" i="6" s="1"/>
  <c r="M7672" i="6" s="1"/>
  <c r="J435" i="7" s="1"/>
  <c r="L3834" i="6"/>
  <c r="J82" i="12"/>
  <c r="K82" i="12" s="1"/>
  <c r="I83" i="11"/>
  <c r="J83" i="11" s="1"/>
  <c r="L8024" i="6"/>
  <c r="L8031" i="6" s="1"/>
  <c r="L8032" i="6" s="1"/>
  <c r="L8033" i="6" s="1"/>
  <c r="M8017" i="6" s="1"/>
  <c r="J456" i="7" s="1"/>
  <c r="K89" i="4" s="1"/>
  <c r="L5041" i="6"/>
  <c r="L5048" i="6" s="1"/>
  <c r="L5049" i="6" s="1"/>
  <c r="L5050" i="6" s="1"/>
  <c r="M5034" i="6" s="1"/>
  <c r="J282" i="7" s="1"/>
  <c r="K58" i="4" s="1"/>
  <c r="L7948" i="6"/>
  <c r="L7949" i="6" s="1"/>
  <c r="L7950" i="6" s="1"/>
  <c r="M7931" i="6" s="1"/>
  <c r="J449" i="7" s="1"/>
  <c r="L5117" i="6"/>
  <c r="L5127" i="6" s="1"/>
  <c r="L5128" i="6" s="1"/>
  <c r="L5129" i="6" s="1"/>
  <c r="M5110" i="6" s="1"/>
  <c r="J286" i="7" s="1"/>
  <c r="L8042" i="6"/>
  <c r="L8049" i="6" s="1"/>
  <c r="L8050" i="6" s="1"/>
  <c r="L8051" i="6" s="1"/>
  <c r="M8035" i="6" s="1"/>
  <c r="J457" i="7" s="1"/>
  <c r="L3419" i="6"/>
  <c r="L5099" i="6"/>
  <c r="L5106" i="6" s="1"/>
  <c r="L5107" i="6" s="1"/>
  <c r="L5108" i="6" s="1"/>
  <c r="M5092" i="6" s="1"/>
  <c r="J285" i="7" s="1"/>
  <c r="I52" i="11" s="1"/>
  <c r="L7982" i="6"/>
  <c r="L7995" i="6" s="1"/>
  <c r="L7996" i="6" s="1"/>
  <c r="L7997" i="6" s="1"/>
  <c r="M7975" i="6" s="1"/>
  <c r="M39" i="9"/>
  <c r="K1908" i="6"/>
  <c r="L1908" i="6" s="1"/>
  <c r="K1855" i="6"/>
  <c r="L1855" i="6" s="1"/>
  <c r="K1802" i="6"/>
  <c r="L1802" i="6" s="1"/>
  <c r="K1963" i="6"/>
  <c r="L1963" i="6" s="1"/>
  <c r="L1964" i="6" s="1"/>
  <c r="L1971" i="6" s="1"/>
  <c r="L1972" i="6" s="1"/>
  <c r="L1973" i="6" s="1"/>
  <c r="M1957" i="6" s="1"/>
  <c r="J109" i="7" s="1"/>
  <c r="K1999" i="6"/>
  <c r="L1999" i="6" s="1"/>
  <c r="L2000" i="6" s="1"/>
  <c r="L2007" i="6" s="1"/>
  <c r="K1981" i="6"/>
  <c r="L1981" i="6" s="1"/>
  <c r="L1982" i="6" s="1"/>
  <c r="L1989" i="6" s="1"/>
  <c r="L1990" i="6" s="1"/>
  <c r="L1991" i="6" s="1"/>
  <c r="M1975" i="6" s="1"/>
  <c r="J110" i="7" s="1"/>
  <c r="E453" i="7"/>
  <c r="E454" i="7" s="1"/>
  <c r="E455" i="7" s="1"/>
  <c r="E456" i="7" s="1"/>
  <c r="E457" i="7" s="1"/>
  <c r="E458" i="7" s="1"/>
  <c r="L4738" i="6"/>
  <c r="L4739" i="6" s="1"/>
  <c r="L4740" i="6" s="1"/>
  <c r="M4724" i="6" s="1"/>
  <c r="J263" i="7" s="1"/>
  <c r="L7830" i="6"/>
  <c r="L257" i="6"/>
  <c r="L258" i="6" s="1"/>
  <c r="L259" i="6" s="1"/>
  <c r="M244" i="6" s="1"/>
  <c r="J18" i="7" s="1"/>
  <c r="L4051" i="6"/>
  <c r="L4052" i="6" s="1"/>
  <c r="L4053" i="6" s="1"/>
  <c r="M4035" i="6" s="1"/>
  <c r="J228" i="7" s="1"/>
  <c r="L6751" i="6"/>
  <c r="L6752" i="6" s="1"/>
  <c r="L6753" i="6" s="1"/>
  <c r="M6737" i="6" s="1"/>
  <c r="J381" i="7" s="1"/>
  <c r="L2739" i="6"/>
  <c r="L3674" i="6"/>
  <c r="L3675" i="6" s="1"/>
  <c r="L3676" i="6" s="1"/>
  <c r="M3658" i="6" s="1"/>
  <c r="J209" i="7" s="1"/>
  <c r="L849" i="6"/>
  <c r="L850" i="6" s="1"/>
  <c r="L851" i="6" s="1"/>
  <c r="M833" i="6" s="1"/>
  <c r="J58" i="7" s="1"/>
  <c r="L4409" i="6"/>
  <c r="L4410" i="6" s="1"/>
  <c r="L4411" i="6" s="1"/>
  <c r="M4393" i="6" s="1"/>
  <c r="J246" i="7" s="1"/>
  <c r="L3014" i="6"/>
  <c r="L27" i="6"/>
  <c r="L3971" i="6"/>
  <c r="L3972" i="6" s="1"/>
  <c r="L3973" i="6" s="1"/>
  <c r="M3955" i="6" s="1"/>
  <c r="J224" i="7" s="1"/>
  <c r="L4501" i="6"/>
  <c r="L4502" i="6" s="1"/>
  <c r="L4503" i="6" s="1"/>
  <c r="M4487" i="6" s="1"/>
  <c r="J251" i="7" s="1"/>
  <c r="L5578" i="6"/>
  <c r="J453" i="7"/>
  <c r="L6360" i="6"/>
  <c r="L6361" i="6" s="1"/>
  <c r="L6362" i="6" s="1"/>
  <c r="M6346" i="6" s="1"/>
  <c r="J357" i="7" s="1"/>
  <c r="L2469" i="6"/>
  <c r="L2470" i="6" s="1"/>
  <c r="L2471" i="6" s="1"/>
  <c r="M2455" i="6" s="1"/>
  <c r="J139" i="7" s="1"/>
  <c r="K56" i="4" s="1"/>
  <c r="L704" i="6"/>
  <c r="L5488" i="6"/>
  <c r="L5489" i="6" s="1"/>
  <c r="L5490" i="6" s="1"/>
  <c r="M5474" i="6" s="1"/>
  <c r="J308" i="7" s="1"/>
  <c r="L5272" i="6"/>
  <c r="L5273" i="6" s="1"/>
  <c r="L5274" i="6" s="1"/>
  <c r="M5258" i="6" s="1"/>
  <c r="J296" i="7" s="1"/>
  <c r="L5876" i="6"/>
  <c r="L5877" i="6" s="1"/>
  <c r="L5878" i="6" s="1"/>
  <c r="M5862" i="6" s="1"/>
  <c r="J329" i="7" s="1"/>
  <c r="L3144" i="6"/>
  <c r="L2877" i="6"/>
  <c r="L2878" i="6" s="1"/>
  <c r="L2879" i="6" s="1"/>
  <c r="M2861" i="6" s="1"/>
  <c r="J162" i="7" s="1"/>
  <c r="L2433" i="6"/>
  <c r="L2434" i="6" s="1"/>
  <c r="L2435" i="6" s="1"/>
  <c r="M2418" i="6" s="1"/>
  <c r="J137" i="7" s="1"/>
  <c r="L7596" i="6"/>
  <c r="L7597" i="6" s="1"/>
  <c r="L7598" i="6" s="1"/>
  <c r="M7578" i="6" s="1"/>
  <c r="J430" i="7" s="1"/>
  <c r="E181" i="8"/>
  <c r="E182" i="8" s="1"/>
  <c r="E183" i="8" s="1"/>
  <c r="E184" i="8" s="1"/>
  <c r="E185" i="8" s="1"/>
  <c r="E186" i="8" s="1"/>
  <c r="E187" i="8" s="1"/>
  <c r="E188" i="8" s="1"/>
  <c r="E189" i="8" s="1"/>
  <c r="E190" i="8" s="1"/>
  <c r="E191" i="8" s="1"/>
  <c r="E192" i="8" s="1"/>
  <c r="E193" i="8" s="1"/>
  <c r="E194" i="8" s="1"/>
  <c r="E195" i="8" s="1"/>
  <c r="E196" i="8" s="1"/>
  <c r="E197" i="8" s="1"/>
  <c r="E198" i="8" s="1"/>
  <c r="E199" i="8" s="1"/>
  <c r="E200" i="8" s="1"/>
  <c r="E201" i="8" s="1"/>
  <c r="E202" i="8" s="1"/>
  <c r="E203" i="8" s="1"/>
  <c r="E204" i="8" s="1"/>
  <c r="E205" i="8" s="1"/>
  <c r="E206" i="8" s="1"/>
  <c r="E207" i="8" s="1"/>
  <c r="E208" i="8" s="1"/>
  <c r="E209" i="8" s="1"/>
  <c r="E210" i="8" s="1"/>
  <c r="E211" i="8" s="1"/>
  <c r="L626" i="6"/>
  <c r="L627" i="6" s="1"/>
  <c r="L628" i="6" s="1"/>
  <c r="M611" i="6" s="1"/>
  <c r="J45" i="7" s="1"/>
  <c r="L4885" i="6"/>
  <c r="L4886" i="6" s="1"/>
  <c r="L4887" i="6" s="1"/>
  <c r="M4870" i="6" s="1"/>
  <c r="J271" i="7" s="1"/>
  <c r="L7018" i="6"/>
  <c r="L7019" i="6" s="1"/>
  <c r="L7020" i="6" s="1"/>
  <c r="M7003" i="6" s="1"/>
  <c r="J398" i="7" s="1"/>
  <c r="L6040" i="6"/>
  <c r="L6041" i="6" s="1"/>
  <c r="L6042" i="6" s="1"/>
  <c r="M6026" i="6" s="1"/>
  <c r="J340" i="7" s="1"/>
  <c r="K65" i="4" s="1"/>
  <c r="L6419" i="6"/>
  <c r="L6420" i="6" s="1"/>
  <c r="L6421" i="6" s="1"/>
  <c r="M6404" i="6" s="1"/>
  <c r="J360" i="7" s="1"/>
  <c r="L3437" i="6"/>
  <c r="L5783" i="6"/>
  <c r="L5784" i="6" s="1"/>
  <c r="L5785" i="6" s="1"/>
  <c r="M5766" i="6" s="1"/>
  <c r="J324" i="7" s="1"/>
  <c r="L3714" i="6"/>
  <c r="L3715" i="6" s="1"/>
  <c r="L3716" i="6" s="1"/>
  <c r="M3698" i="6" s="1"/>
  <c r="J211" i="7" s="1"/>
  <c r="L3991" i="6"/>
  <c r="L3992" i="6" s="1"/>
  <c r="L3993" i="6" s="1"/>
  <c r="M3975" i="6" s="1"/>
  <c r="J225" i="7" s="1"/>
  <c r="L3033" i="6"/>
  <c r="L3034" i="6" s="1"/>
  <c r="L3035" i="6" s="1"/>
  <c r="M3018" i="6" s="1"/>
  <c r="J170" i="7" s="1"/>
  <c r="L4269" i="6"/>
  <c r="L4270" i="6" s="1"/>
  <c r="L4271" i="6" s="1"/>
  <c r="M4253" i="6" s="1"/>
  <c r="J239" i="7" s="1"/>
  <c r="K70" i="4" s="1"/>
  <c r="L7091" i="6"/>
  <c r="L7092" i="6" s="1"/>
  <c r="L7093" i="6" s="1"/>
  <c r="M7076" i="6" s="1"/>
  <c r="J402" i="7" s="1"/>
  <c r="L4976" i="6"/>
  <c r="L4977" i="6" s="1"/>
  <c r="L4978" i="6" s="1"/>
  <c r="M4962" i="6" s="1"/>
  <c r="J278" i="7" s="1"/>
  <c r="L4561" i="6"/>
  <c r="L4562" i="6" s="1"/>
  <c r="L4563" i="6" s="1"/>
  <c r="M4545" i="6" s="1"/>
  <c r="J254" i="7" s="1"/>
  <c r="L7321" i="6"/>
  <c r="L7322" i="6" s="1"/>
  <c r="L7323" i="6" s="1"/>
  <c r="M7305" i="6" s="1"/>
  <c r="J416" i="7" s="1"/>
  <c r="L6252" i="6"/>
  <c r="L6253" i="6" s="1"/>
  <c r="L6254" i="6" s="1"/>
  <c r="M6237" i="6" s="1"/>
  <c r="J351" i="7" s="1"/>
  <c r="L6233" i="6"/>
  <c r="L6234" i="6" s="1"/>
  <c r="L6235" i="6" s="1"/>
  <c r="M6218" i="6" s="1"/>
  <c r="J350" i="7" s="1"/>
  <c r="L6058" i="6"/>
  <c r="L6059" i="6" s="1"/>
  <c r="L6060" i="6" s="1"/>
  <c r="M6044" i="6" s="1"/>
  <c r="J341" i="7" s="1"/>
  <c r="L5344" i="6"/>
  <c r="L5345" i="6" s="1"/>
  <c r="L5346" i="6" s="1"/>
  <c r="M5330" i="6" s="1"/>
  <c r="J300" i="7" s="1"/>
  <c r="L6984" i="6"/>
  <c r="L1305" i="6"/>
  <c r="L1306" i="6" s="1"/>
  <c r="L1307" i="6" s="1"/>
  <c r="M1290" i="6" s="1"/>
  <c r="J81" i="7" s="1"/>
  <c r="L3162" i="6"/>
  <c r="L3163" i="6" s="1"/>
  <c r="L3164" i="6" s="1"/>
  <c r="M3148" i="6" s="1"/>
  <c r="J179" i="7" s="1"/>
  <c r="L3893" i="6"/>
  <c r="L3894" i="6" s="1"/>
  <c r="L3895" i="6" s="1"/>
  <c r="M3878" i="6" s="1"/>
  <c r="J220" i="7" s="1"/>
  <c r="L5145" i="6"/>
  <c r="L5146" i="6" s="1"/>
  <c r="L5147" i="6" s="1"/>
  <c r="M5131" i="6" s="1"/>
  <c r="L7436" i="6"/>
  <c r="L7437" i="6" s="1"/>
  <c r="L7438" i="6" s="1"/>
  <c r="M7422" i="6" s="1"/>
  <c r="J422" i="7" s="1"/>
  <c r="L6157" i="6"/>
  <c r="L6158" i="6" s="1"/>
  <c r="L6159" i="6" s="1"/>
  <c r="M6140" i="6" s="1"/>
  <c r="J346" i="7" s="1"/>
  <c r="L4349" i="6"/>
  <c r="L4350" i="6" s="1"/>
  <c r="L4351" i="6" s="1"/>
  <c r="M4333" i="6" s="1"/>
  <c r="J243" i="7" s="1"/>
  <c r="L4111" i="6"/>
  <c r="L4112" i="6" s="1"/>
  <c r="L4113" i="6" s="1"/>
  <c r="M4095" i="6" s="1"/>
  <c r="J231" i="7" s="1"/>
  <c r="L2797" i="6"/>
  <c r="L2798" i="6" s="1"/>
  <c r="L2799" i="6" s="1"/>
  <c r="M2781" i="6" s="1"/>
  <c r="J158" i="7" s="1"/>
  <c r="L1575" i="6"/>
  <c r="L1576" i="6" s="1"/>
  <c r="L1577" i="6" s="1"/>
  <c r="M1559" i="6" s="1"/>
  <c r="J93" i="7" s="1"/>
  <c r="L5398" i="6"/>
  <c r="L5399" i="6" s="1"/>
  <c r="L5400" i="6" s="1"/>
  <c r="M5384" i="6" s="1"/>
  <c r="J303" i="7" s="1"/>
  <c r="L5380" i="6"/>
  <c r="L5381" i="6" s="1"/>
  <c r="L5382" i="6" s="1"/>
  <c r="M5366" i="6" s="1"/>
  <c r="J302" i="7" s="1"/>
  <c r="L4601" i="6"/>
  <c r="L4602" i="6" s="1"/>
  <c r="L4603" i="6" s="1"/>
  <c r="M4585" i="6" s="1"/>
  <c r="J256" i="7" s="1"/>
  <c r="L3328" i="6"/>
  <c r="L3329" i="6" s="1"/>
  <c r="L3330" i="6" s="1"/>
  <c r="M3314" i="6" s="1"/>
  <c r="J188" i="7" s="1"/>
  <c r="L2957" i="6"/>
  <c r="L2958" i="6" s="1"/>
  <c r="L2959" i="6" s="1"/>
  <c r="M2941" i="6" s="1"/>
  <c r="J166" i="7" s="1"/>
  <c r="L3052" i="6"/>
  <c r="L3053" i="6" s="1"/>
  <c r="L3054" i="6" s="1"/>
  <c r="M3037" i="6" s="1"/>
  <c r="J171" i="7" s="1"/>
  <c r="L2567" i="6"/>
  <c r="L2568" i="6" s="1"/>
  <c r="L2569" i="6" s="1"/>
  <c r="M2552" i="6" s="1"/>
  <c r="J146" i="7" s="1"/>
  <c r="L2414" i="6"/>
  <c r="L2415" i="6" s="1"/>
  <c r="L2416" i="6" s="1"/>
  <c r="M2399" i="6" s="1"/>
  <c r="J136" i="7" s="1"/>
  <c r="L3473" i="6"/>
  <c r="L3474" i="6" s="1"/>
  <c r="L3475" i="6" s="1"/>
  <c r="M3459" i="6" s="1"/>
  <c r="J196" i="7" s="1"/>
  <c r="L1922" i="6"/>
  <c r="L1923" i="6" s="1"/>
  <c r="L1924" i="6" s="1"/>
  <c r="M1904" i="6" s="1"/>
  <c r="J108" i="7" s="1"/>
  <c r="L4447" i="6"/>
  <c r="L4448" i="6" s="1"/>
  <c r="L4449" i="6" s="1"/>
  <c r="M4433" i="6" s="1"/>
  <c r="J248" i="7" s="1"/>
  <c r="L5802" i="6"/>
  <c r="L5803" i="6" s="1"/>
  <c r="L5804" i="6" s="1"/>
  <c r="M5787" i="6" s="1"/>
  <c r="J325" i="7" s="1"/>
  <c r="L6022" i="6"/>
  <c r="L6023" i="6" s="1"/>
  <c r="L6024" i="6" s="1"/>
  <c r="M6008" i="6" s="1"/>
  <c r="J339" i="7" s="1"/>
  <c r="K63" i="4" s="1"/>
  <c r="L4369" i="6"/>
  <c r="L4370" i="6" s="1"/>
  <c r="L4371" i="6" s="1"/>
  <c r="M4353" i="6" s="1"/>
  <c r="J244" i="7" s="1"/>
  <c r="L51" i="6"/>
  <c r="L52" i="6" s="1"/>
  <c r="L53" i="6" s="1"/>
  <c r="M31" i="6" s="1"/>
  <c r="J8" i="7" s="1"/>
  <c r="L5524" i="6"/>
  <c r="L5525" i="6" s="1"/>
  <c r="L5526" i="6" s="1"/>
  <c r="M5510" i="6" s="1"/>
  <c r="J310" i="7" s="1"/>
  <c r="L4465" i="6"/>
  <c r="L4466" i="6" s="1"/>
  <c r="L4467" i="6" s="1"/>
  <c r="M4451" i="6" s="1"/>
  <c r="J249" i="7" s="1"/>
  <c r="L7632" i="6"/>
  <c r="L4701" i="6"/>
  <c r="L4702" i="6" s="1"/>
  <c r="L4703" i="6" s="1"/>
  <c r="M4686" i="6" s="1"/>
  <c r="J261" i="7" s="1"/>
  <c r="L5012" i="6"/>
  <c r="L5013" i="6" s="1"/>
  <c r="L5014" i="6" s="1"/>
  <c r="M4998" i="6" s="1"/>
  <c r="J280" i="7" s="1"/>
  <c r="L7906" i="6"/>
  <c r="L7907" i="6" s="1"/>
  <c r="L7908" i="6" s="1"/>
  <c r="M7890" i="6" s="1"/>
  <c r="J447" i="7" s="1"/>
  <c r="L7574" i="6"/>
  <c r="L7575" i="6" s="1"/>
  <c r="L7576" i="6" s="1"/>
  <c r="M7556" i="6" s="1"/>
  <c r="J429" i="7" s="1"/>
  <c r="L7245" i="6"/>
  <c r="L7246" i="6" s="1"/>
  <c r="L7247" i="6" s="1"/>
  <c r="M7231" i="6" s="1"/>
  <c r="J410" i="7" s="1"/>
  <c r="L6948" i="6"/>
  <c r="L6949" i="6" s="1"/>
  <c r="L6950" i="6" s="1"/>
  <c r="M6929" i="6" s="1"/>
  <c r="J394" i="7" s="1"/>
  <c r="L7263" i="6"/>
  <c r="L7264" i="6" s="1"/>
  <c r="L7265" i="6" s="1"/>
  <c r="M7249" i="6" s="1"/>
  <c r="J411" i="7" s="1"/>
  <c r="L7128" i="6"/>
  <c r="L7129" i="6" s="1"/>
  <c r="L7130" i="6" s="1"/>
  <c r="M7114" i="6" s="1"/>
  <c r="J404" i="7" s="1"/>
  <c r="L5706" i="6"/>
  <c r="L5707" i="6" s="1"/>
  <c r="L5708" i="6" s="1"/>
  <c r="M5690" i="6" s="1"/>
  <c r="J320" i="7" s="1"/>
  <c r="L3383" i="6"/>
  <c r="L3384" i="6" s="1"/>
  <c r="L3385" i="6" s="1"/>
  <c r="M3368" i="6" s="1"/>
  <c r="J191" i="7" s="1"/>
  <c r="L3126" i="6"/>
  <c r="L3127" i="6" s="1"/>
  <c r="L3128" i="6" s="1"/>
  <c r="M3112" i="6" s="1"/>
  <c r="J177" i="7" s="1"/>
  <c r="L3951" i="6"/>
  <c r="L3952" i="6" s="1"/>
  <c r="L3953" i="6" s="1"/>
  <c r="M3935" i="6" s="1"/>
  <c r="J223" i="7" s="1"/>
  <c r="L5724" i="6"/>
  <c r="L5725" i="6" s="1"/>
  <c r="L5726" i="6" s="1"/>
  <c r="M5710" i="6" s="1"/>
  <c r="J321" i="7" s="1"/>
  <c r="K55" i="4" s="1"/>
  <c r="L3559" i="6"/>
  <c r="L3560" i="6" s="1"/>
  <c r="L3561" i="6" s="1"/>
  <c r="M3546" i="6" s="1"/>
  <c r="J201" i="7" s="1"/>
  <c r="L7282" i="6"/>
  <c r="L7283" i="6" s="1"/>
  <c r="L7284" i="6" s="1"/>
  <c r="M7268" i="6" s="1"/>
  <c r="J414" i="7" s="1"/>
  <c r="L7552" i="6"/>
  <c r="L7553" i="6" s="1"/>
  <c r="L7554" i="6" s="1"/>
  <c r="M7534" i="6" s="1"/>
  <c r="J428" i="7" s="1"/>
  <c r="L3931" i="6"/>
  <c r="L3932" i="6" s="1"/>
  <c r="L3933" i="6" s="1"/>
  <c r="M3916" i="6" s="1"/>
  <c r="J222" i="7" s="1"/>
  <c r="L6856" i="6"/>
  <c r="L6857" i="6" s="1"/>
  <c r="L6858" i="6" s="1"/>
  <c r="M6842" i="6" s="1"/>
  <c r="J387" i="7" s="1"/>
  <c r="L4720" i="6"/>
  <c r="L4721" i="6" s="1"/>
  <c r="L4722" i="6" s="1"/>
  <c r="M4705" i="6" s="1"/>
  <c r="J262" i="7" s="1"/>
  <c r="L4521" i="6"/>
  <c r="L4522" i="6" s="1"/>
  <c r="L4523" i="6" s="1"/>
  <c r="M4505" i="6" s="1"/>
  <c r="J252" i="7" s="1"/>
  <c r="L5596" i="6"/>
  <c r="L5597" i="6" s="1"/>
  <c r="L5598" i="6" s="1"/>
  <c r="M5582" i="6" s="1"/>
  <c r="J314" i="7" s="1"/>
  <c r="L3654" i="6"/>
  <c r="L3655" i="6" s="1"/>
  <c r="L3656" i="6" s="1"/>
  <c r="M3638" i="6" s="1"/>
  <c r="J208" i="7" s="1"/>
  <c r="L4031" i="6"/>
  <c r="L4032" i="6" s="1"/>
  <c r="L4033" i="6" s="1"/>
  <c r="M4015" i="6" s="1"/>
  <c r="J227" i="7" s="1"/>
  <c r="L2303" i="6"/>
  <c r="L2304" i="6" s="1"/>
  <c r="L2305" i="6" s="1"/>
  <c r="M2289" i="6" s="1"/>
  <c r="J130" i="7" s="1"/>
  <c r="L5216" i="6"/>
  <c r="L5217" i="6" s="1"/>
  <c r="L5218" i="6" s="1"/>
  <c r="M5201" i="6" s="1"/>
  <c r="J293" i="7" s="1"/>
  <c r="L1331" i="6"/>
  <c r="L1332" i="6" s="1"/>
  <c r="L1333" i="6" s="1"/>
  <c r="M1309" i="6" s="1"/>
  <c r="J82" i="7" s="1"/>
  <c r="L6176" i="6"/>
  <c r="L6177" i="6" s="1"/>
  <c r="L6178" i="6" s="1"/>
  <c r="M6161" i="6" s="1"/>
  <c r="J347" i="7" s="1"/>
  <c r="L5912" i="6"/>
  <c r="L5913" i="6" s="1"/>
  <c r="L5914" i="6" s="1"/>
  <c r="M5898" i="6" s="1"/>
  <c r="J331" i="7" s="1"/>
  <c r="L4621" i="6"/>
  <c r="L4622" i="6" s="1"/>
  <c r="L4623" i="6" s="1"/>
  <c r="M4605" i="6" s="1"/>
  <c r="J257" i="7" s="1"/>
  <c r="L3615" i="6"/>
  <c r="L3616" i="6" s="1"/>
  <c r="L3617" i="6" s="1"/>
  <c r="M3600" i="6" s="1"/>
  <c r="J206" i="7" s="1"/>
  <c r="L4189" i="6"/>
  <c r="L4190" i="6" s="1"/>
  <c r="L4191" i="6" s="1"/>
  <c r="M4175" i="6" s="1"/>
  <c r="J235" i="7" s="1"/>
  <c r="L3274" i="6"/>
  <c r="L3275" i="6" s="1"/>
  <c r="L3276" i="6" s="1"/>
  <c r="M3259" i="6" s="1"/>
  <c r="J185" i="7" s="1"/>
  <c r="L2586" i="6"/>
  <c r="L2587" i="6" s="1"/>
  <c r="L2588" i="6" s="1"/>
  <c r="M2571" i="6" s="1"/>
  <c r="J147" i="7" s="1"/>
  <c r="L2179" i="6"/>
  <c r="K2353" i="6" s="1"/>
  <c r="L2353" i="6" s="1"/>
  <c r="L2354" i="6" s="1"/>
  <c r="L1010" i="6"/>
  <c r="L1011" i="6" s="1"/>
  <c r="L1012" i="6" s="1"/>
  <c r="M993" i="6" s="1"/>
  <c r="J66" i="7" s="1"/>
  <c r="L2322" i="6"/>
  <c r="L2323" i="6" s="1"/>
  <c r="L2324" i="6" s="1"/>
  <c r="M2307" i="6" s="1"/>
  <c r="J131" i="7" s="1"/>
  <c r="L3217" i="6"/>
  <c r="L3218" i="6" s="1"/>
  <c r="L3219" i="6" s="1"/>
  <c r="M3202" i="6" s="1"/>
  <c r="J182" i="7" s="1"/>
  <c r="L3090" i="6"/>
  <c r="L3091" i="6" s="1"/>
  <c r="L3092" i="6" s="1"/>
  <c r="M3076" i="6" s="1"/>
  <c r="J175" i="7" s="1"/>
  <c r="L1816" i="6"/>
  <c r="L1817" i="6" s="1"/>
  <c r="L1818" i="6" s="1"/>
  <c r="M1798" i="6" s="1"/>
  <c r="J106" i="7" s="1"/>
  <c r="L1635" i="6"/>
  <c r="L1636" i="6" s="1"/>
  <c r="L1637" i="6" s="1"/>
  <c r="M1619" i="6" s="1"/>
  <c r="J96" i="7" s="1"/>
  <c r="L205" i="6"/>
  <c r="L206" i="6" s="1"/>
  <c r="L207" i="6" s="1"/>
  <c r="M185" i="6" s="1"/>
  <c r="J15" i="7" s="1"/>
  <c r="L4011" i="6"/>
  <c r="L4012" i="6" s="1"/>
  <c r="L4013" i="6" s="1"/>
  <c r="M3995" i="6" s="1"/>
  <c r="J226" i="7" s="1"/>
  <c r="L240" i="6"/>
  <c r="L241" i="6" s="1"/>
  <c r="K7162" i="6" s="1"/>
  <c r="L7162" i="6" s="1"/>
  <c r="L6116" i="6"/>
  <c r="L6117" i="6" s="1"/>
  <c r="L6118" i="6" s="1"/>
  <c r="M6102" i="6" s="1"/>
  <c r="J344" i="7" s="1"/>
  <c r="L7055" i="6"/>
  <c r="L7056" i="6" s="1"/>
  <c r="L7057" i="6" s="1"/>
  <c r="M7041" i="6" s="1"/>
  <c r="J400" i="7" s="1"/>
  <c r="L5986" i="6"/>
  <c r="L5987" i="6" s="1"/>
  <c r="L5988" i="6" s="1"/>
  <c r="M5972" i="6" s="1"/>
  <c r="J337" i="7" s="1"/>
  <c r="L6437" i="6"/>
  <c r="L6438" i="6" s="1"/>
  <c r="L6439" i="6" s="1"/>
  <c r="M6423" i="6" s="1"/>
  <c r="J361" i="7" s="1"/>
  <c r="L4866" i="6"/>
  <c r="L4867" i="6" s="1"/>
  <c r="L4868" i="6" s="1"/>
  <c r="M4851" i="6" s="1"/>
  <c r="J270" i="7" s="1"/>
  <c r="L1444" i="6"/>
  <c r="L1445" i="6" s="1"/>
  <c r="L1446" i="6" s="1"/>
  <c r="M1419" i="6" s="1"/>
  <c r="J86" i="7" s="1"/>
  <c r="L4131" i="6"/>
  <c r="L4132" i="6" s="1"/>
  <c r="L4133" i="6" s="1"/>
  <c r="M4115" i="6" s="1"/>
  <c r="J232" i="7" s="1"/>
  <c r="L2720" i="6"/>
  <c r="L2721" i="6" s="1"/>
  <c r="L2722" i="6" s="1"/>
  <c r="M2705" i="6" s="1"/>
  <c r="J154" i="7" s="1"/>
  <c r="K122" i="4" s="1"/>
  <c r="L167" i="6"/>
  <c r="L168" i="6" s="1"/>
  <c r="L169" i="6" s="1"/>
  <c r="M151" i="6" s="1"/>
  <c r="J13" i="7" s="1"/>
  <c r="L666" i="6"/>
  <c r="L667" i="6" s="1"/>
  <c r="L668" i="6" s="1"/>
  <c r="M650" i="6" s="1"/>
  <c r="J47" i="7" s="1"/>
  <c r="L6098" i="6"/>
  <c r="L6099" i="6" s="1"/>
  <c r="L6100" i="6" s="1"/>
  <c r="M6082" i="6" s="1"/>
  <c r="J343" i="7" s="1"/>
  <c r="L4541" i="6"/>
  <c r="L4542" i="6" s="1"/>
  <c r="L4543" i="6" s="1"/>
  <c r="M4525" i="6" s="1"/>
  <c r="J253" i="7" s="1"/>
  <c r="L6457" i="6"/>
  <c r="L6458" i="6" s="1"/>
  <c r="L6459" i="6" s="1"/>
  <c r="M6441" i="6" s="1"/>
  <c r="J362" i="7" s="1"/>
  <c r="L5086" i="6"/>
  <c r="L5087" i="6" s="1"/>
  <c r="L5088" i="6" s="1"/>
  <c r="M5072" i="6" s="1"/>
  <c r="L3814" i="6"/>
  <c r="L3815" i="6" s="1"/>
  <c r="L3816" i="6" s="1"/>
  <c r="M3798" i="6" s="1"/>
  <c r="J216" i="7" s="1"/>
  <c r="L3310" i="6"/>
  <c r="L3311" i="6" s="1"/>
  <c r="L3312" i="6" s="1"/>
  <c r="M3296" i="6" s="1"/>
  <c r="J187" i="7" s="1"/>
  <c r="L2758" i="6"/>
  <c r="L2759" i="6" s="1"/>
  <c r="L2760" i="6" s="1"/>
  <c r="M2743" i="6" s="1"/>
  <c r="J156" i="7" s="1"/>
  <c r="L1595" i="6"/>
  <c r="L1596" i="6" s="1"/>
  <c r="L1597" i="6" s="1"/>
  <c r="M1579" i="6" s="1"/>
  <c r="J94" i="7" s="1"/>
  <c r="L3754" i="6"/>
  <c r="L3755" i="6" s="1"/>
  <c r="L3756" i="6" s="1"/>
  <c r="M3738" i="6" s="1"/>
  <c r="J213" i="7" s="1"/>
  <c r="L1156" i="6"/>
  <c r="L1157" i="6" s="1"/>
  <c r="L1158" i="6" s="1"/>
  <c r="M1141" i="6" s="1"/>
  <c r="J74" i="7" s="1"/>
  <c r="L6733" i="6"/>
  <c r="L6734" i="6" s="1"/>
  <c r="L6735" i="6" s="1"/>
  <c r="M6719" i="6" s="1"/>
  <c r="J380" i="7" s="1"/>
  <c r="L5839" i="6"/>
  <c r="L5840" i="6" s="1"/>
  <c r="L5841" i="6" s="1"/>
  <c r="M5824" i="6" s="1"/>
  <c r="J327" i="7" s="1"/>
  <c r="L2682" i="6"/>
  <c r="L2683" i="6" s="1"/>
  <c r="L2684" i="6" s="1"/>
  <c r="M2667" i="6" s="1"/>
  <c r="J152" i="7" s="1"/>
  <c r="L4662" i="6"/>
  <c r="L4663" i="6" s="1"/>
  <c r="L4664" i="6" s="1"/>
  <c r="M4645" i="6" s="1"/>
  <c r="J259" i="7" s="1"/>
  <c r="L3108" i="6"/>
  <c r="L3109" i="6" s="1"/>
  <c r="L3110" i="6" s="1"/>
  <c r="M3094" i="6" s="1"/>
  <c r="J176" i="7" s="1"/>
  <c r="L569" i="6"/>
  <c r="L570" i="6" s="1"/>
  <c r="L571" i="6" s="1"/>
  <c r="M554" i="6" s="1"/>
  <c r="J42" i="7" s="1"/>
  <c r="L767" i="6"/>
  <c r="L768" i="6" s="1"/>
  <c r="L769" i="6" s="1"/>
  <c r="M751" i="6" s="1"/>
  <c r="J54" i="7" s="1"/>
  <c r="L6195" i="6"/>
  <c r="L6196" i="6" s="1"/>
  <c r="L6197" i="6" s="1"/>
  <c r="M6180" i="6" s="1"/>
  <c r="J348" i="7" s="1"/>
  <c r="L7301" i="6"/>
  <c r="L7302" i="6" s="1"/>
  <c r="L7303" i="6" s="1"/>
  <c r="M7286" i="6" s="1"/>
  <c r="J415" i="7" s="1"/>
  <c r="L5235" i="6"/>
  <c r="L5236" i="6" s="1"/>
  <c r="L5237" i="6" s="1"/>
  <c r="M5220" i="6" s="1"/>
  <c r="J294" i="7" s="1"/>
  <c r="L1869" i="6"/>
  <c r="L1870" i="6" s="1"/>
  <c r="L1871" i="6" s="1"/>
  <c r="M1851" i="6" s="1"/>
  <c r="J107" i="7" s="1"/>
  <c r="L550" i="6"/>
  <c r="L551" i="6" s="1"/>
  <c r="L552" i="6" s="1"/>
  <c r="M535" i="6" s="1"/>
  <c r="J41" i="7" s="1"/>
  <c r="L147" i="6"/>
  <c r="L148" i="6" s="1"/>
  <c r="L149" i="6" s="1"/>
  <c r="M127" i="6" s="1"/>
  <c r="J12" i="7" s="1"/>
  <c r="L4289" i="6"/>
  <c r="L4290" i="6" s="1"/>
  <c r="L4291" i="6" s="1"/>
  <c r="M4273" i="6" s="1"/>
  <c r="J240" i="7" s="1"/>
  <c r="K71" i="4" s="1"/>
  <c r="L7493" i="6"/>
  <c r="L7494" i="6" s="1"/>
  <c r="L7495" i="6" s="1"/>
  <c r="M7479" i="6" s="1"/>
  <c r="J425" i="7" s="1"/>
  <c r="L6324" i="6"/>
  <c r="L6325" i="6" s="1"/>
  <c r="L6326" i="6" s="1"/>
  <c r="M6310" i="6" s="1"/>
  <c r="J355" i="7" s="1"/>
  <c r="K54" i="4" s="1"/>
  <c r="L5308" i="6"/>
  <c r="L5309" i="6" s="1"/>
  <c r="L5310" i="6" s="1"/>
  <c r="M5294" i="6" s="1"/>
  <c r="J298" i="7" s="1"/>
  <c r="L3576" i="6"/>
  <c r="L3577" i="6" s="1"/>
  <c r="L3578" i="6" s="1"/>
  <c r="M3563" i="6" s="1"/>
  <c r="J202" i="7" s="1"/>
  <c r="L3694" i="6"/>
  <c r="L3695" i="6" s="1"/>
  <c r="L3696" i="6" s="1"/>
  <c r="M3678" i="6" s="1"/>
  <c r="J210" i="7" s="1"/>
  <c r="L3455" i="6"/>
  <c r="L3456" i="6" s="1"/>
  <c r="L3457" i="6" s="1"/>
  <c r="M3441" i="6" s="1"/>
  <c r="J195" i="7" s="1"/>
  <c r="L7513" i="6"/>
  <c r="L7514" i="6" s="1"/>
  <c r="L7515" i="6" s="1"/>
  <c r="M7497" i="6" s="1"/>
  <c r="J426" i="7" s="1"/>
  <c r="L6769" i="6"/>
  <c r="L6770" i="6" s="1"/>
  <c r="L6771" i="6" s="1"/>
  <c r="M6755" i="6" s="1"/>
  <c r="J382" i="7" s="1"/>
  <c r="L5632" i="6"/>
  <c r="L5633" i="6" s="1"/>
  <c r="L5634" i="6" s="1"/>
  <c r="M5618" i="6" s="1"/>
  <c r="J316" i="7" s="1"/>
  <c r="L4922" i="6"/>
  <c r="L4923" i="6" s="1"/>
  <c r="L4924" i="6" s="1"/>
  <c r="M4908" i="6" s="1"/>
  <c r="J275" i="7" s="1"/>
  <c r="L4809" i="6"/>
  <c r="L4810" i="6" s="1"/>
  <c r="L4811" i="6" s="1"/>
  <c r="M4795" i="6" s="1"/>
  <c r="J267" i="7" s="1"/>
  <c r="L5560" i="6"/>
  <c r="L5561" i="6" s="1"/>
  <c r="L5562" i="6" s="1"/>
  <c r="M5546" i="6" s="1"/>
  <c r="J312" i="7" s="1"/>
  <c r="L3854" i="6"/>
  <c r="L3855" i="6" s="1"/>
  <c r="L3856" i="6" s="1"/>
  <c r="M3838" i="6" s="1"/>
  <c r="J218" i="7" s="1"/>
  <c r="L2285" i="6"/>
  <c r="L2286" i="6" s="1"/>
  <c r="L2287" i="6" s="1"/>
  <c r="M2270" i="6" s="1"/>
  <c r="J129" i="7" s="1"/>
  <c r="L1264" i="6"/>
  <c r="L1265" i="6" s="1"/>
  <c r="L1266" i="6" s="1"/>
  <c r="M1245" i="6" s="1"/>
  <c r="J79" i="7" s="1"/>
  <c r="L3364" i="6"/>
  <c r="L3365" i="6" s="1"/>
  <c r="L3366" i="6" s="1"/>
  <c r="M3350" i="6" s="1"/>
  <c r="J190" i="7" s="1"/>
  <c r="L686" i="6"/>
  <c r="L687" i="6" s="1"/>
  <c r="L688" i="6" s="1"/>
  <c r="M670" i="6" s="1"/>
  <c r="J48" i="7" s="1"/>
  <c r="L588" i="6"/>
  <c r="L589" i="6" s="1"/>
  <c r="L590" i="6" s="1"/>
  <c r="M573" i="6" s="1"/>
  <c r="J43" i="7" s="1"/>
  <c r="L1357" i="6"/>
  <c r="L1358" i="6" s="1"/>
  <c r="L1359" i="6" s="1"/>
  <c r="M1335" i="6" s="1"/>
  <c r="J83" i="7" s="1"/>
  <c r="K114" i="4" s="1"/>
  <c r="L2624" i="6"/>
  <c r="L2625" i="6" s="1"/>
  <c r="L2626" i="6" s="1"/>
  <c r="M2609" i="6" s="1"/>
  <c r="J149" i="7" s="1"/>
  <c r="L1286" i="6"/>
  <c r="L1287" i="6" s="1"/>
  <c r="L1288" i="6" s="1"/>
  <c r="M1268" i="6" s="1"/>
  <c r="J80" i="7" s="1"/>
  <c r="L4329" i="6"/>
  <c r="L4330" i="6" s="1"/>
  <c r="L4331" i="6" s="1"/>
  <c r="M4313" i="6" s="1"/>
  <c r="J242" i="7" s="1"/>
  <c r="L5290" i="6"/>
  <c r="L5291" i="6" s="1"/>
  <c r="L5292" i="6" s="1"/>
  <c r="M5276" i="6" s="1"/>
  <c r="J297" i="7" s="1"/>
  <c r="L4641" i="6"/>
  <c r="L4642" i="6" s="1"/>
  <c r="L4643" i="6" s="1"/>
  <c r="M4625" i="6" s="1"/>
  <c r="J258" i="7" s="1"/>
  <c r="L3180" i="6"/>
  <c r="L3181" i="6" s="1"/>
  <c r="L3182" i="6" s="1"/>
  <c r="M3166" i="6" s="1"/>
  <c r="J180" i="7" s="1"/>
  <c r="L1119" i="6"/>
  <c r="L1120" i="6" s="1"/>
  <c r="L1121" i="6" s="1"/>
  <c r="M1105" i="6" s="1"/>
  <c r="J72" i="7" s="1"/>
  <c r="L500" i="6"/>
  <c r="L501" i="6" s="1"/>
  <c r="L502" i="6" s="1"/>
  <c r="M485" i="6" s="1"/>
  <c r="J36" i="7" s="1"/>
  <c r="L1241" i="6"/>
  <c r="L1242" i="6" s="1"/>
  <c r="L1243" i="6" s="1"/>
  <c r="M1223" i="6" s="1"/>
  <c r="J78" i="7" s="1"/>
  <c r="K48" i="4" s="1"/>
  <c r="L829" i="6"/>
  <c r="L830" i="6" s="1"/>
  <c r="L831" i="6" s="1"/>
  <c r="M813" i="6" s="1"/>
  <c r="J57" i="7" s="1"/>
  <c r="L2395" i="6"/>
  <c r="L2396" i="6" s="1"/>
  <c r="L2397" i="6" s="1"/>
  <c r="M2380" i="6" s="1"/>
  <c r="J135" i="7" s="1"/>
  <c r="L4151" i="6"/>
  <c r="L4152" i="6" s="1"/>
  <c r="L4153" i="6" s="1"/>
  <c r="M4135" i="6" s="1"/>
  <c r="J233" i="7" s="1"/>
  <c r="L3774" i="6"/>
  <c r="L3775" i="6" s="1"/>
  <c r="L3776" i="6" s="1"/>
  <c r="M3758" i="6" s="1"/>
  <c r="J214" i="7" s="1"/>
  <c r="L2451" i="6"/>
  <c r="L2452" i="6" s="1"/>
  <c r="L2453" i="6" s="1"/>
  <c r="M2437" i="6" s="1"/>
  <c r="J138" i="7" s="1"/>
  <c r="L7146" i="6"/>
  <c r="L7147" i="6" s="1"/>
  <c r="L7148" i="6" s="1"/>
  <c r="M7132" i="6" s="1"/>
  <c r="J405" i="7" s="1"/>
  <c r="K102" i="4" s="1"/>
  <c r="L4249" i="6"/>
  <c r="L4250" i="6" s="1"/>
  <c r="L4251" i="6" s="1"/>
  <c r="M4233" i="6" s="1"/>
  <c r="J238" i="7" s="1"/>
  <c r="L2643" i="6"/>
  <c r="L2644" i="6" s="1"/>
  <c r="L2645" i="6" s="1"/>
  <c r="M2628" i="6" s="1"/>
  <c r="J150" i="7" s="1"/>
  <c r="L5858" i="6"/>
  <c r="L5859" i="6" s="1"/>
  <c r="L5860" i="6" s="1"/>
  <c r="M5843" i="6" s="1"/>
  <c r="J328" i="7" s="1"/>
  <c r="L2777" i="6"/>
  <c r="L2778" i="6" s="1"/>
  <c r="L2779" i="6" s="1"/>
  <c r="M2762" i="6" s="1"/>
  <c r="J157" i="7" s="1"/>
  <c r="L787" i="6"/>
  <c r="L788" i="6" s="1"/>
  <c r="L789" i="6" s="1"/>
  <c r="M771" i="6" s="1"/>
  <c r="J55" i="7" s="1"/>
  <c r="L4209" i="6"/>
  <c r="L4210" i="6" s="1"/>
  <c r="L4211" i="6" s="1"/>
  <c r="M4193" i="6" s="1"/>
  <c r="J236" i="7" s="1"/>
  <c r="L3236" i="6"/>
  <c r="L3237" i="6" s="1"/>
  <c r="L3238" i="6" s="1"/>
  <c r="M3221" i="6" s="1"/>
  <c r="J183" i="7" s="1"/>
  <c r="L4171" i="6"/>
  <c r="L4172" i="6" s="1"/>
  <c r="L4173" i="6" s="1"/>
  <c r="M4155" i="6" s="1"/>
  <c r="J234" i="7" s="1"/>
  <c r="L3255" i="6"/>
  <c r="L3256" i="6" s="1"/>
  <c r="L3257" i="6" s="1"/>
  <c r="M3240" i="6" s="1"/>
  <c r="J184" i="7" s="1"/>
  <c r="L6288" i="6"/>
  <c r="L6289" i="6" s="1"/>
  <c r="L6290" i="6" s="1"/>
  <c r="M6274" i="6" s="1"/>
  <c r="J353" i="7" s="1"/>
  <c r="L7037" i="6"/>
  <c r="L7038" i="6" s="1"/>
  <c r="L7039" i="6" s="1"/>
  <c r="M7022" i="6" s="1"/>
  <c r="J399" i="7" s="1"/>
  <c r="K100" i="4" s="1"/>
  <c r="L5949" i="6"/>
  <c r="L5950" i="6" s="1"/>
  <c r="L5951" i="6" s="1"/>
  <c r="M5934" i="6" s="1"/>
  <c r="J335" i="7" s="1"/>
  <c r="L5452" i="6"/>
  <c r="L5453" i="6" s="1"/>
  <c r="L5454" i="6" s="1"/>
  <c r="M5438" i="6" s="1"/>
  <c r="J306" i="7" s="1"/>
  <c r="L3401" i="6"/>
  <c r="L3402" i="6" s="1"/>
  <c r="L3403" i="6" s="1"/>
  <c r="M3387" i="6" s="1"/>
  <c r="J192" i="7" s="1"/>
  <c r="L1032" i="6"/>
  <c r="L1033" i="6" s="1"/>
  <c r="L1034" i="6" s="1"/>
  <c r="M1016" i="6" s="1"/>
  <c r="J67" i="7" s="1"/>
  <c r="L222" i="6"/>
  <c r="L223" i="6" s="1"/>
  <c r="L224" i="6" s="1"/>
  <c r="M209" i="6" s="1"/>
  <c r="J16" i="7" s="1"/>
  <c r="L989" i="6"/>
  <c r="L990" i="6" s="1"/>
  <c r="L991" i="6" s="1"/>
  <c r="M973" i="6" s="1"/>
  <c r="J65" i="7" s="1"/>
  <c r="L6270" i="6"/>
  <c r="L6271" i="6" s="1"/>
  <c r="L6272" i="6" s="1"/>
  <c r="M6256" i="6" s="1"/>
  <c r="J352" i="7" s="1"/>
  <c r="L7227" i="6"/>
  <c r="L7228" i="6" s="1"/>
  <c r="L7229" i="6" s="1"/>
  <c r="M7210" i="6" s="1"/>
  <c r="J409" i="7" s="1"/>
  <c r="L5542" i="6"/>
  <c r="L5543" i="6" s="1"/>
  <c r="L5544" i="6" s="1"/>
  <c r="M5528" i="6" s="1"/>
  <c r="J311" i="7" s="1"/>
  <c r="L4994" i="6"/>
  <c r="L4995" i="6" s="1"/>
  <c r="L4996" i="6" s="1"/>
  <c r="M4980" i="6" s="1"/>
  <c r="J279" i="7" s="1"/>
  <c r="L7206" i="6"/>
  <c r="L7207" i="6" s="1"/>
  <c r="L7208" i="6" s="1"/>
  <c r="M7191" i="6" s="1"/>
  <c r="J408" i="7" s="1"/>
  <c r="L5416" i="6"/>
  <c r="L5417" i="6" s="1"/>
  <c r="L5418" i="6" s="1"/>
  <c r="M5402" i="6" s="1"/>
  <c r="J304" i="7" s="1"/>
  <c r="L3734" i="6"/>
  <c r="L3735" i="6" s="1"/>
  <c r="L3736" i="6" s="1"/>
  <c r="M3718" i="6" s="1"/>
  <c r="J212" i="7" s="1"/>
  <c r="L2701" i="6"/>
  <c r="L2702" i="6" s="1"/>
  <c r="L2703" i="6" s="1"/>
  <c r="M2686" i="6" s="1"/>
  <c r="J153" i="7" s="1"/>
  <c r="L1528" i="6"/>
  <c r="L1529" i="6" s="1"/>
  <c r="L1530" i="6" s="1"/>
  <c r="M1506" i="6" s="1"/>
  <c r="J89" i="7" s="1"/>
  <c r="L726" i="6"/>
  <c r="L727" i="6" s="1"/>
  <c r="L728" i="6" s="1"/>
  <c r="M708" i="6" s="1"/>
  <c r="J50" i="7" s="1"/>
  <c r="L1137" i="6"/>
  <c r="L1138" i="6" s="1"/>
  <c r="L1139" i="6" s="1"/>
  <c r="M1123" i="6" s="1"/>
  <c r="J73" i="7" s="1"/>
  <c r="L6342" i="6"/>
  <c r="L6343" i="6" s="1"/>
  <c r="L6344" i="6" s="1"/>
  <c r="M6328" i="6" s="1"/>
  <c r="J356" i="7" s="1"/>
  <c r="L4429" i="6"/>
  <c r="L4430" i="6" s="1"/>
  <c r="L4431" i="6" s="1"/>
  <c r="M4413" i="6" s="1"/>
  <c r="J247" i="7" s="1"/>
  <c r="L4682" i="6"/>
  <c r="L4683" i="6" s="1"/>
  <c r="L4684" i="6" s="1"/>
  <c r="M4666" i="6" s="1"/>
  <c r="J260" i="7" s="1"/>
  <c r="L3596" i="6"/>
  <c r="L3597" i="6" s="1"/>
  <c r="L3598" i="6" s="1"/>
  <c r="M3581" i="6" s="1"/>
  <c r="J205" i="7" s="1"/>
  <c r="L3874" i="6"/>
  <c r="L3875" i="6" s="1"/>
  <c r="L3876" i="6" s="1"/>
  <c r="M3858" i="6" s="1"/>
  <c r="J219" i="7" s="1"/>
  <c r="L3292" i="6"/>
  <c r="L3293" i="6" s="1"/>
  <c r="L3294" i="6" s="1"/>
  <c r="M3278" i="6" s="1"/>
  <c r="J186" i="7" s="1"/>
  <c r="L4389" i="6"/>
  <c r="L4390" i="6" s="1"/>
  <c r="L4391" i="6" s="1"/>
  <c r="M4373" i="6" s="1"/>
  <c r="J245" i="7" s="1"/>
  <c r="L2140" i="6"/>
  <c r="L2141" i="6" s="1"/>
  <c r="L2142" i="6" s="1"/>
  <c r="M2125" i="6" s="1"/>
  <c r="J121" i="7" s="1"/>
  <c r="L2663" i="6"/>
  <c r="L2664" i="6" s="1"/>
  <c r="L2665" i="6" s="1"/>
  <c r="M2647" i="6" s="1"/>
  <c r="J151" i="7" s="1"/>
  <c r="L324" i="6"/>
  <c r="L325" i="6" s="1"/>
  <c r="L326" i="6" s="1"/>
  <c r="M307" i="6" s="1"/>
  <c r="J22" i="7" s="1"/>
  <c r="L2605" i="6"/>
  <c r="L2606" i="6" s="1"/>
  <c r="L2607" i="6" s="1"/>
  <c r="M2590" i="6" s="1"/>
  <c r="J148" i="7" s="1"/>
  <c r="L1101" i="6"/>
  <c r="L1102" i="6" s="1"/>
  <c r="L1103" i="6" s="1"/>
  <c r="M1087" i="6" s="1"/>
  <c r="J71" i="7" s="1"/>
  <c r="K35" i="4" s="1"/>
  <c r="L889" i="6"/>
  <c r="L890" i="6" s="1"/>
  <c r="L891" i="6" s="1"/>
  <c r="M873" i="6" s="1"/>
  <c r="J60" i="7" s="1"/>
  <c r="L746" i="6"/>
  <c r="L747" i="6" s="1"/>
  <c r="L748" i="6" s="1"/>
  <c r="M730" i="6" s="1"/>
  <c r="J51" i="7" s="1"/>
  <c r="L92" i="6"/>
  <c r="L93" i="6" s="1"/>
  <c r="L94" i="6" s="1"/>
  <c r="M77" i="6" s="1"/>
  <c r="J10" i="7" s="1"/>
  <c r="K9" i="4" s="1"/>
  <c r="L2070" i="6"/>
  <c r="L2071" i="6" s="1"/>
  <c r="L2072" i="6" s="1"/>
  <c r="M2055" i="6" s="1"/>
  <c r="J115" i="7" s="1"/>
  <c r="L1219" i="6"/>
  <c r="L1220" i="6" s="1"/>
  <c r="L1221" i="6" s="1"/>
  <c r="M1201" i="6" s="1"/>
  <c r="J77" i="7" s="1"/>
  <c r="K40" i="4" s="1"/>
  <c r="L869" i="6"/>
  <c r="L870" i="6" s="1"/>
  <c r="L871" i="6" s="1"/>
  <c r="M853" i="6" s="1"/>
  <c r="J59" i="7" s="1"/>
  <c r="L123" i="6"/>
  <c r="L124" i="6" s="1"/>
  <c r="L125" i="6" s="1"/>
  <c r="M96" i="6" s="1"/>
  <c r="J11" i="7" s="1"/>
  <c r="L929" i="6"/>
  <c r="L930" i="6" s="1"/>
  <c r="L931" i="6" s="1"/>
  <c r="M913" i="6" s="1"/>
  <c r="J62" i="7" s="1"/>
  <c r="L1175" i="6"/>
  <c r="L1176" i="6" s="1"/>
  <c r="L1177" i="6" s="1"/>
  <c r="M1160" i="6" s="1"/>
  <c r="J75" i="7" s="1"/>
  <c r="K32" i="4" s="1"/>
  <c r="L2976" i="6"/>
  <c r="L2977" i="6" s="1"/>
  <c r="L2978" i="6" s="1"/>
  <c r="M2961" i="6" s="1"/>
  <c r="J167" i="7" s="1"/>
  <c r="L4483" i="6"/>
  <c r="L4484" i="6" s="1"/>
  <c r="L4485" i="6" s="1"/>
  <c r="M4469" i="6" s="1"/>
  <c r="J250" i="7" s="1"/>
  <c r="L5820" i="6"/>
  <c r="L5821" i="6" s="1"/>
  <c r="L5822" i="6" s="1"/>
  <c r="M5806" i="6" s="1"/>
  <c r="J326" i="7" s="1"/>
  <c r="L6306" i="6"/>
  <c r="L6307" i="6" s="1"/>
  <c r="L6308" i="6" s="1"/>
  <c r="M6292" i="6" s="1"/>
  <c r="J354" i="7" s="1"/>
  <c r="L6214" i="6"/>
  <c r="L6215" i="6" s="1"/>
  <c r="L6216" i="6" s="1"/>
  <c r="M6199" i="6" s="1"/>
  <c r="J349" i="7" s="1"/>
  <c r="L5362" i="6"/>
  <c r="L5363" i="6" s="1"/>
  <c r="L5364" i="6" s="1"/>
  <c r="M5348" i="6" s="1"/>
  <c r="J301" i="7" s="1"/>
  <c r="L5686" i="6"/>
  <c r="L5687" i="6" s="1"/>
  <c r="L5688" i="6" s="1"/>
  <c r="M5672" i="6" s="1"/>
  <c r="J319" i="7" s="1"/>
  <c r="L1615" i="6"/>
  <c r="L1616" i="6" s="1"/>
  <c r="L1617" i="6" s="1"/>
  <c r="M1599" i="6" s="1"/>
  <c r="J95" i="7" s="1"/>
  <c r="L949" i="6"/>
  <c r="L950" i="6" s="1"/>
  <c r="L951" i="6" s="1"/>
  <c r="M933" i="6" s="1"/>
  <c r="J63" i="7" s="1"/>
  <c r="L6078" i="6"/>
  <c r="L6079" i="6" s="1"/>
  <c r="L6080" i="6" s="1"/>
  <c r="M6062" i="6" s="1"/>
  <c r="J342" i="7" s="1"/>
  <c r="L7454" i="6"/>
  <c r="L7455" i="6" s="1"/>
  <c r="L7456" i="6" s="1"/>
  <c r="M7440" i="6" s="1"/>
  <c r="J423" i="7" s="1"/>
  <c r="K93" i="4" s="1"/>
  <c r="L6004" i="6"/>
  <c r="L6005" i="6" s="1"/>
  <c r="L6006" i="6" s="1"/>
  <c r="M5990" i="6" s="1"/>
  <c r="J338" i="7" s="1"/>
  <c r="L3634" i="6"/>
  <c r="L3635" i="6" s="1"/>
  <c r="L3636" i="6" s="1"/>
  <c r="M3619" i="6" s="1"/>
  <c r="J207" i="7" s="1"/>
  <c r="L2817" i="6"/>
  <c r="L2818" i="6" s="1"/>
  <c r="L2819" i="6" s="1"/>
  <c r="M2801" i="6" s="1"/>
  <c r="J159" i="7" s="1"/>
  <c r="L5968" i="6"/>
  <c r="L5969" i="6" s="1"/>
  <c r="L5970" i="6" s="1"/>
  <c r="M5953" i="6" s="1"/>
  <c r="J336" i="7" s="1"/>
  <c r="K62" i="4" s="1"/>
  <c r="L5742" i="6"/>
  <c r="L5743" i="6" s="1"/>
  <c r="L5744" i="6" s="1"/>
  <c r="M5728" i="6" s="1"/>
  <c r="J322" i="7" s="1"/>
  <c r="L1698" i="6"/>
  <c r="L1699" i="6" s="1"/>
  <c r="L1700" i="6" s="1"/>
  <c r="M1681" i="6" s="1"/>
  <c r="J99" i="7" s="1"/>
  <c r="L7848" i="6"/>
  <c r="L7849" i="6" s="1"/>
  <c r="L7850" i="6" s="1"/>
  <c r="M7834" i="6" s="1"/>
  <c r="J444" i="7" s="1"/>
  <c r="L7110" i="6"/>
  <c r="L7111" i="6" s="1"/>
  <c r="L7112" i="6" s="1"/>
  <c r="M7095" i="6" s="1"/>
  <c r="J403" i="7" s="1"/>
  <c r="L5668" i="6"/>
  <c r="L5669" i="6" s="1"/>
  <c r="L5670" i="6" s="1"/>
  <c r="M5654" i="6" s="1"/>
  <c r="J318" i="7" s="1"/>
  <c r="L4756" i="6"/>
  <c r="L4757" i="6" s="1"/>
  <c r="L4758" i="6" s="1"/>
  <c r="M4742" i="6" s="1"/>
  <c r="J264" i="7" s="1"/>
  <c r="L2917" i="6"/>
  <c r="L2918" i="6" s="1"/>
  <c r="L2919" i="6" s="1"/>
  <c r="M2901" i="6" s="1"/>
  <c r="J164" i="7" s="1"/>
  <c r="L2159" i="6"/>
  <c r="L2160" i="6" s="1"/>
  <c r="L2161" i="6" s="1"/>
  <c r="M2144" i="6" s="1"/>
  <c r="J122" i="7" s="1"/>
  <c r="L7187" i="6"/>
  <c r="L7188" i="6" s="1"/>
  <c r="L7189" i="6" s="1"/>
  <c r="M7170" i="6" s="1"/>
  <c r="J407" i="7" s="1"/>
  <c r="L3794" i="6"/>
  <c r="L3795" i="6" s="1"/>
  <c r="L3796" i="6" s="1"/>
  <c r="M3778" i="6" s="1"/>
  <c r="J215" i="7" s="1"/>
  <c r="L2897" i="6"/>
  <c r="L2898" i="6" s="1"/>
  <c r="L2899" i="6" s="1"/>
  <c r="M2881" i="6" s="1"/>
  <c r="J163" i="7" s="1"/>
  <c r="L1415" i="6"/>
  <c r="L1416" i="6" s="1"/>
  <c r="L1417" i="6" s="1"/>
  <c r="M1390" i="6" s="1"/>
  <c r="J85" i="7" s="1"/>
  <c r="L1657" i="6"/>
  <c r="L1658" i="6" s="1"/>
  <c r="L1659" i="6" s="1"/>
  <c r="M1639" i="6" s="1"/>
  <c r="J97" i="7" s="1"/>
  <c r="L1197" i="6"/>
  <c r="L1198" i="6" s="1"/>
  <c r="L1199" i="6" s="1"/>
  <c r="M1179" i="6" s="1"/>
  <c r="J76" i="7" s="1"/>
  <c r="K36" i="4" s="1"/>
  <c r="L7927" i="6"/>
  <c r="L7928" i="6" s="1"/>
  <c r="L7929" i="6" s="1"/>
  <c r="M7910" i="6" s="1"/>
  <c r="J448" i="7" s="1"/>
  <c r="L7650" i="6"/>
  <c r="L7651" i="6" s="1"/>
  <c r="L7652" i="6" s="1"/>
  <c r="M7636" i="6" s="1"/>
  <c r="J433" i="7" s="1"/>
  <c r="L4581" i="6"/>
  <c r="L4582" i="6" s="1"/>
  <c r="L4583" i="6" s="1"/>
  <c r="M4565" i="6" s="1"/>
  <c r="J255" i="7" s="1"/>
  <c r="L5614" i="6"/>
  <c r="L5615" i="6" s="1"/>
  <c r="L5616" i="6" s="1"/>
  <c r="M5600" i="6" s="1"/>
  <c r="J315" i="7" s="1"/>
  <c r="L7668" i="6"/>
  <c r="L7669" i="6" s="1"/>
  <c r="L7670" i="6" s="1"/>
  <c r="M7654" i="6" s="1"/>
  <c r="J434" i="7" s="1"/>
  <c r="L7758" i="6"/>
  <c r="L7759" i="6" s="1"/>
  <c r="L7760" i="6" s="1"/>
  <c r="M7744" i="6" s="1"/>
  <c r="J439" i="7" s="1"/>
  <c r="L7886" i="6"/>
  <c r="L7887" i="6" s="1"/>
  <c r="L7888" i="6" s="1"/>
  <c r="M7870" i="6" s="1"/>
  <c r="J446" i="7" s="1"/>
  <c r="L6925" i="6"/>
  <c r="L6926" i="6" s="1"/>
  <c r="L6927" i="6" s="1"/>
  <c r="M6906" i="6" s="1"/>
  <c r="J393" i="7" s="1"/>
  <c r="K103" i="4" s="1"/>
  <c r="L5894" i="6"/>
  <c r="L5895" i="6" s="1"/>
  <c r="L5896" i="6" s="1"/>
  <c r="M5880" i="6" s="1"/>
  <c r="J330" i="7" s="1"/>
  <c r="L7776" i="6"/>
  <c r="L7777" i="6" s="1"/>
  <c r="L7778" i="6" s="1"/>
  <c r="M7762" i="6" s="1"/>
  <c r="J440" i="7" s="1"/>
  <c r="L4791" i="6"/>
  <c r="L4792" i="6" s="1"/>
  <c r="L4793" i="6" s="1"/>
  <c r="M4777" i="6" s="1"/>
  <c r="J266" i="7" s="1"/>
  <c r="L4958" i="6"/>
  <c r="L4959" i="6" s="1"/>
  <c r="L4960" i="6" s="1"/>
  <c r="M4944" i="6" s="1"/>
  <c r="J277" i="7" s="1"/>
  <c r="L4847" i="6"/>
  <c r="L4848" i="6" s="1"/>
  <c r="L4849" i="6" s="1"/>
  <c r="M4832" i="6" s="1"/>
  <c r="J269" i="7" s="1"/>
  <c r="L4903" i="6"/>
  <c r="L4904" i="6" s="1"/>
  <c r="L4905" i="6" s="1"/>
  <c r="M4889" i="6" s="1"/>
  <c r="J272" i="7" s="1"/>
  <c r="L3198" i="6"/>
  <c r="L3199" i="6" s="1"/>
  <c r="L3200" i="6" s="1"/>
  <c r="M3184" i="6" s="1"/>
  <c r="J181" i="7" s="1"/>
  <c r="L2995" i="6"/>
  <c r="L2996" i="6" s="1"/>
  <c r="L2997" i="6" s="1"/>
  <c r="M2980" i="6" s="1"/>
  <c r="J168" i="7" s="1"/>
  <c r="L969" i="6"/>
  <c r="L970" i="6" s="1"/>
  <c r="L971" i="6" s="1"/>
  <c r="M953" i="6" s="1"/>
  <c r="J64" i="7" s="1"/>
  <c r="L7866" i="6"/>
  <c r="L7867" i="6" s="1"/>
  <c r="L7868" i="6" s="1"/>
  <c r="M7852" i="6" s="1"/>
  <c r="J445" i="7" s="1"/>
  <c r="L6787" i="6"/>
  <c r="L6788" i="6" s="1"/>
  <c r="L6789" i="6" s="1"/>
  <c r="M6773" i="6" s="1"/>
  <c r="J383" i="7" s="1"/>
  <c r="L5030" i="6"/>
  <c r="L5031" i="6" s="1"/>
  <c r="L5032" i="6" s="1"/>
  <c r="M5016" i="6" s="1"/>
  <c r="J281" i="7" s="1"/>
  <c r="K57" i="4" s="1"/>
  <c r="L5254" i="6"/>
  <c r="L5255" i="6" s="1"/>
  <c r="L5256" i="6" s="1"/>
  <c r="M5239" i="6" s="1"/>
  <c r="J295" i="7" s="1"/>
  <c r="L5326" i="6"/>
  <c r="L5327" i="6" s="1"/>
  <c r="L5328" i="6" s="1"/>
  <c r="M5312" i="6" s="1"/>
  <c r="J299" i="7" s="1"/>
  <c r="L4940" i="6"/>
  <c r="L4941" i="6" s="1"/>
  <c r="L4942" i="6" s="1"/>
  <c r="M4926" i="6" s="1"/>
  <c r="J276" i="7" s="1"/>
  <c r="L3072" i="6"/>
  <c r="L3073" i="6" s="1"/>
  <c r="L3074" i="6" s="1"/>
  <c r="M3058" i="6" s="1"/>
  <c r="J174" i="7" s="1"/>
  <c r="K108" i="4" s="1"/>
  <c r="L2937" i="6"/>
  <c r="L2938" i="6" s="1"/>
  <c r="L2939" i="6" s="1"/>
  <c r="M2921" i="6" s="1"/>
  <c r="J165" i="7" s="1"/>
  <c r="L2837" i="6"/>
  <c r="L2838" i="6" s="1"/>
  <c r="L2839" i="6" s="1"/>
  <c r="M2821" i="6" s="1"/>
  <c r="J160" i="7" s="1"/>
  <c r="L807" i="6"/>
  <c r="L808" i="6" s="1"/>
  <c r="L809" i="6" s="1"/>
  <c r="M791" i="6" s="1"/>
  <c r="J56" i="7" s="1"/>
  <c r="L1502" i="6"/>
  <c r="L1503" i="6" s="1"/>
  <c r="L1504" i="6" s="1"/>
  <c r="M1477" i="6" s="1"/>
  <c r="J88" i="7" s="1"/>
  <c r="L5506" i="6"/>
  <c r="L5507" i="6" s="1"/>
  <c r="L5508" i="6" s="1"/>
  <c r="M5492" i="6" s="1"/>
  <c r="J309" i="7" s="1"/>
  <c r="L5470" i="6"/>
  <c r="L5471" i="6" s="1"/>
  <c r="L5472" i="6" s="1"/>
  <c r="M5456" i="6" s="1"/>
  <c r="J307" i="7" s="1"/>
  <c r="L5068" i="6"/>
  <c r="L5069" i="6" s="1"/>
  <c r="L5070" i="6" s="1"/>
  <c r="M5052" i="6" s="1"/>
  <c r="J283" i="7" s="1"/>
  <c r="L909" i="6"/>
  <c r="L910" i="6" s="1"/>
  <c r="L911" i="6" s="1"/>
  <c r="M893" i="6" s="1"/>
  <c r="J61" i="7" s="1"/>
  <c r="K37" i="4" s="1"/>
  <c r="L1554" i="6"/>
  <c r="L1555" i="6" s="1"/>
  <c r="L1556" i="6" s="1"/>
  <c r="M1532" i="6" s="1"/>
  <c r="J90" i="7" s="1"/>
  <c r="L1473" i="6"/>
  <c r="L1474" i="6" s="1"/>
  <c r="L1475" i="6" s="1"/>
  <c r="M1448" i="6" s="1"/>
  <c r="J87" i="7" s="1"/>
  <c r="L7740" i="6"/>
  <c r="L7741" i="6" s="1"/>
  <c r="L7742" i="6" s="1"/>
  <c r="M7726" i="6" s="1"/>
  <c r="J438" i="7" s="1"/>
  <c r="L3346" i="6"/>
  <c r="L3347" i="6" s="1"/>
  <c r="L3348" i="6" s="1"/>
  <c r="M3332" i="6" s="1"/>
  <c r="J189" i="7" s="1"/>
  <c r="L1386" i="6"/>
  <c r="L1387" i="6" s="1"/>
  <c r="L1388" i="6" s="1"/>
  <c r="M1361" i="6" s="1"/>
  <c r="J84" i="7" s="1"/>
  <c r="N30" i="9"/>
  <c r="M30" i="9" s="1"/>
  <c r="M29" i="9"/>
  <c r="L6822" i="6"/>
  <c r="L6823" i="6" s="1"/>
  <c r="M6808" i="6" s="1"/>
  <c r="J385" i="7" s="1"/>
  <c r="L6476" i="6"/>
  <c r="L6477" i="6" s="1"/>
  <c r="M6462" i="6" s="1"/>
  <c r="J365" i="7" s="1"/>
  <c r="L6579" i="6"/>
  <c r="L6580" i="6" s="1"/>
  <c r="M6564" i="6" s="1"/>
  <c r="J371" i="7" s="1"/>
  <c r="L6903" i="6"/>
  <c r="L6904" i="6" s="1"/>
  <c r="M6891" i="6" s="1"/>
  <c r="J392" i="7" s="1"/>
  <c r="L6597" i="6"/>
  <c r="L6598" i="6" s="1"/>
  <c r="M6582" i="6" s="1"/>
  <c r="J372" i="7" s="1"/>
  <c r="L6137" i="6"/>
  <c r="L6138" i="6" s="1"/>
  <c r="M6120" i="6" s="1"/>
  <c r="J345" i="7" s="1"/>
  <c r="K64" i="4" s="1"/>
  <c r="L6561" i="6"/>
  <c r="L6562" i="6" s="1"/>
  <c r="M6547" i="6" s="1"/>
  <c r="J370" i="7" s="1"/>
  <c r="K80" i="4" s="1"/>
  <c r="L6631" i="6"/>
  <c r="L6632" i="6" s="1"/>
  <c r="M6617" i="6" s="1"/>
  <c r="J374" i="7" s="1"/>
  <c r="L3145" i="6"/>
  <c r="L3146" i="6" s="1"/>
  <c r="M3130" i="6" s="1"/>
  <c r="J178" i="7" s="1"/>
  <c r="L2740" i="6"/>
  <c r="L2741" i="6" s="1"/>
  <c r="M2724" i="6" s="1"/>
  <c r="J155" i="7" s="1"/>
  <c r="L2233" i="6"/>
  <c r="L2234" i="6" s="1"/>
  <c r="M2219" i="6" s="1"/>
  <c r="J126" i="7" s="1"/>
  <c r="L1050" i="6"/>
  <c r="L1051" i="6" s="1"/>
  <c r="M1036" i="6" s="1"/>
  <c r="J68" i="7" s="1"/>
  <c r="L354" i="6"/>
  <c r="L355" i="6" s="1"/>
  <c r="M343" i="6" s="1"/>
  <c r="J26" i="7" s="1"/>
  <c r="L3835" i="6"/>
  <c r="L3836" i="6" s="1"/>
  <c r="M3818" i="6" s="1"/>
  <c r="J217" i="7" s="1"/>
  <c r="L1067" i="6"/>
  <c r="L1068" i="6" s="1"/>
  <c r="M1053" i="6" s="1"/>
  <c r="J69" i="7" s="1"/>
  <c r="L6682" i="6"/>
  <c r="L6683" i="6" s="1"/>
  <c r="M6668" i="6" s="1"/>
  <c r="J377" i="7" s="1"/>
  <c r="L7633" i="6"/>
  <c r="L7634" i="6" s="1"/>
  <c r="M7618" i="6" s="1"/>
  <c r="J432" i="7" s="1"/>
  <c r="L6401" i="6"/>
  <c r="L6402" i="6" s="1"/>
  <c r="M6384" i="6" s="1"/>
  <c r="J359" i="7" s="1"/>
  <c r="L6805" i="6"/>
  <c r="L6806" i="6" s="1"/>
  <c r="M6791" i="6" s="1"/>
  <c r="J384" i="7" s="1"/>
  <c r="L5651" i="6"/>
  <c r="L5652" i="6" s="1"/>
  <c r="M5636" i="6" s="1"/>
  <c r="J317" i="7" s="1"/>
  <c r="L5198" i="6"/>
  <c r="L5199" i="6" s="1"/>
  <c r="M5184" i="6" s="1"/>
  <c r="J292" i="7" s="1"/>
  <c r="L287" i="6"/>
  <c r="L288" i="6" s="1"/>
  <c r="M276" i="6" s="1"/>
  <c r="J20" i="7" s="1"/>
  <c r="L2105" i="6"/>
  <c r="L2106" i="6" s="1"/>
  <c r="M2091" i="6" s="1"/>
  <c r="J119" i="7" s="1"/>
  <c r="L3015" i="6"/>
  <c r="L3016" i="6" s="1"/>
  <c r="M2999" i="6" s="1"/>
  <c r="J169" i="7" s="1"/>
  <c r="L2052" i="6"/>
  <c r="L2053" i="6" s="1"/>
  <c r="M2040" i="6" s="1"/>
  <c r="J114" i="7" s="1"/>
  <c r="L1084" i="6"/>
  <c r="L1085" i="6" s="1"/>
  <c r="M1070" i="6" s="1"/>
  <c r="J70" i="7" s="1"/>
  <c r="L2037" i="6"/>
  <c r="L2038" i="6" s="1"/>
  <c r="M2026" i="6" s="1"/>
  <c r="J113" i="7" s="1"/>
  <c r="L1761" i="6"/>
  <c r="L1762" i="6" s="1"/>
  <c r="M1747" i="6" s="1"/>
  <c r="J103" i="7" s="1"/>
  <c r="L304" i="6"/>
  <c r="L305" i="6" s="1"/>
  <c r="M290" i="6" s="1"/>
  <c r="J21" i="7" s="1"/>
  <c r="L7705" i="6"/>
  <c r="L7706" i="6" s="1"/>
  <c r="M7690" i="6" s="1"/>
  <c r="J436" i="7" s="1"/>
  <c r="L7000" i="6"/>
  <c r="L7001" i="6" s="1"/>
  <c r="M6988" i="6" s="1"/>
  <c r="J397" i="7" s="1"/>
  <c r="L6614" i="6"/>
  <c r="L6615" i="6" s="1"/>
  <c r="M6600" i="6" s="1"/>
  <c r="J373" i="7" s="1"/>
  <c r="K81" i="4" s="1"/>
  <c r="L7361" i="6"/>
  <c r="L467" i="6"/>
  <c r="L468" i="6" s="1"/>
  <c r="M456" i="6" s="1"/>
  <c r="J34" i="7" s="1"/>
  <c r="L3508" i="6"/>
  <c r="L3509" i="6" s="1"/>
  <c r="M3494" i="6" s="1"/>
  <c r="J198" i="7" s="1"/>
  <c r="L1778" i="6"/>
  <c r="L1779" i="6" s="1"/>
  <c r="M1764" i="6" s="1"/>
  <c r="J104" i="7" s="1"/>
  <c r="L438" i="6"/>
  <c r="L439" i="6" s="1"/>
  <c r="M427" i="6" s="1"/>
  <c r="J32" i="7" s="1"/>
  <c r="L2250" i="6"/>
  <c r="L2251" i="6" s="1"/>
  <c r="M2236" i="6" s="1"/>
  <c r="J127" i="7" s="1"/>
  <c r="L531" i="6"/>
  <c r="L532" i="6" s="1"/>
  <c r="M519" i="6" s="1"/>
  <c r="J38" i="7" s="1"/>
  <c r="K112" i="4" s="1"/>
  <c r="L453" i="6"/>
  <c r="L454" i="6" s="1"/>
  <c r="M441" i="6" s="1"/>
  <c r="J33" i="7" s="1"/>
  <c r="K16" i="4" s="1"/>
  <c r="L2488" i="6"/>
  <c r="L2489" i="6" s="1"/>
  <c r="M2473" i="6" s="1"/>
  <c r="J140" i="7" s="1"/>
  <c r="L1729" i="6"/>
  <c r="L1730" i="6" s="1"/>
  <c r="M1717" i="6" s="1"/>
  <c r="J101" i="7" s="1"/>
  <c r="L7831" i="6"/>
  <c r="L7832" i="6" s="1"/>
  <c r="M7816" i="6" s="1"/>
  <c r="J443" i="7" s="1"/>
  <c r="L7342" i="6"/>
  <c r="L7343" i="6" s="1"/>
  <c r="M7325" i="6" s="1"/>
  <c r="J417" i="7" s="1"/>
  <c r="L7531" i="6"/>
  <c r="L7532" i="6" s="1"/>
  <c r="M7517" i="6" s="1"/>
  <c r="J427" i="7" s="1"/>
  <c r="L6544" i="6"/>
  <c r="L6545" i="6" s="1"/>
  <c r="M6530" i="6" s="1"/>
  <c r="J369" i="7" s="1"/>
  <c r="K79" i="4" s="1"/>
  <c r="L7397" i="6"/>
  <c r="L2340" i="6"/>
  <c r="L2341" i="6" s="1"/>
  <c r="M2326" i="6" s="1"/>
  <c r="J132" i="7" s="1"/>
  <c r="L410" i="6"/>
  <c r="L411" i="6" s="1"/>
  <c r="M399" i="6" s="1"/>
  <c r="J30" i="7" s="1"/>
  <c r="L2008" i="6"/>
  <c r="L2009" i="6" s="1"/>
  <c r="M1993" i="6" s="1"/>
  <c r="J111" i="7" s="1"/>
  <c r="L1714" i="6"/>
  <c r="L1715" i="6" s="1"/>
  <c r="M1702" i="6" s="1"/>
  <c r="J100" i="7" s="1"/>
  <c r="L382" i="6"/>
  <c r="L383" i="6" s="1"/>
  <c r="M371" i="6" s="1"/>
  <c r="J28" i="7" s="1"/>
  <c r="L516" i="6"/>
  <c r="L517" i="6" s="1"/>
  <c r="M504" i="6" s="1"/>
  <c r="J37" i="7" s="1"/>
  <c r="K113" i="4" s="1"/>
  <c r="L340" i="6"/>
  <c r="L341" i="6" s="1"/>
  <c r="M329" i="6" s="1"/>
  <c r="J25" i="7" s="1"/>
  <c r="K107" i="4" s="1"/>
  <c r="L396" i="6"/>
  <c r="L397" i="6" s="1"/>
  <c r="M385" i="6" s="1"/>
  <c r="J29" i="7" s="1"/>
  <c r="L424" i="6"/>
  <c r="L425" i="6" s="1"/>
  <c r="M413" i="6" s="1"/>
  <c r="J31" i="7" s="1"/>
  <c r="L7475" i="6"/>
  <c r="L7380" i="6"/>
  <c r="L7381" i="6" s="1"/>
  <c r="M7365" i="6" s="1"/>
  <c r="J419" i="7" s="1"/>
  <c r="L7719" i="6"/>
  <c r="L7722" i="6" s="1"/>
  <c r="L6648" i="6"/>
  <c r="L6649" i="6" s="1"/>
  <c r="M6634" i="6" s="1"/>
  <c r="J375" i="7" s="1"/>
  <c r="K78" i="4" s="1"/>
  <c r="L7611" i="6"/>
  <c r="L7614" i="6" s="1"/>
  <c r="L6716" i="6"/>
  <c r="L6717" i="6" s="1"/>
  <c r="M6702" i="6" s="1"/>
  <c r="J379" i="7" s="1"/>
  <c r="L4092" i="6"/>
  <c r="L4093" i="6" s="1"/>
  <c r="M4075" i="6" s="1"/>
  <c r="J230" i="7" s="1"/>
  <c r="L2527" i="6"/>
  <c r="L4230" i="6"/>
  <c r="L4231" i="6" s="1"/>
  <c r="M4213" i="6" s="1"/>
  <c r="J237" i="7" s="1"/>
  <c r="L28" i="6"/>
  <c r="L29" i="6" s="1"/>
  <c r="M8" i="6" s="1"/>
  <c r="J7" i="7" s="1"/>
  <c r="L2267" i="6"/>
  <c r="L2268" i="6" s="1"/>
  <c r="M2253" i="6" s="1"/>
  <c r="J128" i="7" s="1"/>
  <c r="L705" i="6"/>
  <c r="L706" i="6" s="1"/>
  <c r="M690" i="6" s="1"/>
  <c r="J49" i="7" s="1"/>
  <c r="K22" i="4" s="1"/>
  <c r="L1795" i="6"/>
  <c r="L1796" i="6" s="1"/>
  <c r="M1781" i="6" s="1"/>
  <c r="J105" i="7" s="1"/>
  <c r="L7813" i="6"/>
  <c r="L7814" i="6" s="1"/>
  <c r="M7798" i="6" s="1"/>
  <c r="J442" i="7" s="1"/>
  <c r="L6699" i="6"/>
  <c r="L6700" i="6" s="1"/>
  <c r="M6685" i="6" s="1"/>
  <c r="J378" i="7" s="1"/>
  <c r="L6839" i="6"/>
  <c r="L6840" i="6" s="1"/>
  <c r="M6825" i="6" s="1"/>
  <c r="J386" i="7" s="1"/>
  <c r="L4829" i="6"/>
  <c r="L4830" i="6" s="1"/>
  <c r="M4813" i="6" s="1"/>
  <c r="J268" i="7" s="1"/>
  <c r="L3420" i="6"/>
  <c r="L3421" i="6" s="1"/>
  <c r="M3405" i="6" s="1"/>
  <c r="J193" i="7" s="1"/>
  <c r="L6888" i="6"/>
  <c r="L6889" i="6" s="1"/>
  <c r="M6876" i="6" s="1"/>
  <c r="J391" i="7" s="1"/>
  <c r="L5181" i="6"/>
  <c r="L5182" i="6" s="1"/>
  <c r="M5167" i="6" s="1"/>
  <c r="J291" i="7" s="1"/>
  <c r="L4310" i="6"/>
  <c r="L4311" i="6" s="1"/>
  <c r="M4293" i="6" s="1"/>
  <c r="J241" i="7" s="1"/>
  <c r="L2506" i="6"/>
  <c r="L2507" i="6" s="1"/>
  <c r="M2491" i="6" s="1"/>
  <c r="J141" i="7" s="1"/>
  <c r="L182" i="6"/>
  <c r="L183" i="6" s="1"/>
  <c r="M171" i="6" s="1"/>
  <c r="J14" i="7" s="1"/>
  <c r="L1744" i="6"/>
  <c r="L1745" i="6" s="1"/>
  <c r="M1732" i="6" s="1"/>
  <c r="J102" i="7" s="1"/>
  <c r="L273" i="6"/>
  <c r="L274" i="6" s="1"/>
  <c r="M261" i="6" s="1"/>
  <c r="J19" i="7" s="1"/>
  <c r="L4072" i="6"/>
  <c r="L4073" i="6" s="1"/>
  <c r="M4055" i="6" s="1"/>
  <c r="J229" i="7" s="1"/>
  <c r="L2548" i="6"/>
  <c r="L2549" i="6" s="1"/>
  <c r="M2532" i="6" s="1"/>
  <c r="J143" i="7" s="1"/>
  <c r="L2122" i="6"/>
  <c r="L2123" i="6" s="1"/>
  <c r="M2108" i="6" s="1"/>
  <c r="J120" i="7" s="1"/>
  <c r="L608" i="6"/>
  <c r="L609" i="6" s="1"/>
  <c r="M592" i="6" s="1"/>
  <c r="J44" i="7" s="1"/>
  <c r="L2023" i="6"/>
  <c r="L2024" i="6" s="1"/>
  <c r="M2011" i="6" s="1"/>
  <c r="J112" i="7" s="1"/>
  <c r="L5930" i="6"/>
  <c r="L5931" i="6" s="1"/>
  <c r="M5916" i="6" s="1"/>
  <c r="J332" i="7" s="1"/>
  <c r="L6527" i="6"/>
  <c r="L6528" i="6" s="1"/>
  <c r="M6513" i="6" s="1"/>
  <c r="J368" i="7" s="1"/>
  <c r="L6665" i="6"/>
  <c r="L6666" i="6" s="1"/>
  <c r="M6651" i="6" s="1"/>
  <c r="J376" i="7" s="1"/>
  <c r="L6493" i="6"/>
  <c r="L6494" i="6" s="1"/>
  <c r="M6479" i="6" s="1"/>
  <c r="J366" i="7" s="1"/>
  <c r="K75" i="4" s="1"/>
  <c r="L6510" i="6"/>
  <c r="L6511" i="6" s="1"/>
  <c r="M6496" i="6" s="1"/>
  <c r="J367" i="7" s="1"/>
  <c r="L6966" i="6"/>
  <c r="L6967" i="6" s="1"/>
  <c r="M6952" i="6" s="1"/>
  <c r="J395" i="7" s="1"/>
  <c r="L7073" i="6"/>
  <c r="L7074" i="6" s="1"/>
  <c r="M7059" i="6" s="1"/>
  <c r="J401" i="7" s="1"/>
  <c r="L6873" i="6"/>
  <c r="L6874" i="6" s="1"/>
  <c r="M6861" i="6" s="1"/>
  <c r="J390" i="7" s="1"/>
  <c r="L5579" i="6"/>
  <c r="L5580" i="6" s="1"/>
  <c r="M5564" i="6" s="1"/>
  <c r="J313" i="7" s="1"/>
  <c r="L5435" i="6"/>
  <c r="L5436" i="6" s="1"/>
  <c r="M5420" i="6" s="1"/>
  <c r="J305" i="7" s="1"/>
  <c r="L6985" i="6"/>
  <c r="L6986" i="6" s="1"/>
  <c r="M6969" i="6" s="1"/>
  <c r="J396" i="7" s="1"/>
  <c r="L5164" i="6"/>
  <c r="L5165" i="6" s="1"/>
  <c r="M5150" i="6" s="1"/>
  <c r="J290" i="7" s="1"/>
  <c r="L3491" i="6"/>
  <c r="L3492" i="6" s="1"/>
  <c r="M3477" i="6" s="1"/>
  <c r="J197" i="7" s="1"/>
  <c r="L4774" i="6"/>
  <c r="L4775" i="6" s="1"/>
  <c r="M4760" i="6" s="1"/>
  <c r="J265" i="7" s="1"/>
  <c r="L3438" i="6"/>
  <c r="L3439" i="6" s="1"/>
  <c r="M3423" i="6" s="1"/>
  <c r="J194" i="7" s="1"/>
  <c r="L2087" i="6"/>
  <c r="L2088" i="6" s="1"/>
  <c r="M2074" i="6" s="1"/>
  <c r="J116" i="7" s="1"/>
  <c r="L1678" i="6"/>
  <c r="L1679" i="6" s="1"/>
  <c r="M1661" i="6" s="1"/>
  <c r="J98" i="7" s="1"/>
  <c r="L3543" i="6"/>
  <c r="L3544" i="6" s="1"/>
  <c r="M3529" i="6" s="1"/>
  <c r="J200" i="7" s="1"/>
  <c r="K26" i="4" s="1"/>
  <c r="L482" i="6"/>
  <c r="L483" i="6" s="1"/>
  <c r="M470" i="6" s="1"/>
  <c r="J35" i="7" s="1"/>
  <c r="K110" i="4" s="1"/>
  <c r="L368" i="6"/>
  <c r="L369" i="6" s="1"/>
  <c r="M357" i="6" s="1"/>
  <c r="J27" i="7" s="1"/>
  <c r="L2216" i="6"/>
  <c r="L2217" i="6" s="1"/>
  <c r="M2202" i="6" s="1"/>
  <c r="J125" i="7" s="1"/>
  <c r="L48" i="4" l="1"/>
  <c r="K109" i="4"/>
  <c r="K49" i="4"/>
  <c r="K119" i="4"/>
  <c r="L119" i="4" s="1"/>
  <c r="K41" i="4"/>
  <c r="K88" i="4"/>
  <c r="K66" i="4"/>
  <c r="L66" i="4" s="1"/>
  <c r="K33" i="4"/>
  <c r="K118" i="4"/>
  <c r="K101" i="4"/>
  <c r="K44" i="4"/>
  <c r="L44" i="4" s="1"/>
  <c r="K8" i="4"/>
  <c r="K126" i="4"/>
  <c r="L112" i="4"/>
  <c r="L89" i="4"/>
  <c r="K116" i="4"/>
  <c r="K115" i="4"/>
  <c r="K117" i="4"/>
  <c r="K111" i="4"/>
  <c r="L111" i="4" s="1"/>
  <c r="K45" i="4"/>
  <c r="K96" i="4"/>
  <c r="L96" i="4" s="1"/>
  <c r="K120" i="4"/>
  <c r="L120" i="4" s="1"/>
  <c r="L113" i="4"/>
  <c r="K95" i="4"/>
  <c r="L95" i="4" s="1"/>
  <c r="K90" i="4"/>
  <c r="L90" i="4" s="1"/>
  <c r="K77" i="4"/>
  <c r="L77" i="4" s="1"/>
  <c r="K92" i="4"/>
  <c r="L92" i="4" s="1"/>
  <c r="K76" i="4"/>
  <c r="L76" i="4" s="1"/>
  <c r="K94" i="4"/>
  <c r="L94" i="4" s="1"/>
  <c r="K24" i="4"/>
  <c r="K15" i="4"/>
  <c r="L15" i="4" s="1"/>
  <c r="L115" i="4"/>
  <c r="L88" i="4"/>
  <c r="L75" i="4"/>
  <c r="K17" i="4"/>
  <c r="K25" i="4"/>
  <c r="K23" i="4"/>
  <c r="K18" i="4"/>
  <c r="L109" i="4"/>
  <c r="L118" i="4"/>
  <c r="L114" i="4"/>
  <c r="L117" i="4"/>
  <c r="L93" i="4"/>
  <c r="L116" i="4"/>
  <c r="L78" i="4"/>
  <c r="L110" i="4"/>
  <c r="K43" i="4"/>
  <c r="K39" i="4"/>
  <c r="K31" i="4"/>
  <c r="K47" i="4"/>
  <c r="J51" i="12"/>
  <c r="J79" i="12"/>
  <c r="K79" i="12" s="1"/>
  <c r="J53" i="12"/>
  <c r="I54" i="11"/>
  <c r="I82" i="11"/>
  <c r="J82" i="11" s="1"/>
  <c r="J81" i="12"/>
  <c r="K81" i="12" s="1"/>
  <c r="I81" i="11"/>
  <c r="J81" i="11" s="1"/>
  <c r="J80" i="12"/>
  <c r="K80" i="12" s="1"/>
  <c r="J14" i="12"/>
  <c r="J85" i="12"/>
  <c r="K85" i="12" s="1"/>
  <c r="J72" i="12"/>
  <c r="J64" i="12"/>
  <c r="J50" i="12"/>
  <c r="J87" i="12"/>
  <c r="K87" i="12" s="1"/>
  <c r="J58" i="12"/>
  <c r="J109" i="12"/>
  <c r="K109" i="12" s="1"/>
  <c r="J60" i="12"/>
  <c r="K60" i="12" s="1"/>
  <c r="J59" i="12"/>
  <c r="J23" i="12"/>
  <c r="J68" i="12"/>
  <c r="K68" i="12" s="1"/>
  <c r="J7" i="12"/>
  <c r="J114" i="12" s="1"/>
  <c r="J102" i="12"/>
  <c r="K102" i="12" s="1"/>
  <c r="J71" i="12"/>
  <c r="J83" i="12"/>
  <c r="K83" i="12" s="1"/>
  <c r="J56" i="12"/>
  <c r="J84" i="12"/>
  <c r="K84" i="12" s="1"/>
  <c r="J92" i="12"/>
  <c r="J49" i="12"/>
  <c r="J20" i="12"/>
  <c r="J57" i="12"/>
  <c r="J63" i="12"/>
  <c r="J67" i="12"/>
  <c r="K67" i="12" s="1"/>
  <c r="J86" i="12"/>
  <c r="K86" i="12" s="1"/>
  <c r="J73" i="12"/>
  <c r="J22" i="12"/>
  <c r="J97" i="12"/>
  <c r="J52" i="12"/>
  <c r="J93" i="12"/>
  <c r="J8" i="12"/>
  <c r="J40" i="12"/>
  <c r="K40" i="12" s="1"/>
  <c r="J44" i="12"/>
  <c r="K44" i="12" s="1"/>
  <c r="J98" i="12"/>
  <c r="K98" i="12" s="1"/>
  <c r="J19" i="12"/>
  <c r="J96" i="12"/>
  <c r="J13" i="12"/>
  <c r="J101" i="12"/>
  <c r="K101" i="12" s="1"/>
  <c r="J100" i="12"/>
  <c r="K100" i="12" s="1"/>
  <c r="J31" i="12"/>
  <c r="J43" i="12"/>
  <c r="J27" i="12"/>
  <c r="J39" i="12"/>
  <c r="J35" i="12"/>
  <c r="J21" i="12"/>
  <c r="J111" i="12"/>
  <c r="J99" i="12"/>
  <c r="K99" i="12" s="1"/>
  <c r="J15" i="12"/>
  <c r="J16" i="12"/>
  <c r="J69" i="12"/>
  <c r="K69" i="12" s="1"/>
  <c r="J70" i="12"/>
  <c r="K70" i="12" s="1"/>
  <c r="J41" i="12"/>
  <c r="J37" i="12"/>
  <c r="J45" i="12"/>
  <c r="J33" i="12"/>
  <c r="J29" i="12"/>
  <c r="J91" i="12"/>
  <c r="J90" i="12"/>
  <c r="J108" i="12"/>
  <c r="K108" i="12" s="1"/>
  <c r="J105" i="12"/>
  <c r="K105" i="12" s="1"/>
  <c r="J104" i="12"/>
  <c r="K104" i="12" s="1"/>
  <c r="J36" i="12"/>
  <c r="J32" i="12"/>
  <c r="J28" i="12"/>
  <c r="J107" i="12"/>
  <c r="K107" i="12" s="1"/>
  <c r="J106" i="12"/>
  <c r="K106" i="12" s="1"/>
  <c r="J103" i="12"/>
  <c r="K103" i="12" s="1"/>
  <c r="I9" i="11"/>
  <c r="I92" i="11"/>
  <c r="I91" i="11"/>
  <c r="I84" i="11"/>
  <c r="J84" i="11" s="1"/>
  <c r="I73" i="11"/>
  <c r="I53" i="11"/>
  <c r="I94" i="11"/>
  <c r="I15" i="11"/>
  <c r="I74" i="11"/>
  <c r="I59" i="11"/>
  <c r="I65" i="11"/>
  <c r="I51" i="11"/>
  <c r="I100" i="11"/>
  <c r="J100" i="11" s="1"/>
  <c r="I16" i="11"/>
  <c r="I17" i="11"/>
  <c r="I46" i="11"/>
  <c r="I30" i="11"/>
  <c r="I42" i="11"/>
  <c r="I38" i="11"/>
  <c r="I34" i="11"/>
  <c r="I69" i="11"/>
  <c r="J69" i="11" s="1"/>
  <c r="I8" i="11"/>
  <c r="I99" i="11"/>
  <c r="J99" i="11" s="1"/>
  <c r="I20" i="11"/>
  <c r="I14" i="11"/>
  <c r="I97" i="11"/>
  <c r="I101" i="11"/>
  <c r="J101" i="11" s="1"/>
  <c r="I102" i="11"/>
  <c r="J102" i="11" s="1"/>
  <c r="I86" i="11"/>
  <c r="J86" i="11" s="1"/>
  <c r="I23" i="11"/>
  <c r="I110" i="11"/>
  <c r="J110" i="11" s="1"/>
  <c r="I37" i="11"/>
  <c r="I33" i="11"/>
  <c r="I29" i="11"/>
  <c r="I107" i="11"/>
  <c r="J107" i="11" s="1"/>
  <c r="I108" i="11"/>
  <c r="J108" i="11" s="1"/>
  <c r="I104" i="11"/>
  <c r="J104" i="11" s="1"/>
  <c r="I61" i="11"/>
  <c r="J61" i="11" s="1"/>
  <c r="I60" i="11"/>
  <c r="I87" i="11"/>
  <c r="J87" i="11" s="1"/>
  <c r="I106" i="11"/>
  <c r="J106" i="11" s="1"/>
  <c r="I109" i="11"/>
  <c r="J109" i="11" s="1"/>
  <c r="I105" i="11"/>
  <c r="J105" i="11" s="1"/>
  <c r="I98" i="11"/>
  <c r="I24" i="11"/>
  <c r="I88" i="11"/>
  <c r="J88" i="11" s="1"/>
  <c r="I41" i="11"/>
  <c r="J41" i="11" s="1"/>
  <c r="I45" i="11"/>
  <c r="J45" i="11" s="1"/>
  <c r="I68" i="11"/>
  <c r="J68" i="11" s="1"/>
  <c r="I70" i="11"/>
  <c r="J70" i="11" s="1"/>
  <c r="I71" i="11"/>
  <c r="J71" i="11" s="1"/>
  <c r="I103" i="11"/>
  <c r="J103" i="11" s="1"/>
  <c r="I72" i="11"/>
  <c r="I57" i="11"/>
  <c r="I85" i="11"/>
  <c r="J85" i="11" s="1"/>
  <c r="I36" i="11"/>
  <c r="I32" i="11"/>
  <c r="I40" i="11"/>
  <c r="I44" i="11"/>
  <c r="I28" i="11"/>
  <c r="I93" i="11"/>
  <c r="I50" i="11"/>
  <c r="I21" i="11"/>
  <c r="I22" i="11"/>
  <c r="I112" i="11"/>
  <c r="I58" i="11"/>
  <c r="I64" i="11"/>
  <c r="E212" i="8"/>
  <c r="E213" i="8" s="1"/>
  <c r="E214" i="8" s="1"/>
  <c r="E215" i="8" s="1"/>
  <c r="E216" i="8" s="1"/>
  <c r="E217" i="8" s="1"/>
  <c r="E218" i="8" s="1"/>
  <c r="E219" i="8" s="1"/>
  <c r="E220" i="8" s="1"/>
  <c r="E221" i="8" s="1"/>
  <c r="E222" i="8" s="1"/>
  <c r="E223" i="8" s="1"/>
  <c r="E224" i="8" s="1"/>
  <c r="E225" i="8" s="1"/>
  <c r="E226" i="8" s="1"/>
  <c r="E227" i="8" s="1"/>
  <c r="E228" i="8" s="1"/>
  <c r="E229" i="8" s="1"/>
  <c r="E230" i="8" s="1"/>
  <c r="E231" i="8" s="1"/>
  <c r="E232" i="8" s="1"/>
  <c r="E233" i="8" s="1"/>
  <c r="E234" i="8" s="1"/>
  <c r="E235" i="8" s="1"/>
  <c r="E236" i="8" s="1"/>
  <c r="E237" i="8" s="1"/>
  <c r="E238" i="8" s="1"/>
  <c r="E239" i="8" s="1"/>
  <c r="E240" i="8" s="1"/>
  <c r="E241" i="8" s="1"/>
  <c r="E242" i="8" s="1"/>
  <c r="E243" i="8" s="1"/>
  <c r="E244" i="8" s="1"/>
  <c r="E245" i="8" s="1"/>
  <c r="E246" i="8" s="1"/>
  <c r="E247" i="8" s="1"/>
  <c r="E248" i="8" s="1"/>
  <c r="E249" i="8" s="1"/>
  <c r="E250" i="8" s="1"/>
  <c r="E251" i="8" s="1"/>
  <c r="E252" i="8" s="1"/>
  <c r="E253" i="8" s="1"/>
  <c r="E254" i="8" s="1"/>
  <c r="E255" i="8" s="1"/>
  <c r="E256" i="8" s="1"/>
  <c r="E257" i="8" s="1"/>
  <c r="E258" i="8" s="1"/>
  <c r="E259" i="8" s="1"/>
  <c r="E260" i="8" s="1"/>
  <c r="E261" i="8" s="1"/>
  <c r="E262" i="8" s="1"/>
  <c r="E263" i="8" s="1"/>
  <c r="E264" i="8" s="1"/>
  <c r="E265" i="8" s="1"/>
  <c r="E266" i="8" s="1"/>
  <c r="E267" i="8" s="1"/>
  <c r="E268" i="8" s="1"/>
  <c r="E269" i="8" s="1"/>
  <c r="E270" i="8" s="1"/>
  <c r="E271" i="8" s="1"/>
  <c r="E272" i="8" s="1"/>
  <c r="E273" i="8" s="1"/>
  <c r="E274" i="8" s="1"/>
  <c r="E275" i="8" s="1"/>
  <c r="E276" i="8" s="1"/>
  <c r="E277" i="8" s="1"/>
  <c r="E278" i="8" s="1"/>
  <c r="E279" i="8" s="1"/>
  <c r="E280" i="8" s="1"/>
  <c r="E281" i="8" s="1"/>
  <c r="E282" i="8" s="1"/>
  <c r="E283" i="8" s="1"/>
  <c r="E284" i="8" s="1"/>
  <c r="E285" i="8" s="1"/>
  <c r="E286" i="8" s="1"/>
  <c r="E287" i="8" s="1"/>
  <c r="E288" i="8" s="1"/>
  <c r="E289" i="8" s="1"/>
  <c r="E290" i="8" s="1"/>
  <c r="E291" i="8" s="1"/>
  <c r="E292" i="8" s="1"/>
  <c r="E293" i="8" s="1"/>
  <c r="E294" i="8" s="1"/>
  <c r="E295" i="8" s="1"/>
  <c r="E296" i="8" s="1"/>
  <c r="E297" i="8" s="1"/>
  <c r="E298" i="8" s="1"/>
  <c r="E299" i="8" s="1"/>
  <c r="E300" i="8" s="1"/>
  <c r="E301" i="8" s="1"/>
  <c r="E302" i="8" s="1"/>
  <c r="E303" i="8" s="1"/>
  <c r="E304" i="8" s="1"/>
  <c r="E305" i="8" s="1"/>
  <c r="E306" i="8" s="1"/>
  <c r="E307" i="8" s="1"/>
  <c r="E308" i="8" s="1"/>
  <c r="E309" i="8" s="1"/>
  <c r="E310" i="8" s="1"/>
  <c r="E311" i="8" s="1"/>
  <c r="E312" i="8" s="1"/>
  <c r="E313" i="8" s="1"/>
  <c r="E314" i="8" s="1"/>
  <c r="E315" i="8" s="1"/>
  <c r="E316" i="8" s="1"/>
  <c r="E317" i="8" s="1"/>
  <c r="E318" i="8" s="1"/>
  <c r="E319" i="8" s="1"/>
  <c r="E320" i="8" s="1"/>
  <c r="E321" i="8" s="1"/>
  <c r="E322" i="8" s="1"/>
  <c r="E323" i="8" s="1"/>
  <c r="E324" i="8" s="1"/>
  <c r="E325" i="8" s="1"/>
  <c r="E326" i="8" s="1"/>
  <c r="E327" i="8" s="1"/>
  <c r="E328" i="8" s="1"/>
  <c r="E329" i="8" s="1"/>
  <c r="E330" i="8" s="1"/>
  <c r="E331" i="8" s="1"/>
  <c r="E332" i="8" s="1"/>
  <c r="E333" i="8" s="1"/>
  <c r="E334" i="8" s="1"/>
  <c r="E335" i="8" s="1"/>
  <c r="E336" i="8" s="1"/>
  <c r="E337" i="8" s="1"/>
  <c r="E338" i="8" s="1"/>
  <c r="E339" i="8" s="1"/>
  <c r="E340" i="8" s="1"/>
  <c r="E341" i="8" s="1"/>
  <c r="E342" i="8" s="1"/>
  <c r="E343" i="8" s="1"/>
  <c r="E344" i="8" s="1"/>
  <c r="E345" i="8" s="1"/>
  <c r="E346" i="8" s="1"/>
  <c r="E347" i="8" s="1"/>
  <c r="E348" i="8" s="1"/>
  <c r="E349" i="8" s="1"/>
  <c r="E350" i="8" s="1"/>
  <c r="E351" i="8" s="1"/>
  <c r="E352" i="8" s="1"/>
  <c r="E353" i="8" s="1"/>
  <c r="E354" i="8" s="1"/>
  <c r="E355" i="8" s="1"/>
  <c r="E356" i="8" s="1"/>
  <c r="E357" i="8" s="1"/>
  <c r="E358" i="8" s="1"/>
  <c r="E359" i="8" s="1"/>
  <c r="E360" i="8" s="1"/>
  <c r="E361" i="8" s="1"/>
  <c r="E362" i="8" s="1"/>
  <c r="E363" i="8" s="1"/>
  <c r="E364" i="8" s="1"/>
  <c r="E365" i="8" s="1"/>
  <c r="E366" i="8" s="1"/>
  <c r="E367" i="8" s="1"/>
  <c r="E368" i="8" s="1"/>
  <c r="E369" i="8" s="1"/>
  <c r="E370" i="8" s="1"/>
  <c r="E371" i="8" s="1"/>
  <c r="E372" i="8" s="1"/>
  <c r="E373" i="8" s="1"/>
  <c r="E374" i="8" s="1"/>
  <c r="E375" i="8" s="1"/>
  <c r="E376" i="8" s="1"/>
  <c r="E377" i="8" s="1"/>
  <c r="E378" i="8" s="1"/>
  <c r="E379" i="8" s="1"/>
  <c r="E380" i="8" s="1"/>
  <c r="E381" i="8" s="1"/>
  <c r="E382" i="8" s="1"/>
  <c r="E383" i="8" s="1"/>
  <c r="E384" i="8" s="1"/>
  <c r="E385" i="8" s="1"/>
  <c r="E386" i="8" s="1"/>
  <c r="E387" i="8" s="1"/>
  <c r="E388" i="8" s="1"/>
  <c r="E389" i="8" s="1"/>
  <c r="E390" i="8" s="1"/>
  <c r="E391" i="8" s="1"/>
  <c r="E392" i="8" s="1"/>
  <c r="E393" i="8" s="1"/>
  <c r="E394" i="8" s="1"/>
  <c r="E395" i="8" s="1"/>
  <c r="E396" i="8" s="1"/>
  <c r="E397" i="8" s="1"/>
  <c r="E398" i="8" s="1"/>
  <c r="E399" i="8" s="1"/>
  <c r="E400" i="8" s="1"/>
  <c r="E401" i="8" s="1"/>
  <c r="E402" i="8" s="1"/>
  <c r="E403" i="8" s="1"/>
  <c r="E404" i="8" s="1"/>
  <c r="E405" i="8" s="1"/>
  <c r="E406" i="8" s="1"/>
  <c r="E407" i="8" s="1"/>
  <c r="E408" i="8" s="1"/>
  <c r="E409" i="8" s="1"/>
  <c r="E410" i="8" s="1"/>
  <c r="E411" i="8" s="1"/>
  <c r="E412" i="8" s="1"/>
  <c r="E413" i="8" s="1"/>
  <c r="E414" i="8" s="1"/>
  <c r="E415" i="8" s="1"/>
  <c r="E416" i="8" s="1"/>
  <c r="E417" i="8" s="1"/>
  <c r="E418" i="8" s="1"/>
  <c r="E419" i="8" s="1"/>
  <c r="E420" i="8" s="1"/>
  <c r="E421" i="8" s="1"/>
  <c r="E422" i="8" s="1"/>
  <c r="E423" i="8" s="1"/>
  <c r="E424" i="8" s="1"/>
  <c r="E425" i="8" s="1"/>
  <c r="E426" i="8" s="1"/>
  <c r="E427" i="8" s="1"/>
  <c r="E428" i="8" s="1"/>
  <c r="E429" i="8" s="1"/>
  <c r="E430" i="8" s="1"/>
  <c r="E431" i="8" s="1"/>
  <c r="E433" i="8" s="1"/>
  <c r="E434" i="8" s="1"/>
  <c r="E435" i="8" s="1"/>
  <c r="E436" i="8" s="1"/>
  <c r="E437" i="8" s="1"/>
  <c r="E438" i="8" s="1"/>
  <c r="E439" i="8" s="1"/>
  <c r="E440" i="8" s="1"/>
  <c r="E441" i="8" s="1"/>
  <c r="E442" i="8" s="1"/>
  <c r="E443" i="8" s="1"/>
  <c r="E444" i="8" s="1"/>
  <c r="E445" i="8" s="1"/>
  <c r="E446" i="8" s="1"/>
  <c r="E447" i="8" s="1"/>
  <c r="E448" i="8" s="1"/>
  <c r="E449" i="8" s="1"/>
  <c r="E450" i="8" s="1"/>
  <c r="E451" i="8" s="1"/>
  <c r="E452" i="8" s="1"/>
  <c r="E453" i="8" s="1"/>
  <c r="E454" i="8" s="1"/>
  <c r="E455" i="8" s="1"/>
  <c r="E456" i="8" s="1"/>
  <c r="E457" i="8" s="1"/>
  <c r="E458" i="8" s="1"/>
  <c r="E459" i="8" s="1"/>
  <c r="E460" i="8" s="1"/>
  <c r="E461" i="8" s="1"/>
  <c r="E462" i="8" s="1"/>
  <c r="E463" i="8" s="1"/>
  <c r="E464" i="8" s="1"/>
  <c r="E465" i="8" s="1"/>
  <c r="E466" i="8" s="1"/>
  <c r="E467" i="8" s="1"/>
  <c r="E468" i="8" s="1"/>
  <c r="E469" i="8" s="1"/>
  <c r="E470" i="8" s="1"/>
  <c r="E471" i="8" s="1"/>
  <c r="E472" i="8" s="1"/>
  <c r="E473" i="8" s="1"/>
  <c r="E474" i="8" s="1"/>
  <c r="E475" i="8" s="1"/>
  <c r="E476" i="8" s="1"/>
  <c r="E477" i="8" s="1"/>
  <c r="E478" i="8" s="1"/>
  <c r="E479" i="8" s="1"/>
  <c r="E480" i="8" s="1"/>
  <c r="E481" i="8" s="1"/>
  <c r="E482" i="8" s="1"/>
  <c r="E483" i="8" s="1"/>
  <c r="E484" i="8" s="1"/>
  <c r="E485" i="8" s="1"/>
  <c r="L2180" i="6"/>
  <c r="L2181" i="6" s="1"/>
  <c r="L2182" i="6" s="1"/>
  <c r="K2194" i="6"/>
  <c r="L2194" i="6" s="1"/>
  <c r="L2195" i="6" s="1"/>
  <c r="K2371" i="6"/>
  <c r="L2371" i="6" s="1"/>
  <c r="L2373" i="6" s="1"/>
  <c r="L2376" i="6" s="1"/>
  <c r="L2377" i="6" s="1"/>
  <c r="L2378" i="6" s="1"/>
  <c r="M2361" i="6" s="1"/>
  <c r="J134" i="7" s="1"/>
  <c r="J454" i="7"/>
  <c r="J284" i="7"/>
  <c r="J287" i="7"/>
  <c r="L2357" i="6"/>
  <c r="L2358" i="6" s="1"/>
  <c r="L2359" i="6" s="1"/>
  <c r="M2343" i="6" s="1"/>
  <c r="J133" i="7" s="1"/>
  <c r="L242" i="6"/>
  <c r="M226" i="6" s="1"/>
  <c r="J17" i="7" s="1"/>
  <c r="L7163" i="6"/>
  <c r="L7166" i="6" s="1"/>
  <c r="L7615" i="6"/>
  <c r="L7616" i="6" s="1"/>
  <c r="M7600" i="6" s="1"/>
  <c r="J431" i="7" s="1"/>
  <c r="L7723" i="6"/>
  <c r="L7724" i="6" s="1"/>
  <c r="M7708" i="6" s="1"/>
  <c r="J437" i="7" s="1"/>
  <c r="L7476" i="6"/>
  <c r="L7477" i="6" s="1"/>
  <c r="M7458" i="6" s="1"/>
  <c r="J424" i="7" s="1"/>
  <c r="L7398" i="6"/>
  <c r="L7399" i="6" s="1"/>
  <c r="M7383" i="6" s="1"/>
  <c r="J420" i="7" s="1"/>
  <c r="L2528" i="6"/>
  <c r="L2529" i="6" s="1"/>
  <c r="M2509" i="6" s="1"/>
  <c r="J142" i="7" s="1"/>
  <c r="K53" i="4" s="1"/>
  <c r="L7362" i="6"/>
  <c r="L7363" i="6" s="1"/>
  <c r="M7345" i="6" s="1"/>
  <c r="J418" i="7" s="1"/>
  <c r="K87" i="4" l="1"/>
  <c r="L87" i="4" s="1"/>
  <c r="K85" i="4"/>
  <c r="L85" i="4" s="1"/>
  <c r="K86" i="4"/>
  <c r="L86" i="4" s="1"/>
  <c r="J48" i="12"/>
  <c r="J78" i="12"/>
  <c r="K78" i="12" s="1"/>
  <c r="J77" i="12"/>
  <c r="K77" i="12" s="1"/>
  <c r="J76" i="12"/>
  <c r="K76" i="12" s="1"/>
  <c r="I77" i="11"/>
  <c r="J77" i="11" s="1"/>
  <c r="I78" i="11"/>
  <c r="J78" i="11" s="1"/>
  <c r="I79" i="11"/>
  <c r="J79" i="11" s="1"/>
  <c r="I49" i="11"/>
  <c r="I115" i="11"/>
  <c r="M2163" i="6"/>
  <c r="J123" i="7" s="1"/>
  <c r="L2198" i="6"/>
  <c r="L2199" i="6" s="1"/>
  <c r="L2200" i="6" s="1"/>
  <c r="M2183" i="6" s="1"/>
  <c r="J124" i="7" s="1"/>
  <c r="L7167" i="6"/>
  <c r="L7168" i="6" s="1"/>
  <c r="M7150" i="6" s="1"/>
  <c r="J406" i="7" s="1"/>
  <c r="K88" i="12" l="1"/>
  <c r="J89" i="11"/>
  <c r="L98" i="4"/>
  <c r="J15" i="10" l="1"/>
  <c r="K55" i="16"/>
  <c r="L10" i="4" l="1"/>
  <c r="I9" i="12"/>
  <c r="K9" i="12" s="1"/>
  <c r="H10" i="11"/>
  <c r="J10" i="11" s="1"/>
  <c r="J11" i="4"/>
  <c r="L11" i="4" s="1"/>
  <c r="I10" i="12"/>
  <c r="K10" i="12" s="1"/>
  <c r="H11" i="11"/>
  <c r="J11" i="11" s="1"/>
  <c r="J122" i="4" l="1"/>
  <c r="L122" i="4" s="1"/>
  <c r="I111" i="12"/>
  <c r="K111" i="12" s="1"/>
  <c r="H112" i="11"/>
  <c r="J112" i="11" s="1"/>
  <c r="J80" i="4" l="1"/>
  <c r="L80" i="4" s="1"/>
  <c r="I72" i="12"/>
  <c r="K72" i="12" s="1"/>
  <c r="H73" i="11"/>
  <c r="J73" i="11" s="1"/>
  <c r="J107" i="4"/>
  <c r="L107" i="4" s="1"/>
  <c r="I96" i="12"/>
  <c r="K96" i="12" s="1"/>
  <c r="H97" i="11"/>
  <c r="J97" i="11" s="1"/>
  <c r="J81" i="4"/>
  <c r="L81" i="4" s="1"/>
  <c r="I73" i="12"/>
  <c r="K73" i="12" s="1"/>
  <c r="H74" i="11"/>
  <c r="J74" i="11" s="1"/>
  <c r="J108" i="4"/>
  <c r="L108" i="4" s="1"/>
  <c r="I97" i="12"/>
  <c r="K97" i="12" s="1"/>
  <c r="H98" i="11"/>
  <c r="J98" i="11" s="1"/>
  <c r="J79" i="4"/>
  <c r="L79" i="4" s="1"/>
  <c r="I71" i="12"/>
  <c r="K71" i="12" s="1"/>
  <c r="H72" i="11"/>
  <c r="J72" i="11" s="1"/>
  <c r="L83" i="4" l="1"/>
  <c r="J14" i="10" s="1"/>
  <c r="L124" i="4"/>
  <c r="J113" i="11"/>
  <c r="K74" i="12"/>
  <c r="J75" i="11"/>
  <c r="K112" i="12"/>
  <c r="K54" i="16" l="1"/>
  <c r="J17" i="10"/>
  <c r="K57" i="16"/>
  <c r="J64" i="4"/>
  <c r="L64" i="4" s="1"/>
  <c r="I58" i="12"/>
  <c r="K58" i="12" s="1"/>
  <c r="H59" i="11"/>
  <c r="J59" i="11" s="1"/>
  <c r="J63" i="4"/>
  <c r="L63" i="4" s="1"/>
  <c r="I57" i="12"/>
  <c r="K57" i="12" s="1"/>
  <c r="H58" i="11"/>
  <c r="J58" i="11" s="1"/>
  <c r="J71" i="4"/>
  <c r="L71" i="4" s="1"/>
  <c r="I64" i="12"/>
  <c r="K64" i="12" s="1"/>
  <c r="H65" i="11"/>
  <c r="J65" i="11" s="1"/>
  <c r="J65" i="4"/>
  <c r="L65" i="4" s="1"/>
  <c r="I59" i="12"/>
  <c r="K59" i="12" s="1"/>
  <c r="H60" i="11"/>
  <c r="J60" i="11" s="1"/>
  <c r="J62" i="4" l="1"/>
  <c r="I56" i="12"/>
  <c r="K56" i="12" s="1"/>
  <c r="H57" i="11"/>
  <c r="J57" i="11" s="1"/>
  <c r="J70" i="4"/>
  <c r="I63" i="12"/>
  <c r="K63" i="12" s="1"/>
  <c r="H64" i="11"/>
  <c r="J64" i="11" s="1"/>
  <c r="L70" i="4" l="1"/>
  <c r="L73" i="4" s="1"/>
  <c r="L62" i="4"/>
  <c r="L68" i="4" s="1"/>
  <c r="K65" i="12"/>
  <c r="J66" i="11"/>
  <c r="J54" i="4"/>
  <c r="L54" i="4" s="1"/>
  <c r="I49" i="12"/>
  <c r="K49" i="12" s="1"/>
  <c r="H50" i="11"/>
  <c r="J50" i="11" s="1"/>
  <c r="J62" i="11"/>
  <c r="K61" i="12"/>
  <c r="J12" i="10" l="1"/>
  <c r="K52" i="16"/>
  <c r="J13" i="10"/>
  <c r="K53" i="16"/>
  <c r="J56" i="4"/>
  <c r="L56" i="4" s="1"/>
  <c r="I51" i="12"/>
  <c r="K51" i="12" s="1"/>
  <c r="H52" i="11"/>
  <c r="J52" i="11" s="1"/>
  <c r="J102" i="4"/>
  <c r="L102" i="4" s="1"/>
  <c r="I92" i="12"/>
  <c r="K92" i="12" s="1"/>
  <c r="H93" i="11"/>
  <c r="J93" i="11" s="1"/>
  <c r="J103" i="4"/>
  <c r="L103" i="4" s="1"/>
  <c r="I93" i="12"/>
  <c r="K93" i="12" s="1"/>
  <c r="H94" i="11"/>
  <c r="J94" i="11" s="1"/>
  <c r="J45" i="4" l="1"/>
  <c r="L45" i="4" s="1"/>
  <c r="I41" i="12"/>
  <c r="K41" i="12" s="1"/>
  <c r="H42" i="11"/>
  <c r="J42" i="11" s="1"/>
  <c r="J58" i="4"/>
  <c r="L58" i="4" s="1"/>
  <c r="I53" i="12"/>
  <c r="K53" i="12" s="1"/>
  <c r="H54" i="11"/>
  <c r="J54" i="11" s="1"/>
  <c r="J57" i="4"/>
  <c r="L57" i="4" s="1"/>
  <c r="I52" i="12"/>
  <c r="K52" i="12" s="1"/>
  <c r="H53" i="11"/>
  <c r="J53" i="11" s="1"/>
  <c r="J49" i="4"/>
  <c r="L49" i="4" s="1"/>
  <c r="I45" i="12"/>
  <c r="K45" i="12" s="1"/>
  <c r="H46" i="11"/>
  <c r="J46" i="11" s="1"/>
  <c r="J101" i="4"/>
  <c r="L101" i="4" s="1"/>
  <c r="I91" i="12"/>
  <c r="K91" i="12" s="1"/>
  <c r="H92" i="11"/>
  <c r="J92" i="11" s="1"/>
  <c r="J43" i="4" l="1"/>
  <c r="L43" i="4" s="1"/>
  <c r="I39" i="12"/>
  <c r="K39" i="12" s="1"/>
  <c r="H40" i="11"/>
  <c r="J40" i="11" s="1"/>
  <c r="J53" i="4"/>
  <c r="L53" i="4" s="1"/>
  <c r="I48" i="12"/>
  <c r="K48" i="12" s="1"/>
  <c r="H49" i="11"/>
  <c r="J49" i="11" s="1"/>
  <c r="J55" i="4"/>
  <c r="L55" i="4" s="1"/>
  <c r="I50" i="12"/>
  <c r="K50" i="12" s="1"/>
  <c r="H51" i="11"/>
  <c r="J51" i="11" s="1"/>
  <c r="L60" i="4" l="1"/>
  <c r="J47" i="4"/>
  <c r="L47" i="4" s="1"/>
  <c r="I43" i="12"/>
  <c r="K43" i="12" s="1"/>
  <c r="H44" i="11"/>
  <c r="J44" i="11" s="1"/>
  <c r="J55" i="11"/>
  <c r="K54" i="12"/>
  <c r="J11" i="10" l="1"/>
  <c r="K51" i="16"/>
  <c r="J36" i="4"/>
  <c r="L36" i="4" s="1"/>
  <c r="I32" i="12"/>
  <c r="K32" i="12" s="1"/>
  <c r="H33" i="11"/>
  <c r="J33" i="11" s="1"/>
  <c r="J92" i="14" l="1"/>
  <c r="K92" i="14" s="1"/>
  <c r="M92" i="14" s="1"/>
  <c r="N92" i="14" s="1"/>
  <c r="J95" i="14"/>
  <c r="K95" i="14" s="1"/>
  <c r="M95" i="14" s="1"/>
  <c r="N95" i="14" s="1"/>
  <c r="J94" i="14"/>
  <c r="K94" i="14" s="1"/>
  <c r="M94" i="14" s="1"/>
  <c r="N94" i="14" s="1"/>
  <c r="J93" i="14"/>
  <c r="K93" i="14" s="1"/>
  <c r="M93" i="14" s="1"/>
  <c r="N93" i="14" s="1"/>
  <c r="J35" i="4" l="1"/>
  <c r="L35" i="4" s="1"/>
  <c r="I31" i="12"/>
  <c r="K31" i="12" s="1"/>
  <c r="H32" i="11"/>
  <c r="J32" i="11" s="1"/>
  <c r="J89" i="14" l="1"/>
  <c r="K89" i="14" s="1"/>
  <c r="M89" i="14" s="1"/>
  <c r="N89" i="14" s="1"/>
  <c r="J90" i="14"/>
  <c r="K90" i="14" s="1"/>
  <c r="M90" i="14" s="1"/>
  <c r="N90" i="14" s="1"/>
  <c r="J88" i="14"/>
  <c r="K88" i="14" s="1"/>
  <c r="M88" i="14" s="1"/>
  <c r="N88" i="14" s="1"/>
  <c r="J91" i="14"/>
  <c r="K91" i="14" s="1"/>
  <c r="M91" i="14" s="1"/>
  <c r="N91" i="14" s="1"/>
  <c r="J18" i="4"/>
  <c r="L18" i="4" s="1"/>
  <c r="I16" i="12"/>
  <c r="K16" i="12" s="1"/>
  <c r="H17" i="11"/>
  <c r="J17" i="11" s="1"/>
  <c r="L9" i="4" l="1"/>
  <c r="I8" i="12"/>
  <c r="K8" i="12" s="1"/>
  <c r="J13" i="14"/>
  <c r="H9" i="11"/>
  <c r="J9" i="11" s="1"/>
  <c r="J8" i="4"/>
  <c r="L8" i="4" s="1"/>
  <c r="J11" i="14"/>
  <c r="K11" i="14" s="1"/>
  <c r="M11" i="14" s="1"/>
  <c r="N11" i="14" s="1"/>
  <c r="J10" i="14"/>
  <c r="K10" i="14" s="1"/>
  <c r="M10" i="14" s="1"/>
  <c r="N10" i="14" s="1"/>
  <c r="I7" i="12"/>
  <c r="H8" i="11"/>
  <c r="L13" i="4" l="1"/>
  <c r="J126" i="4"/>
  <c r="K13" i="14"/>
  <c r="M13" i="14" s="1"/>
  <c r="N13" i="14" s="1"/>
  <c r="J14" i="14"/>
  <c r="J40" i="4"/>
  <c r="L40" i="4" s="1"/>
  <c r="I36" i="12"/>
  <c r="K36" i="12" s="1"/>
  <c r="H37" i="11"/>
  <c r="J37" i="11" s="1"/>
  <c r="I114" i="12"/>
  <c r="K114" i="12" s="1"/>
  <c r="K7" i="12"/>
  <c r="H115" i="11"/>
  <c r="J115" i="11" s="1"/>
  <c r="J8" i="11"/>
  <c r="J56" i="14"/>
  <c r="J57" i="14" l="1"/>
  <c r="K56" i="14"/>
  <c r="M56" i="14" s="1"/>
  <c r="N56" i="14" s="1"/>
  <c r="L126" i="4"/>
  <c r="L128" i="4" s="1"/>
  <c r="J7" i="10"/>
  <c r="K47" i="16"/>
  <c r="J17" i="4"/>
  <c r="L17" i="4" s="1"/>
  <c r="I15" i="12"/>
  <c r="K15" i="12" s="1"/>
  <c r="H16" i="11"/>
  <c r="J16" i="11" s="1"/>
  <c r="J12" i="11"/>
  <c r="J15" i="14"/>
  <c r="K14" i="14"/>
  <c r="M14" i="14" s="1"/>
  <c r="N14" i="14" s="1"/>
  <c r="J23" i="4"/>
  <c r="L23" i="4" s="1"/>
  <c r="I20" i="12"/>
  <c r="K20" i="12" s="1"/>
  <c r="H21" i="11"/>
  <c r="J21" i="11" s="1"/>
  <c r="K115" i="12"/>
  <c r="J24" i="4"/>
  <c r="L24" i="4" s="1"/>
  <c r="I21" i="12"/>
  <c r="K21" i="12" s="1"/>
  <c r="H22" i="11"/>
  <c r="J22" i="11" s="1"/>
  <c r="J116" i="11"/>
  <c r="J25" i="4"/>
  <c r="L25" i="4" s="1"/>
  <c r="I22" i="12"/>
  <c r="K22" i="12" s="1"/>
  <c r="H23" i="11"/>
  <c r="J23" i="11" s="1"/>
  <c r="K11" i="12"/>
  <c r="J51" i="14"/>
  <c r="J52" i="14" l="1"/>
  <c r="K51" i="14"/>
  <c r="M51" i="14" s="1"/>
  <c r="N51" i="14" s="1"/>
  <c r="J58" i="14"/>
  <c r="K57" i="14"/>
  <c r="M57" i="14" s="1"/>
  <c r="N57" i="14" s="1"/>
  <c r="J18" i="10"/>
  <c r="K58" i="16"/>
  <c r="J100" i="4"/>
  <c r="I90" i="12"/>
  <c r="K90" i="12" s="1"/>
  <c r="H91" i="11"/>
  <c r="J91" i="11" s="1"/>
  <c r="J22" i="4"/>
  <c r="L22" i="4" s="1"/>
  <c r="I19" i="12"/>
  <c r="K19" i="12" s="1"/>
  <c r="H20" i="11"/>
  <c r="J20" i="11" s="1"/>
  <c r="J39" i="4"/>
  <c r="L39" i="4" s="1"/>
  <c r="I35" i="12"/>
  <c r="K35" i="12" s="1"/>
  <c r="H36" i="11"/>
  <c r="J36" i="11" s="1"/>
  <c r="J37" i="4"/>
  <c r="L37" i="4" s="1"/>
  <c r="I33" i="12"/>
  <c r="K33" i="12" s="1"/>
  <c r="H34" i="11"/>
  <c r="J34" i="11" s="1"/>
  <c r="J16" i="14"/>
  <c r="K16" i="14" s="1"/>
  <c r="M16" i="14" s="1"/>
  <c r="K15" i="14"/>
  <c r="M15" i="14" s="1"/>
  <c r="I13" i="12"/>
  <c r="K13" i="12" s="1"/>
  <c r="H14" i="11"/>
  <c r="J14" i="11" s="1"/>
  <c r="J16" i="4"/>
  <c r="L16" i="4" s="1"/>
  <c r="I14" i="12"/>
  <c r="K14" i="12" s="1"/>
  <c r="H15" i="11"/>
  <c r="J15" i="11" s="1"/>
  <c r="J41" i="4"/>
  <c r="L41" i="4" s="1"/>
  <c r="I37" i="12"/>
  <c r="K37" i="12" s="1"/>
  <c r="H38" i="11"/>
  <c r="J38" i="11" s="1"/>
  <c r="J59" i="14" l="1"/>
  <c r="K59" i="14" s="1"/>
  <c r="M59" i="14" s="1"/>
  <c r="N59" i="14" s="1"/>
  <c r="K58" i="14"/>
  <c r="M58" i="14" s="1"/>
  <c r="N58" i="14" s="1"/>
  <c r="J53" i="14"/>
  <c r="K52" i="14"/>
  <c r="M52" i="14" s="1"/>
  <c r="N52" i="14" s="1"/>
  <c r="L100" i="4"/>
  <c r="L105" i="4" s="1"/>
  <c r="J97" i="14"/>
  <c r="K97" i="14" s="1"/>
  <c r="M97" i="14" s="1"/>
  <c r="N97" i="14" s="1"/>
  <c r="J99" i="14"/>
  <c r="K99" i="14" s="1"/>
  <c r="M99" i="14" s="1"/>
  <c r="N99" i="14" s="1"/>
  <c r="J98" i="14"/>
  <c r="K98" i="14" s="1"/>
  <c r="M98" i="14" s="1"/>
  <c r="N98" i="14" s="1"/>
  <c r="J96" i="14"/>
  <c r="K96" i="14" s="1"/>
  <c r="M96" i="14" s="1"/>
  <c r="N96" i="14" s="1"/>
  <c r="L20" i="4"/>
  <c r="K17" i="12"/>
  <c r="J33" i="4"/>
  <c r="L33" i="4" s="1"/>
  <c r="I29" i="12"/>
  <c r="K29" i="12" s="1"/>
  <c r="H30" i="11"/>
  <c r="J30" i="11" s="1"/>
  <c r="K94" i="12"/>
  <c r="J26" i="4"/>
  <c r="I23" i="12"/>
  <c r="K23" i="12" s="1"/>
  <c r="K24" i="12" s="1"/>
  <c r="H24" i="11"/>
  <c r="J24" i="11" s="1"/>
  <c r="J32" i="4"/>
  <c r="L32" i="4" s="1"/>
  <c r="I28" i="12"/>
  <c r="K28" i="12" s="1"/>
  <c r="H29" i="11"/>
  <c r="J29" i="11" s="1"/>
  <c r="J18" i="11"/>
  <c r="J95" i="11"/>
  <c r="J54" i="14" l="1"/>
  <c r="K54" i="14" s="1"/>
  <c r="M54" i="14" s="1"/>
  <c r="N54" i="14" s="1"/>
  <c r="K53" i="14"/>
  <c r="M53" i="14" s="1"/>
  <c r="N53" i="14" s="1"/>
  <c r="J16" i="10"/>
  <c r="K56" i="16"/>
  <c r="L26" i="4"/>
  <c r="L28" i="4" s="1"/>
  <c r="J86" i="14"/>
  <c r="K86" i="14" s="1"/>
  <c r="M86" i="14" s="1"/>
  <c r="N86" i="14" s="1"/>
  <c r="J83" i="14"/>
  <c r="K83" i="14" s="1"/>
  <c r="M83" i="14" s="1"/>
  <c r="N83" i="14" s="1"/>
  <c r="J84" i="14"/>
  <c r="K84" i="14" s="1"/>
  <c r="M84" i="14" s="1"/>
  <c r="N84" i="14" s="1"/>
  <c r="J85" i="14"/>
  <c r="K85" i="14" s="1"/>
  <c r="M85" i="14" s="1"/>
  <c r="N85" i="14" s="1"/>
  <c r="J82" i="14"/>
  <c r="K82" i="14" s="1"/>
  <c r="M82" i="14" s="1"/>
  <c r="N82" i="14" s="1"/>
  <c r="J79" i="14"/>
  <c r="K79" i="14" s="1"/>
  <c r="M79" i="14" s="1"/>
  <c r="N79" i="14" s="1"/>
  <c r="J80" i="14"/>
  <c r="K80" i="14" s="1"/>
  <c r="M80" i="14" s="1"/>
  <c r="N80" i="14" s="1"/>
  <c r="J81" i="14"/>
  <c r="K81" i="14" s="1"/>
  <c r="M81" i="14" s="1"/>
  <c r="N81" i="14" s="1"/>
  <c r="J8" i="10"/>
  <c r="K48" i="16"/>
  <c r="J31" i="4"/>
  <c r="L31" i="4" s="1"/>
  <c r="I27" i="12"/>
  <c r="K27" i="12" s="1"/>
  <c r="H28" i="11"/>
  <c r="J28" i="11" s="1"/>
  <c r="J25" i="11"/>
  <c r="J9" i="10" l="1"/>
  <c r="K49" i="16"/>
  <c r="L51" i="4"/>
  <c r="J77" i="14"/>
  <c r="K77" i="14" s="1"/>
  <c r="M77" i="14" s="1"/>
  <c r="N77" i="14" s="1"/>
  <c r="J78" i="14"/>
  <c r="K78" i="14" s="1"/>
  <c r="M78" i="14" s="1"/>
  <c r="N78" i="14" s="1"/>
  <c r="J76" i="14"/>
  <c r="K76" i="14" s="1"/>
  <c r="M76" i="14" s="1"/>
  <c r="N76" i="14" s="1"/>
  <c r="J75" i="14"/>
  <c r="K75" i="14" s="1"/>
  <c r="M75" i="14" s="1"/>
  <c r="N75" i="14" s="1"/>
  <c r="K46" i="12"/>
  <c r="K116" i="12" s="1"/>
  <c r="L27" i="12" s="1"/>
  <c r="J47" i="11"/>
  <c r="J117" i="11" s="1"/>
  <c r="J10" i="10" l="1"/>
  <c r="J19" i="10" s="1"/>
  <c r="L130" i="4"/>
  <c r="K50" i="16"/>
  <c r="K59" i="16" s="1"/>
  <c r="K111" i="11"/>
  <c r="K80" i="11"/>
  <c r="K88" i="11"/>
  <c r="K70" i="11"/>
  <c r="K106" i="11"/>
  <c r="K45" i="11"/>
  <c r="K101" i="11"/>
  <c r="K41" i="11"/>
  <c r="K79" i="11"/>
  <c r="K83" i="11"/>
  <c r="K110" i="11"/>
  <c r="K105" i="11"/>
  <c r="K104" i="11"/>
  <c r="K84" i="11"/>
  <c r="K69" i="11"/>
  <c r="K99" i="11"/>
  <c r="K85" i="11"/>
  <c r="K78" i="11"/>
  <c r="K82" i="11"/>
  <c r="K71" i="11"/>
  <c r="K61" i="11"/>
  <c r="K108" i="11"/>
  <c r="K81" i="11"/>
  <c r="K100" i="11"/>
  <c r="K87" i="11"/>
  <c r="K109" i="11"/>
  <c r="K68" i="11"/>
  <c r="K107" i="11"/>
  <c r="K102" i="11"/>
  <c r="K77" i="11"/>
  <c r="K86" i="11"/>
  <c r="K103" i="11"/>
  <c r="K10" i="11"/>
  <c r="K11" i="11"/>
  <c r="K112" i="11"/>
  <c r="K74" i="11"/>
  <c r="K73" i="11"/>
  <c r="K97" i="11"/>
  <c r="K98" i="11"/>
  <c r="K72" i="11"/>
  <c r="K60" i="11"/>
  <c r="K65" i="11"/>
  <c r="K59" i="11"/>
  <c r="K58" i="11"/>
  <c r="K57" i="11"/>
  <c r="K64" i="11"/>
  <c r="K50" i="11"/>
  <c r="K93" i="11"/>
  <c r="K52" i="11"/>
  <c r="K94" i="11"/>
  <c r="K92" i="11"/>
  <c r="K53" i="11"/>
  <c r="K54" i="11"/>
  <c r="K42" i="11"/>
  <c r="K46" i="11"/>
  <c r="K40" i="11"/>
  <c r="K51" i="11"/>
  <c r="K49" i="11"/>
  <c r="K44" i="11"/>
  <c r="K33" i="11"/>
  <c r="K32" i="11"/>
  <c r="K17" i="11"/>
  <c r="K9" i="11"/>
  <c r="K8" i="11"/>
  <c r="K115" i="11"/>
  <c r="K116" i="11" s="1"/>
  <c r="K37" i="11"/>
  <c r="K22" i="11"/>
  <c r="K16" i="11"/>
  <c r="K21" i="11"/>
  <c r="K23" i="11"/>
  <c r="K15" i="11"/>
  <c r="K36" i="11"/>
  <c r="K91" i="11"/>
  <c r="K34" i="11"/>
  <c r="K20" i="11"/>
  <c r="K38" i="11"/>
  <c r="K14" i="11"/>
  <c r="K30" i="11"/>
  <c r="K24" i="11"/>
  <c r="K29" i="11"/>
  <c r="K28" i="11"/>
  <c r="N27" i="12"/>
  <c r="L76" i="12"/>
  <c r="L80" i="12"/>
  <c r="P80" i="12" s="1"/>
  <c r="L67" i="12"/>
  <c r="L84" i="12"/>
  <c r="V84" i="12" s="1"/>
  <c r="L108" i="12"/>
  <c r="Q108" i="12" s="1"/>
  <c r="L106" i="12"/>
  <c r="P106" i="12" s="1"/>
  <c r="L107" i="12"/>
  <c r="P107" i="12" s="1"/>
  <c r="L104" i="12"/>
  <c r="P104" i="12" s="1"/>
  <c r="L99" i="12"/>
  <c r="L83" i="12"/>
  <c r="V83" i="12" s="1"/>
  <c r="L98" i="12"/>
  <c r="L70" i="12"/>
  <c r="U70" i="12" s="1"/>
  <c r="L78" i="12"/>
  <c r="W78" i="12" s="1"/>
  <c r="L110" i="12"/>
  <c r="Q110" i="12" s="1"/>
  <c r="L81" i="12"/>
  <c r="P81" i="12" s="1"/>
  <c r="L86" i="12"/>
  <c r="V86" i="12" s="1"/>
  <c r="L109" i="12"/>
  <c r="Q109" i="12" s="1"/>
  <c r="L105" i="12"/>
  <c r="P105" i="12" s="1"/>
  <c r="L77" i="12"/>
  <c r="W77" i="12" s="1"/>
  <c r="L79" i="12"/>
  <c r="P79" i="12" s="1"/>
  <c r="L87" i="12"/>
  <c r="V87" i="12" s="1"/>
  <c r="L60" i="12"/>
  <c r="P60" i="12" s="1"/>
  <c r="L82" i="12"/>
  <c r="P82" i="12" s="1"/>
  <c r="L68" i="12"/>
  <c r="U68" i="12" s="1"/>
  <c r="L85" i="12"/>
  <c r="V85" i="12" s="1"/>
  <c r="L102" i="12"/>
  <c r="O102" i="12" s="1"/>
  <c r="L44" i="12"/>
  <c r="R44" i="12" s="1"/>
  <c r="L101" i="12"/>
  <c r="O101" i="12" s="1"/>
  <c r="L103" i="12"/>
  <c r="Q103" i="12" s="1"/>
  <c r="L69" i="12"/>
  <c r="U69" i="12" s="1"/>
  <c r="L40" i="12"/>
  <c r="R40" i="12" s="1"/>
  <c r="L100" i="12"/>
  <c r="O100" i="12" s="1"/>
  <c r="L9" i="12"/>
  <c r="L10" i="12"/>
  <c r="L111" i="12"/>
  <c r="L71" i="12"/>
  <c r="U71" i="12" s="1"/>
  <c r="L96" i="12"/>
  <c r="L73" i="12"/>
  <c r="U73" i="12" s="1"/>
  <c r="L97" i="12"/>
  <c r="L72" i="12"/>
  <c r="U72" i="12" s="1"/>
  <c r="L64" i="12"/>
  <c r="U64" i="12" s="1"/>
  <c r="L59" i="12"/>
  <c r="U59" i="12" s="1"/>
  <c r="L57" i="12"/>
  <c r="U57" i="12" s="1"/>
  <c r="L58" i="12"/>
  <c r="U58" i="12" s="1"/>
  <c r="L63" i="12"/>
  <c r="L56" i="12"/>
  <c r="L49" i="12"/>
  <c r="S49" i="12" s="1"/>
  <c r="L92" i="12"/>
  <c r="V92" i="12" s="1"/>
  <c r="L51" i="12"/>
  <c r="L93" i="12"/>
  <c r="L52" i="12"/>
  <c r="U52" i="12" s="1"/>
  <c r="L91" i="12"/>
  <c r="V91" i="12" s="1"/>
  <c r="L45" i="12"/>
  <c r="R45" i="12" s="1"/>
  <c r="L53" i="12"/>
  <c r="U53" i="12" s="1"/>
  <c r="L41" i="12"/>
  <c r="R41" i="12" s="1"/>
  <c r="L50" i="12"/>
  <c r="L48" i="12"/>
  <c r="L39" i="12"/>
  <c r="R39" i="12" s="1"/>
  <c r="L43" i="12"/>
  <c r="R43" i="12" s="1"/>
  <c r="L32" i="12"/>
  <c r="L31" i="12"/>
  <c r="L16" i="12"/>
  <c r="O16" i="12" s="1"/>
  <c r="L8" i="12"/>
  <c r="M8" i="12" s="1"/>
  <c r="L36" i="12"/>
  <c r="R36" i="12" s="1"/>
  <c r="L7" i="12"/>
  <c r="L114" i="12"/>
  <c r="L22" i="12"/>
  <c r="L20" i="12"/>
  <c r="L21" i="12"/>
  <c r="L15" i="12"/>
  <c r="O15" i="12" s="1"/>
  <c r="L13" i="12"/>
  <c r="L14" i="12"/>
  <c r="O14" i="12" s="1"/>
  <c r="L35" i="12"/>
  <c r="R35" i="12" s="1"/>
  <c r="L19" i="12"/>
  <c r="L33" i="12"/>
  <c r="L37" i="12"/>
  <c r="R37" i="12" s="1"/>
  <c r="L90" i="12"/>
  <c r="L28" i="12"/>
  <c r="O28" i="12" s="1"/>
  <c r="L23" i="12"/>
  <c r="L29" i="12"/>
  <c r="K66" i="11" l="1"/>
  <c r="K12" i="11"/>
  <c r="O21" i="12"/>
  <c r="P21" i="12"/>
  <c r="Q21" i="12"/>
  <c r="T48" i="12"/>
  <c r="L54" i="12"/>
  <c r="S48" i="12"/>
  <c r="R48" i="12"/>
  <c r="V63" i="12"/>
  <c r="L65" i="12"/>
  <c r="U63" i="12"/>
  <c r="M9" i="12"/>
  <c r="U9" i="12"/>
  <c r="Q9" i="12"/>
  <c r="O20" i="12"/>
  <c r="P20" i="12"/>
  <c r="P32" i="12"/>
  <c r="O32" i="12"/>
  <c r="N32" i="12"/>
  <c r="T50" i="12"/>
  <c r="S50" i="12"/>
  <c r="L46" i="12"/>
  <c r="K25" i="11"/>
  <c r="K75" i="11"/>
  <c r="P31" i="12"/>
  <c r="N31" i="12"/>
  <c r="O31" i="12"/>
  <c r="U51" i="12"/>
  <c r="T51" i="12"/>
  <c r="S51" i="12"/>
  <c r="O96" i="12"/>
  <c r="L112" i="12"/>
  <c r="N96" i="12"/>
  <c r="W76" i="12"/>
  <c r="L88" i="12"/>
  <c r="N29" i="12"/>
  <c r="O29" i="12"/>
  <c r="N13" i="12"/>
  <c r="M13" i="12"/>
  <c r="L17" i="12"/>
  <c r="O97" i="12"/>
  <c r="N97" i="12"/>
  <c r="O111" i="12"/>
  <c r="P111" i="12"/>
  <c r="O98" i="12"/>
  <c r="N98" i="12"/>
  <c r="U67" i="12"/>
  <c r="L74" i="12"/>
  <c r="K55" i="11"/>
  <c r="K113" i="11"/>
  <c r="K89" i="11"/>
  <c r="L94" i="12"/>
  <c r="V90" i="12"/>
  <c r="W90" i="12"/>
  <c r="M7" i="12"/>
  <c r="L11" i="12"/>
  <c r="N99" i="12"/>
  <c r="O99" i="12"/>
  <c r="R23" i="12"/>
  <c r="S23" i="12"/>
  <c r="N33" i="12"/>
  <c r="O33" i="12"/>
  <c r="P33" i="12"/>
  <c r="Q22" i="12"/>
  <c r="P22" i="12"/>
  <c r="R22" i="12"/>
  <c r="M19" i="12"/>
  <c r="L24" i="12"/>
  <c r="N19" i="12"/>
  <c r="L115" i="12"/>
  <c r="W114" i="12"/>
  <c r="V93" i="12"/>
  <c r="W93" i="12"/>
  <c r="N56" i="12"/>
  <c r="O56" i="12"/>
  <c r="L61" i="12"/>
  <c r="P56" i="12"/>
  <c r="Q10" i="12"/>
  <c r="U10" i="12"/>
  <c r="M10" i="12"/>
  <c r="W10" i="12"/>
  <c r="K47" i="11"/>
  <c r="K18" i="11"/>
  <c r="K95" i="11"/>
  <c r="K62" i="11"/>
  <c r="O116" i="12" l="1"/>
  <c r="V116" i="12"/>
  <c r="S116" i="12"/>
  <c r="L116" i="12"/>
  <c r="K117" i="11"/>
  <c r="P116" i="12"/>
  <c r="T116" i="12"/>
  <c r="R116" i="12"/>
  <c r="M116" i="12"/>
  <c r="M117" i="12" s="1"/>
  <c r="U116" i="12"/>
  <c r="W116" i="12"/>
  <c r="N116" i="12"/>
  <c r="Q116" i="12"/>
  <c r="N117" i="12" l="1"/>
  <c r="O117" i="12" s="1"/>
  <c r="P117" i="12" s="1"/>
  <c r="Q117" i="12" s="1"/>
  <c r="R117" i="12" s="1"/>
  <c r="S117" i="12" s="1"/>
  <c r="T117" i="12" s="1"/>
  <c r="U117" i="12" s="1"/>
  <c r="V117" i="12" s="1"/>
  <c r="W117"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EDY FERYANTO</author>
    <author>DELL</author>
  </authors>
  <commentList>
    <comment ref="R47" authorId="0" shapeId="0" xr:uid="{DAF94F7D-8172-4F7C-AE4B-C3EC56E0FB32}">
      <text>
        <r>
          <rPr>
            <sz val="9"/>
            <color indexed="81"/>
            <rFont val="Tahoma"/>
            <family val="2"/>
          </rPr>
          <t xml:space="preserve">1/4 Dari Volume Galian Tanah
</t>
        </r>
      </text>
    </comment>
    <comment ref="R99" authorId="1" shapeId="0" xr:uid="{25490C9C-D96A-44FE-B435-178B03DC9554}">
      <text>
        <r>
          <rPr>
            <sz val="9"/>
            <color indexed="81"/>
            <rFont val="Tahoma"/>
            <family val="2"/>
          </rPr>
          <t xml:space="preserve">(0,5*9*2,3)+(0,5*5*1,36)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Iv@ Jelek</author>
  </authors>
  <commentList>
    <comment ref="R54" authorId="0" shapeId="0" xr:uid="{B680057D-F3B6-4C46-A607-99EA75F75369}">
      <text>
        <r>
          <rPr>
            <b/>
            <sz val="8"/>
            <color indexed="81"/>
            <rFont val="Tahoma"/>
            <family val="2"/>
          </rPr>
          <t>kawat bendrat</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MSI</author>
  </authors>
  <commentList>
    <comment ref="F84" authorId="0" shapeId="0" xr:uid="{FE42B236-71B5-42BE-BAB0-6A35CF843734}">
      <text>
        <r>
          <rPr>
            <b/>
            <sz val="9"/>
            <color indexed="81"/>
            <rFont val="Tahoma"/>
            <family val="2"/>
          </rPr>
          <t>MSI:</t>
        </r>
        <r>
          <rPr>
            <sz val="9"/>
            <color indexed="81"/>
            <rFont val="Tahoma"/>
            <family val="2"/>
          </rPr>
          <t xml:space="preserve">
Pekerjaan balok lantai beton bertulang 25/50</t>
        </r>
      </text>
    </comment>
    <comment ref="F88" authorId="0" shapeId="0" xr:uid="{A7E36674-309C-4EF5-88E1-B1C4B288F88F}">
      <text>
        <r>
          <rPr>
            <b/>
            <sz val="9"/>
            <color indexed="81"/>
            <rFont val="Tahoma"/>
            <family val="2"/>
          </rPr>
          <t>MSI:</t>
        </r>
        <r>
          <rPr>
            <sz val="9"/>
            <color indexed="81"/>
            <rFont val="Tahoma"/>
            <family val="2"/>
          </rPr>
          <t xml:space="preserve">
Pekerjaan balok lantai beton bertulang 15/25</t>
        </r>
      </text>
    </comment>
    <comment ref="L136" authorId="0" shapeId="0" xr:uid="{72344596-E8D4-4CDD-86CA-A407331A6E25}">
      <text>
        <r>
          <rPr>
            <b/>
            <sz val="9"/>
            <color indexed="81"/>
            <rFont val="Tahoma"/>
            <family val="2"/>
          </rPr>
          <t>MSI:</t>
        </r>
        <r>
          <rPr>
            <sz val="9"/>
            <color indexed="81"/>
            <rFont val="Tahoma"/>
            <family val="2"/>
          </rPr>
          <t xml:space="preserve">
Pasangan di plester dan aci hanya di satu sisi</t>
        </r>
      </text>
    </comment>
    <comment ref="L137" authorId="0" shapeId="0" xr:uid="{897BDF83-C472-4081-AF39-16D7A2779C08}">
      <text>
        <r>
          <rPr>
            <b/>
            <sz val="9"/>
            <color indexed="81"/>
            <rFont val="Tahoma"/>
            <family val="2"/>
          </rPr>
          <t>MSI:</t>
        </r>
        <r>
          <rPr>
            <sz val="9"/>
            <color indexed="81"/>
            <rFont val="Tahoma"/>
            <family val="2"/>
          </rPr>
          <t xml:space="preserve">
Pasangan di plester dan aci hanya di satu sisi</t>
        </r>
      </text>
    </comment>
    <comment ref="L147" authorId="0" shapeId="0" xr:uid="{E2C460AE-A32C-4391-8B79-B92DC0957D7B}">
      <text>
        <r>
          <rPr>
            <b/>
            <sz val="9"/>
            <color indexed="81"/>
            <rFont val="Tahoma"/>
            <family val="2"/>
          </rPr>
          <t>MSI:</t>
        </r>
        <r>
          <rPr>
            <sz val="9"/>
            <color indexed="81"/>
            <rFont val="Tahoma"/>
            <family val="2"/>
          </rPr>
          <t xml:space="preserve">
depan 3 kamar stay B dan karyawan tidak di granit</t>
        </r>
      </text>
    </comment>
    <comment ref="L156" authorId="0" shapeId="0" xr:uid="{C815E1B6-EFFF-4D90-901C-11A6E492CA52}">
      <text>
        <r>
          <rPr>
            <b/>
            <sz val="9"/>
            <color indexed="81"/>
            <rFont val="Tahoma"/>
            <family val="2"/>
          </rPr>
          <t>MSI:</t>
        </r>
        <r>
          <rPr>
            <sz val="9"/>
            <color indexed="81"/>
            <rFont val="Tahoma"/>
            <family val="2"/>
          </rPr>
          <t xml:space="preserve">
depan 3 kamar stay B dan karyawan tidak di plafon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J6" authorId="0" shapeId="0" xr:uid="{8B8333A6-E411-4E4B-9254-0284738B3C61}">
      <text>
        <r>
          <rPr>
            <sz val="10"/>
            <color rgb="FF000000"/>
            <rFont val="Calibri"/>
            <family val="2"/>
            <scheme val="minor"/>
          </rPr>
          <t>Input tanggal disini</t>
        </r>
      </text>
    </comment>
  </commentList>
</comments>
</file>

<file path=xl/sharedStrings.xml><?xml version="1.0" encoding="utf-8"?>
<sst xmlns="http://schemas.openxmlformats.org/spreadsheetml/2006/main" count="23574" uniqueCount="2556">
  <si>
    <t>NO</t>
  </si>
  <si>
    <t>URAIAN PEKERJAAN</t>
  </si>
  <si>
    <t>LS</t>
  </si>
  <si>
    <t>I</t>
  </si>
  <si>
    <t>PEKERJAAN PERSIAPAN</t>
  </si>
  <si>
    <t>Pemasangan Bouwplank</t>
  </si>
  <si>
    <t>Penyediaan Air Kerja</t>
  </si>
  <si>
    <t>Luas Lahan</t>
  </si>
  <si>
    <t>X</t>
  </si>
  <si>
    <t>Panjang</t>
  </si>
  <si>
    <t>Lebar</t>
  </si>
  <si>
    <t>II</t>
  </si>
  <si>
    <t>Galian Tanah Pondasi</t>
  </si>
  <si>
    <t>Urugan Tanah Kembali</t>
  </si>
  <si>
    <t>Urugan Pasir Dibawah Pondasi</t>
  </si>
  <si>
    <t>Luas Bangunan</t>
  </si>
  <si>
    <t>III</t>
  </si>
  <si>
    <t>PEKERJAAN PASANGAN DAN PLESTERAN</t>
  </si>
  <si>
    <t>Pasangan Pondasi Batu Gunung</t>
  </si>
  <si>
    <t xml:space="preserve"> </t>
  </si>
  <si>
    <t>M</t>
  </si>
  <si>
    <t>Pasangan Batu Bata</t>
  </si>
  <si>
    <t>1.</t>
  </si>
  <si>
    <t>m2</t>
  </si>
  <si>
    <t>4.</t>
  </si>
  <si>
    <t>Plesteran</t>
  </si>
  <si>
    <t>Acian</t>
  </si>
  <si>
    <t>IV</t>
  </si>
  <si>
    <t>PEKERJAAN BETON</t>
  </si>
  <si>
    <t>Sloof 20 x 25</t>
  </si>
  <si>
    <t>A.</t>
  </si>
  <si>
    <t>Pembesian</t>
  </si>
  <si>
    <t>Panjang Sloof</t>
  </si>
  <si>
    <t>m</t>
  </si>
  <si>
    <t>Panjang totol besi utama</t>
  </si>
  <si>
    <t>Besi Utama dia. 8 mm</t>
  </si>
  <si>
    <t>bh</t>
  </si>
  <si>
    <t>batang</t>
  </si>
  <si>
    <t>kg</t>
  </si>
  <si>
    <t xml:space="preserve">Besi Sengkang (Begel) dia. 6 mm </t>
  </si>
  <si>
    <t>2.</t>
  </si>
  <si>
    <t>Tinggi Kolom</t>
  </si>
  <si>
    <t>buah</t>
  </si>
  <si>
    <t>Volume Beton</t>
  </si>
  <si>
    <t>m3</t>
  </si>
  <si>
    <t>Kg</t>
  </si>
  <si>
    <t>a</t>
  </si>
  <si>
    <t>b</t>
  </si>
  <si>
    <t>Cor Teras Depan</t>
  </si>
  <si>
    <t>Cor Teras Belakang</t>
  </si>
  <si>
    <t>V</t>
  </si>
  <si>
    <t>Volume Atap</t>
  </si>
  <si>
    <t>Kemiringan</t>
  </si>
  <si>
    <t>Cos</t>
  </si>
  <si>
    <t>x</t>
  </si>
  <si>
    <t>VI</t>
  </si>
  <si>
    <t>Jumlah</t>
  </si>
  <si>
    <t>Tebal</t>
  </si>
  <si>
    <t>Volume</t>
  </si>
  <si>
    <t>Jalusi P1</t>
  </si>
  <si>
    <t>Jalusi J1</t>
  </si>
  <si>
    <t xml:space="preserve">Daun Pintu Double Taewood </t>
  </si>
  <si>
    <t>VII</t>
  </si>
  <si>
    <t>Pasangan Kunci Double Slag</t>
  </si>
  <si>
    <t>Pasangan Kunci KM/WC</t>
  </si>
  <si>
    <t>pasangan Engsel Pintu</t>
  </si>
  <si>
    <t>Pasangan Engsel Jendela</t>
  </si>
  <si>
    <t>Pasangan Kait Angin</t>
  </si>
  <si>
    <t>Pasangan Mur &amp; Baut</t>
  </si>
  <si>
    <t>IX</t>
  </si>
  <si>
    <t>Saklar Ganda</t>
  </si>
  <si>
    <t>Saklar Tunggal</t>
  </si>
  <si>
    <t>Stop Kontak</t>
  </si>
  <si>
    <t>MCB-BOX</t>
  </si>
  <si>
    <t>Pasangan Kloset Duduk</t>
  </si>
  <si>
    <t>Pasangan Bak Air Viber</t>
  </si>
  <si>
    <t>Kran Air</t>
  </si>
  <si>
    <t>Pasangan Floor Drain</t>
  </si>
  <si>
    <t>Bak Cuci Piring</t>
  </si>
  <si>
    <t>Pasangan Pipa Air</t>
  </si>
  <si>
    <t>Pas. SepticTank &amp; Peresapan</t>
  </si>
  <si>
    <t>Lampu TL 5W</t>
  </si>
  <si>
    <t>PEKERJAAN FINISHING</t>
  </si>
  <si>
    <t>Pengecatan Kayu</t>
  </si>
  <si>
    <t>XI</t>
  </si>
  <si>
    <t>PEKERJAAN SEPTITANK &amp; PERESAPAN</t>
  </si>
  <si>
    <t>Galian Tanah</t>
  </si>
  <si>
    <t>Septictank</t>
  </si>
  <si>
    <t>Peresapan</t>
  </si>
  <si>
    <t>Plesteran Transram</t>
  </si>
  <si>
    <t>6 = 4x5</t>
  </si>
  <si>
    <t>M²</t>
  </si>
  <si>
    <t>M³</t>
  </si>
  <si>
    <t>M'</t>
  </si>
  <si>
    <t>VIII</t>
  </si>
  <si>
    <t>BH</t>
  </si>
  <si>
    <t>Pembersihan Lahan</t>
  </si>
  <si>
    <t>M¹</t>
  </si>
  <si>
    <t>Administrasi &amp; Dokumentasi</t>
  </si>
  <si>
    <t>PEKERJAAN GALIAN TANAH &amp; URUGAN</t>
  </si>
  <si>
    <t>Urugan Pasir Dibawah Lantai</t>
  </si>
  <si>
    <t>PEKERJAAN PASANGAN &amp; PLESTERAN</t>
  </si>
  <si>
    <t>Pasangan Batu Kosong/Aanstamping</t>
  </si>
  <si>
    <t>PEKERJAAN ATAP &amp; PLAVOND</t>
  </si>
  <si>
    <t>Pasangan Listplank</t>
  </si>
  <si>
    <t>Pasangan List Plafond Profil</t>
  </si>
  <si>
    <t>PEKERJAAN KUSEN PINTU &amp; JENDELA</t>
  </si>
  <si>
    <t>Pasangan Daun Jendela Kaca</t>
  </si>
  <si>
    <t>Pasangan Lubang Angin</t>
  </si>
  <si>
    <t>PEKERJAAN LANTAI &amp; KERAMIK</t>
  </si>
  <si>
    <t>Pasangan Tegel Keramik (30/30)</t>
  </si>
  <si>
    <t>Pasangan Tegel Keramik (20/20)</t>
  </si>
  <si>
    <t>PEKERJAAN PENGGANTUNG &amp; PENGUNCI</t>
  </si>
  <si>
    <t>PEKERJAAN INSTALASI LISTRIK &amp; AIR</t>
  </si>
  <si>
    <t>Lampu TL 20W</t>
  </si>
  <si>
    <t>Lampu Pijar 25W</t>
  </si>
  <si>
    <t>Lampu Pijar 5W</t>
  </si>
  <si>
    <t>Cat Tembok</t>
  </si>
  <si>
    <t>Cat Plafond</t>
  </si>
  <si>
    <t>Manie Kayu</t>
  </si>
  <si>
    <t>Cat Kayu</t>
  </si>
  <si>
    <t>Pekerjaan Pasangan Batu Kosong</t>
  </si>
  <si>
    <t>Pekerjaan Urugan Batu Pecah (5/7)</t>
  </si>
  <si>
    <t>Pekerjaan Lapisan Ijuk (5cm)</t>
  </si>
  <si>
    <t>Pekerjaan Beton Sloof 15/20</t>
  </si>
  <si>
    <t>Pekerjaan Kolom Praktis (15/15)</t>
  </si>
  <si>
    <t>Pekerjaan Kolom (20/20)</t>
  </si>
  <si>
    <t>Pekerjaan Beton Ring Balk (15/15)</t>
  </si>
  <si>
    <t>Pekerjaan Beton Ring Balk (15/20)</t>
  </si>
  <si>
    <t>Pekerjaan Pelat Beton Penutup</t>
  </si>
  <si>
    <t>Pekerjaan Pipa PVC Ø 4"</t>
  </si>
  <si>
    <t>Pekerjaan Pipa Hawa Gip Ø 1,5"</t>
  </si>
  <si>
    <t>Pekerjaan Pasangan Tembok</t>
  </si>
  <si>
    <t>XII</t>
  </si>
  <si>
    <t>PEKERJAAN LAIN-LAIN</t>
  </si>
  <si>
    <t>Pembersihan Kembali</t>
  </si>
  <si>
    <t>No</t>
  </si>
  <si>
    <t>Uraian Pekerjaan</t>
  </si>
  <si>
    <t>Satuan</t>
  </si>
  <si>
    <t>Harga (Rp)</t>
  </si>
  <si>
    <t>Satuan (Rp)</t>
  </si>
  <si>
    <t>Jumlah (Rp)</t>
  </si>
  <si>
    <t>Jumlah I</t>
  </si>
  <si>
    <t>Jumlah II</t>
  </si>
  <si>
    <t>Jumlah III</t>
  </si>
  <si>
    <t>Jumlah IV</t>
  </si>
  <si>
    <t>Jumlah V</t>
  </si>
  <si>
    <t>Jumlah VI</t>
  </si>
  <si>
    <t>Jumlah VII</t>
  </si>
  <si>
    <t>Jumlah VIII</t>
  </si>
  <si>
    <t>Jumlah IX</t>
  </si>
  <si>
    <t>Jumlah X</t>
  </si>
  <si>
    <t>Jumlah XI</t>
  </si>
  <si>
    <t>Jumlah XII</t>
  </si>
  <si>
    <t>Plesteran Dinding</t>
  </si>
  <si>
    <t>Acian Dinding</t>
  </si>
  <si>
    <t>Bekisting</t>
  </si>
  <si>
    <t>3.</t>
  </si>
  <si>
    <t xml:space="preserve">A.2.2.1 </t>
  </si>
  <si>
    <t>HARGA SATUAN PEKERJAAN PERSIAPAN</t>
  </si>
  <si>
    <t>A.1.1.1.1</t>
  </si>
  <si>
    <t>(K3) Pembuatan 1 m2 pagar sementara dari kayu tinggi 2 meter</t>
  </si>
  <si>
    <t>Uraian</t>
  </si>
  <si>
    <t>Kode</t>
  </si>
  <si>
    <t>Koefisien</t>
  </si>
  <si>
    <t>Harga Satuan (Rp.)</t>
  </si>
  <si>
    <t>Jumlah Harga (Rp.)</t>
  </si>
  <si>
    <t>A</t>
  </si>
  <si>
    <t>TENAGA</t>
  </si>
  <si>
    <t>Pekerja</t>
  </si>
  <si>
    <t>L.01.01</t>
  </si>
  <si>
    <t>OH</t>
  </si>
  <si>
    <t>Tukang Kayu</t>
  </si>
  <si>
    <t>L.02.04</t>
  </si>
  <si>
    <t>Kepala Tukang</t>
  </si>
  <si>
    <t>L.03.01</t>
  </si>
  <si>
    <t>Mandor</t>
  </si>
  <si>
    <t>L.04.01</t>
  </si>
  <si>
    <t>JUMLAH TENAGA KERJA</t>
  </si>
  <si>
    <t>B</t>
  </si>
  <si>
    <t>BAHAN</t>
  </si>
  <si>
    <t>Dolken kayu Ø 8-10/400 cm</t>
  </si>
  <si>
    <t>Batang</t>
  </si>
  <si>
    <t>Semen portland</t>
  </si>
  <si>
    <t>Koral beton</t>
  </si>
  <si>
    <t>Kayu 5/7</t>
  </si>
  <si>
    <t>Paku biasa</t>
  </si>
  <si>
    <t>Residu</t>
  </si>
  <si>
    <t>Liter</t>
  </si>
  <si>
    <t>JUMLAH HARGA BAHAN</t>
  </si>
  <si>
    <t>C</t>
  </si>
  <si>
    <t>PERALATAN</t>
  </si>
  <si>
    <t>JUMLAH HARGA ALAT</t>
  </si>
  <si>
    <t>D</t>
  </si>
  <si>
    <t>Jumlah (A+B+C)</t>
  </si>
  <si>
    <t>E</t>
  </si>
  <si>
    <t>Overhead &amp; Profit 10%</t>
  </si>
  <si>
    <t>F</t>
  </si>
  <si>
    <t>Harga Satuan Pekerjaan (D+E)</t>
  </si>
  <si>
    <t>A.1.1.1.2</t>
  </si>
  <si>
    <t>(K3) Pembuatan 1 m2   pagar sementara dari seng gelombang tinggi 2 meter</t>
  </si>
  <si>
    <t>Seng gelombang</t>
  </si>
  <si>
    <t>Lbr</t>
  </si>
  <si>
    <t>Meni besi</t>
  </si>
  <si>
    <t>A.1.1.1.3</t>
  </si>
  <si>
    <t>Pembuatan 1 m2   pagar sementara dari kawat duri tinggi 1,8 meter</t>
  </si>
  <si>
    <t>Kawat duri</t>
  </si>
  <si>
    <t>M’</t>
  </si>
  <si>
    <t>Paku biasa 2” - 5”</t>
  </si>
  <si>
    <t>A.1.1.1.4</t>
  </si>
  <si>
    <t>Pengukuran dan pemasangan 1 m’ Bouwplank</t>
  </si>
  <si>
    <t>Kayu balok 5/7</t>
  </si>
  <si>
    <t>Paku 2”-3”</t>
  </si>
  <si>
    <t>Kayu papan 3/20</t>
  </si>
  <si>
    <t>A.1.1.1.5</t>
  </si>
  <si>
    <t>(K3) Pembuatan 1 m2 kantor sementara lantai plesteran</t>
  </si>
  <si>
    <t>Tukang batu</t>
  </si>
  <si>
    <t>L.02.03</t>
  </si>
  <si>
    <t>Besi strip</t>
  </si>
  <si>
    <t>Pasir pasang</t>
  </si>
  <si>
    <t>Bata merah</t>
  </si>
  <si>
    <t>Bh</t>
  </si>
  <si>
    <t>Seng plat</t>
  </si>
  <si>
    <t>Jendela naco</t>
  </si>
  <si>
    <t>Kaca polos</t>
  </si>
  <si>
    <t>Kunci tanam</t>
  </si>
  <si>
    <t>Plywood 4 mm</t>
  </si>
  <si>
    <t>A.1.1.1.6</t>
  </si>
  <si>
    <t>(K3) Pembuatan 1 m2 gudang</t>
  </si>
  <si>
    <t>Kayu</t>
  </si>
  <si>
    <t>A.1.1.1.7</t>
  </si>
  <si>
    <t>(K3) Pembuatan 1 m2 rumah jaga (konstruksi kayu )</t>
  </si>
  <si>
    <t>Kepala tukang</t>
  </si>
  <si>
    <t>A.1.1.1.8</t>
  </si>
  <si>
    <t>Pembersihan 1 m2 dan peralatan lapangan</t>
  </si>
  <si>
    <t>A.1.1.1.9</t>
  </si>
  <si>
    <t>(K3) Pembuatan 1 m2 bedeng pekerja</t>
  </si>
  <si>
    <t>A.1.1.1.10</t>
  </si>
  <si>
    <t>Pembuatan 1 m2 bak adukan</t>
  </si>
  <si>
    <t>Kayu papan kelas III</t>
  </si>
  <si>
    <t>Kayu balok 5/7 kelas III</t>
  </si>
  <si>
    <t>A.1.1.1.11</t>
  </si>
  <si>
    <t>Pembuatan 1 m2 perancah dari bambu s.d. tinggi 6 meter</t>
  </si>
  <si>
    <t>Bambu  diameter 6 - 8  / 600 cm</t>
  </si>
  <si>
    <t>Tali ijuk</t>
  </si>
  <si>
    <t>A.1.1.1.12</t>
  </si>
  <si>
    <t>Pembuatan 1 m2 jalan sementara</t>
  </si>
  <si>
    <t>Batu belah</t>
  </si>
  <si>
    <t>Batu pecah</t>
  </si>
  <si>
    <t>A.1.1.1.13</t>
  </si>
  <si>
    <t>Pembongkaran 1 m3 beton bertulang</t>
  </si>
  <si>
    <t>E.14</t>
  </si>
  <si>
    <t>Jack Hammer</t>
  </si>
  <si>
    <t>Sewa-hari</t>
  </si>
  <si>
    <t>A.1.1.1.14</t>
  </si>
  <si>
    <t>Pembongkaran 1 m3 dinding tembok bata</t>
  </si>
  <si>
    <t>A.1.1.1.15</t>
  </si>
  <si>
    <t>Pemasangan 1 m2  pagar kawat jaring galvanis panjang 240 cm</t>
  </si>
  <si>
    <t>Tukang</t>
  </si>
  <si>
    <t>L.02.01</t>
  </si>
  <si>
    <t>Kawat jaring</t>
  </si>
  <si>
    <t>A.1.1.1.16</t>
  </si>
  <si>
    <t>Pemasangan 1 m2 panel beton pracetak 50x50x240 cm</t>
  </si>
  <si>
    <t>Panel Beton Pracetak</t>
  </si>
  <si>
    <t>Kolom Benton Pracetak</t>
  </si>
  <si>
    <t>Koral</t>
  </si>
  <si>
    <t>A.1.5.1</t>
  </si>
  <si>
    <t>HARGA SATUAN PEKERJAAN TANAH</t>
  </si>
  <si>
    <t>A.1.5.1.1</t>
  </si>
  <si>
    <t>Penggalian 1 m3 tanah biasa sedalam s.d. 1 m</t>
  </si>
  <si>
    <t>A.1.5.1.2</t>
  </si>
  <si>
    <t>Penggalian 1 m3 tanah biasa sedalam &gt;1 s.d. 2 m</t>
  </si>
  <si>
    <t>A.1.5.1.3</t>
  </si>
  <si>
    <t>Penggalian 1 m3 tanah biasa sedalam &gt;2 s.d. 3 m</t>
  </si>
  <si>
    <t>A.1.5.1.4</t>
  </si>
  <si>
    <t>Penggalian 1 m3 tanah keras sedalam s.d. 1 m</t>
  </si>
  <si>
    <t>A.1.5.1.5</t>
  </si>
  <si>
    <t>Penggalian 1 m3  tanah cadas sedalam s.d. 1 m</t>
  </si>
  <si>
    <t>A.1.5.1.6</t>
  </si>
  <si>
    <t>Penggalian 1 m3 tanah lumpur sedalam s.d. 1 m</t>
  </si>
  <si>
    <t>A.1.5.1.7</t>
  </si>
  <si>
    <t xml:space="preserve">Pengerjaan stripping 1 m2  tanah tebing setinggi s.d. 1 meter </t>
  </si>
  <si>
    <t>A.1.5.1.8</t>
  </si>
  <si>
    <t>(K3) Pembuangan 1 m3 tanah sejauh s.d. 30 meter</t>
  </si>
  <si>
    <t>A.1.5.1.9</t>
  </si>
  <si>
    <t>Pengurugan kembali 1 m3 galian tanah Tanah Biasa Sedalam 1 M</t>
  </si>
  <si>
    <t>Pengurugan kembali 1 m3 galian dihitung dari 1/3 kali dari koefisien pekerjaan galian</t>
  </si>
  <si>
    <t>A.1.5.1.10</t>
  </si>
  <si>
    <t>(K3) Pemadatan tanah 1 m3  tanah ( per 20 cm)</t>
  </si>
  <si>
    <t>A.1.5.1.11</t>
  </si>
  <si>
    <t>Pengurugan 1 m3 dengan pasir urug</t>
  </si>
  <si>
    <t>Pasir urug</t>
  </si>
  <si>
    <t>M3</t>
  </si>
  <si>
    <t>A.1.5.1.12</t>
  </si>
  <si>
    <t>Pemasangan 1 m3  lapisan pudel campuran 1KP:3PP:7TL</t>
  </si>
  <si>
    <t>Kapur</t>
  </si>
  <si>
    <t>Pasir Pasang</t>
  </si>
  <si>
    <t>Tanah Liat</t>
  </si>
  <si>
    <t>A.1.5.1.13</t>
  </si>
  <si>
    <t>Pemasangan 1 m2  lapisan ijuk tebal 10 cm untuk bidang resapan</t>
  </si>
  <si>
    <t>Ijuk</t>
  </si>
  <si>
    <t>A.1.5.1.14</t>
  </si>
  <si>
    <t>Pengurugan 1 m3 dengan sirtu padat</t>
  </si>
  <si>
    <t>Sirtu</t>
  </si>
  <si>
    <t xml:space="preserve">A.3.1.1 </t>
  </si>
  <si>
    <t>HARGA SATUAN PEKERJAAN PONDASI</t>
  </si>
  <si>
    <t>A.3.1.1.1</t>
  </si>
  <si>
    <t>Pemasangan 1 m3 pondasi batu belah campuran 1SP : 3PP</t>
  </si>
  <si>
    <t>Tukang Batu</t>
  </si>
  <si>
    <t>A.3.1.1.2</t>
  </si>
  <si>
    <t>Pemasangan 1 m3 pondasi batu belah campuran 1SP : 4PP</t>
  </si>
  <si>
    <t>A.3.1.1.3</t>
  </si>
  <si>
    <t>Pemasangan 1 m3 pondasi batu belah campuran 1SP : 5PP</t>
  </si>
  <si>
    <t>A.3.1.1.4</t>
  </si>
  <si>
    <t>Pemasangan 1 m3 pondasi batu belah campuran 1SP : 6PP</t>
  </si>
  <si>
    <t>A.3.1.1.5</t>
  </si>
  <si>
    <t>Pemasangan 1 m3 pondasi batu belah campuran 1SP : 8PP</t>
  </si>
  <si>
    <t>A.3.1.1.6</t>
  </si>
  <si>
    <t>Pemasangan 1 m3 pondasi batu belah campuran 1SP : 1KP : 2PP</t>
  </si>
  <si>
    <t>A.3.1.1.7</t>
  </si>
  <si>
    <t>Pemasangan 1 m3 pondasi batu belah campuran 1 SP : 3 KP : 10 PP</t>
  </si>
  <si>
    <t>A.3.1.1.8</t>
  </si>
  <si>
    <t>Pemasangan 1 m3 pondasi batu belah campuran ¼ SP : 1 KP : 4PP</t>
  </si>
  <si>
    <t>A.3.1.1.9</t>
  </si>
  <si>
    <t>Pemasangan 1 m3 batu kosong (anstamping)</t>
  </si>
  <si>
    <t>A.3.1.1.10</t>
  </si>
  <si>
    <t>(K3) Pemasangan 1 m3 pondasi siklop, 60% beton campuran 1SP : 2 PB : 3 Kr dan 40% batu belah</t>
  </si>
  <si>
    <t>Besi beton (polos/ulir)</t>
  </si>
  <si>
    <t>Kawat beton</t>
  </si>
  <si>
    <t>A.3.1.1.11</t>
  </si>
  <si>
    <t>Pemasangan 1 m3 pondasi sumuran, diameter 100 cm</t>
  </si>
  <si>
    <t xml:space="preserve">A.4.1.1 </t>
  </si>
  <si>
    <t>HARGA SATUAN PEKERJAAN BETON</t>
  </si>
  <si>
    <t>A.4.1.1.1</t>
  </si>
  <si>
    <t>Membuat 1 m3 beton mutu f’c = 7,4 MPa (K 100)</t>
  </si>
  <si>
    <t>Air</t>
  </si>
  <si>
    <t>A.4.1.1.2</t>
  </si>
  <si>
    <t>Membuat 1 m3 beton mutu f’= 9,8 MPa (K 125)</t>
  </si>
  <si>
    <t>A.4.1.1.3</t>
  </si>
  <si>
    <t>Membuat 1 m3 beton mutu f’= 12,2 MPa (K 150)</t>
  </si>
  <si>
    <t>CATATAN</t>
  </si>
  <si>
    <t>Bobot isi pasir = 1.400 kg/m3,  Bobot isi kerikil = 1.350 kg/m3, Buckling factor pasir = 20 %</t>
  </si>
  <si>
    <t>A.4.1.1.4</t>
  </si>
  <si>
    <t>Membuat 1 m3 lantai kerja beton mutu f’c = 7,4 MPa (K 100), slump (3-6) cm, w/c = 0,87</t>
  </si>
  <si>
    <t>A.4.1.1.5</t>
  </si>
  <si>
    <t>Membuat 1 m3 beton mutu f’  = 14,5 MPa (K 175), slump (12 ±2) cm, w/c = 0,66</t>
  </si>
  <si>
    <t>A.4.1.1.6</t>
  </si>
  <si>
    <t>Membuat 1 m3 beton mutu f’= 16,9 MPa (K 200), slump (120 ± 20) mm, w/c = 0,61</t>
  </si>
  <si>
    <t>A.4.1.1.7</t>
  </si>
  <si>
    <t>Membuat 1 m3 beton mutu f’  = 19,3 MPa (K 225), slump (120 ± 20) mm, w/c = 0,58</t>
  </si>
  <si>
    <t>A.4.1.1.8</t>
  </si>
  <si>
    <t>Membuat 1 m3 beton mutu f’= 21,7 MPa (K 250), slump (120 ± 20) mm, w/c = 0,56</t>
  </si>
  <si>
    <t>A.4.1.1.9</t>
  </si>
  <si>
    <t>Membuat 1 m3 beton mutu f’ = 24,0 MPa (K 275), slump (120 ± 20) mm, w/c = 0,53</t>
  </si>
  <si>
    <t>A.4.1.1.10</t>
  </si>
  <si>
    <t>Membuat 1 m3 beton mutu f’c = 26,4 MPa (K 300), slump (120 ± 20) mm, w/c = 0,52</t>
  </si>
  <si>
    <t>A.4.1.1.11</t>
  </si>
  <si>
    <t>Membuat 1 m3 beton mutu f’c = 28,8 MPa (K 325), slump (120 ± 20) mm, w/c = 0,49</t>
  </si>
  <si>
    <t>A.4.1.1.12</t>
  </si>
  <si>
    <t>Membuat 1 m3 beton mutu f’c = 31,2 MPa (K 350), slump (120 ± 20) mm, w/c = 0,48</t>
  </si>
  <si>
    <t>A.4.1.1.13</t>
  </si>
  <si>
    <t>Untuk  pekerjaan  beton  pracetak  yang  bisa  diangkat 24 jam diperlukan penambahan bahan tambahan sesuai Tabel berikut:</t>
  </si>
  <si>
    <t>Bahan tambahan kimia</t>
  </si>
  <si>
    <t>A.4.1.1.14</t>
  </si>
  <si>
    <t>Membuat 1 m3 beton kedap air dengan strorox - 100</t>
  </si>
  <si>
    <t>Strorox - 100</t>
  </si>
  <si>
    <t>A.4.1.1.15</t>
  </si>
  <si>
    <t>Pemasangan 1 m’ PVC Waterstop lebar 150 mm</t>
  </si>
  <si>
    <t>Tukang Pipa</t>
  </si>
  <si>
    <t>L.02.13</t>
  </si>
  <si>
    <t>Waterstop lebar 150 mm</t>
  </si>
  <si>
    <t>A.4.1.1.16</t>
  </si>
  <si>
    <t>Pemasangan 1 m’ PVC Waterstop lebar 200 mm</t>
  </si>
  <si>
    <t>Waterstop lebar 200 mm</t>
  </si>
  <si>
    <t>A.4.1.1.17</t>
  </si>
  <si>
    <t>Membuat 1 m’ PVC Waterstop lebar 230 mm - 320 mm</t>
  </si>
  <si>
    <t>Waterstop lebar 230 mm - 320 mm</t>
  </si>
  <si>
    <t>A.4.1.1.18</t>
  </si>
  <si>
    <t>Pembesian 10 kg dengan besi polos atau besi ulir</t>
  </si>
  <si>
    <t>Tukang Besi</t>
  </si>
  <si>
    <t>L.02.05</t>
  </si>
  <si>
    <t>A.4.1.1.19</t>
  </si>
  <si>
    <t>Pemasangan 10 kg kabel presstressed polos/strands</t>
  </si>
  <si>
    <t>A.4.1.1.20</t>
  </si>
  <si>
    <t>Pemasangan 1 kg jaring kawat baja (wiremesh) M6-M8</t>
  </si>
  <si>
    <t>Jaring kawat baja dilas</t>
  </si>
  <si>
    <t>A.4.1.1.21</t>
  </si>
  <si>
    <t>(K3) Pemasangan 1 m2 bekisting untuk pondasi telapak beton bangunan gedung</t>
  </si>
  <si>
    <t>Kayu kelas III</t>
  </si>
  <si>
    <t>Paku 5  - 10 cm</t>
  </si>
  <si>
    <t>Minyak bekisting</t>
  </si>
  <si>
    <t>A.4.1.1.22</t>
  </si>
  <si>
    <t>(K3) Pemasangan 1 m2 bekisting untuk sloof beton bangunan gedung</t>
  </si>
  <si>
    <t>A.4.1.1.23</t>
  </si>
  <si>
    <t>(K3) Pemasangan 1 m2 bekisting untuk kolom beton bangunan gedung</t>
  </si>
  <si>
    <t>Paku 5 - 12 cm</t>
  </si>
  <si>
    <t>Balok kayu kelas II</t>
  </si>
  <si>
    <t>Plywood 9 mm</t>
  </si>
  <si>
    <t>A.4.1.1.24</t>
  </si>
  <si>
    <t>(K3) Pemasangan 1 m2 bekisting untuk balok beton bangunan gedung</t>
  </si>
  <si>
    <t>A.4.1.1.25</t>
  </si>
  <si>
    <t>(K3) Pemasangan 1 m2 bekisting untuk plat lantai beton bangunan gedung</t>
  </si>
  <si>
    <t>A.4.1.1.26</t>
  </si>
  <si>
    <t>(K3) Pemasangan 1 m2 bekisting untuk dinding sheerwall</t>
  </si>
  <si>
    <t>Penjaga jarak bekisting / spacer</t>
  </si>
  <si>
    <t>Buah</t>
  </si>
  <si>
    <t>A.4.1.1.27</t>
  </si>
  <si>
    <t>(K3) Pemasangan 1 m2 bekisting untuk tangga</t>
  </si>
  <si>
    <t>A.4.1.1.28</t>
  </si>
  <si>
    <t>Pemasangan 1 m2 jembatan untuk pengecoran beton</t>
  </si>
  <si>
    <t>Kayu kelas III (papan)</t>
  </si>
  <si>
    <t>A.4.1.1.29</t>
  </si>
  <si>
    <t>Membuat 1 m3 pondasi beton bertulang (150 kg besi + bekisting)</t>
  </si>
  <si>
    <t>Tukang kayu</t>
  </si>
  <si>
    <t>Tukang besi</t>
  </si>
  <si>
    <t>Paku Biasa</t>
  </si>
  <si>
    <t>A.4.1.1.30</t>
  </si>
  <si>
    <t>Membuat 1 m3 sloof beton bertulang (200 kg besi + bekisting)</t>
  </si>
  <si>
    <t>A.4.1.1.31</t>
  </si>
  <si>
    <t>Membuat 1 m3 kolom beton bertulang (300 kg besi + bekisting)</t>
  </si>
  <si>
    <t>Kayu kelas II balok</t>
  </si>
  <si>
    <t>A.4.1.1.32</t>
  </si>
  <si>
    <t>Membuat 1 m3 balok beton bertulang (200 kg besi + bekisting)</t>
  </si>
  <si>
    <t>Lembar</t>
  </si>
  <si>
    <t>A.4.1.1.33</t>
  </si>
  <si>
    <t>Membuat 1 m3 kolom beton bertulang (150 kg besi + bekisting)</t>
  </si>
  <si>
    <t>A.4.1.1.34</t>
  </si>
  <si>
    <t>Membuat 1 m3 dinding beton bertulang (150 kg besi + bekisting)</t>
  </si>
  <si>
    <t>A.4.1.1.35</t>
  </si>
  <si>
    <t>Membuat 1 m3 dinding beton bertulang (200 kg besi + bekisting)</t>
  </si>
  <si>
    <t>A.4.1.1.36</t>
  </si>
  <si>
    <t>Membuat 1 m’  kolom praktis beton bertulang (11 x 11) cm</t>
  </si>
  <si>
    <t>A.4.1.1.37</t>
  </si>
  <si>
    <t>Membuat 1 m’ ring balok beton bertulang (10 x 15) cm</t>
  </si>
  <si>
    <t xml:space="preserve">A.4.1.2 </t>
  </si>
  <si>
    <t>HARGA SATUAN PEKERJAAN BETON PRACETAK</t>
  </si>
  <si>
    <t>A.4.1.2.1</t>
  </si>
  <si>
    <t>(K3) Pembuatan 1 m2 lahan produksi tebal 8cm beton f’c 14,5 Mpa (K 175) slump (120 ± 20) mm</t>
  </si>
  <si>
    <t>L</t>
  </si>
  <si>
    <t>A.4.1.2.2</t>
  </si>
  <si>
    <t>(K3) Pembuatan 1 m2 lahan produksi tebal 10 cm beton f’c 14,5 Mpa (K 175) slump (120 ± 20) mm</t>
  </si>
  <si>
    <t>A.4.1.2.3</t>
  </si>
  <si>
    <t>(K3) Pembuatan 1 m2  lahan produksi tebal 12 cm beton f’c 14,5 Mpa (K 175) slump (120 ± 20) mm</t>
  </si>
  <si>
    <t>A.4.1.2.4</t>
  </si>
  <si>
    <t>(K3) Pembuatan 1 m2  lahan produksi tebal 15 cm beton f’c 14,5 Mpa (K 175) slump (120 ± 20) mm</t>
  </si>
  <si>
    <t>A.4.1.2.5</t>
  </si>
  <si>
    <t>Pembuatan 1 m2  bekisting untuk plat beton pracetak ( 5 kali pakai)</t>
  </si>
  <si>
    <t>Lantai kerja tebal 10cm</t>
  </si>
  <si>
    <t>Besi hollow 50.50.3</t>
  </si>
  <si>
    <t>Kayu kaso 5/7</t>
  </si>
  <si>
    <t>Phenol film 12mm</t>
  </si>
  <si>
    <t>Dynabol dia 12 x 120 mm</t>
  </si>
  <si>
    <t>A.4.1.2.6</t>
  </si>
  <si>
    <t>Pembuatan 1 m2  bekisting untuk balok beton pracetak ( 10-12 kali pakai)</t>
  </si>
  <si>
    <t>A.4.1.2.7</t>
  </si>
  <si>
    <t>Pembuatan 1 m2  bekisting untuk kolom beton pracetak (10-12 kali pakai)</t>
  </si>
  <si>
    <t>A.4.1.2.8</t>
  </si>
  <si>
    <t>Pemasangan dan membuka bekisting 1 buah komponen plat beton pracetak</t>
  </si>
  <si>
    <t>A.4.1.2.9</t>
  </si>
  <si>
    <t>Pemasangan dan membuka bekisting 1 buah komponen balok beton pracetak</t>
  </si>
  <si>
    <t>A.4.1.2.10</t>
  </si>
  <si>
    <t>Pemasangan dan membuka bekisting 1 buah komponen Kolom beton pracetak</t>
  </si>
  <si>
    <t>A.4.1.2.11</t>
  </si>
  <si>
    <t>Penuangan/menebar beton 1 m3 untuk pelat beton pracetak</t>
  </si>
  <si>
    <t>Tukang vibrator</t>
  </si>
  <si>
    <t>L.02.14</t>
  </si>
  <si>
    <t>A.4.1.2.12</t>
  </si>
  <si>
    <t>Penuangan/menebar beton 1 m3 untuk balok beton pracetak</t>
  </si>
  <si>
    <t>A.4.1.2.13</t>
  </si>
  <si>
    <t>Penuangan/menebar beton untuk 1 m3 untuk kolom beton pracetak</t>
  </si>
  <si>
    <t>A.4.1.2.14</t>
  </si>
  <si>
    <t>Pemasangan 1 buah komponen pelat beton pracetak beserta indexks kenaikan lantai ereksi pelat hingga 24 lantai</t>
  </si>
  <si>
    <t>L.10.01</t>
  </si>
  <si>
    <t>L.10.02</t>
  </si>
  <si>
    <t>Tukang ereksi</t>
  </si>
  <si>
    <t>L.02.09</t>
  </si>
  <si>
    <t>Solar</t>
  </si>
  <si>
    <t>unit hari</t>
  </si>
  <si>
    <t>Buah hari</t>
  </si>
  <si>
    <t>Indeks kenaikan lantai ereksi komponen untuk pelat pracetak</t>
  </si>
  <si>
    <t>Lantai</t>
  </si>
  <si>
    <t xml:space="preserve">Indeks kenaikan lantai </t>
  </si>
  <si>
    <t>ereksi pelat</t>
  </si>
  <si>
    <t>A.4.1.2.15</t>
  </si>
  <si>
    <t>Pemasangan 1 buah komponen balok beton pracetak beserta indexks kenaikan lantai ereksi pelat hingga 24 lantai</t>
  </si>
  <si>
    <t>Indeks kenaikan lantai ereksi komponen untuk Balok pracetak</t>
  </si>
  <si>
    <t>ereksi Balok</t>
  </si>
  <si>
    <t>A.4.1.2.16</t>
  </si>
  <si>
    <t>Pemasangan 1 buah komponen kolom beton pracetak beserta indexks kenaikan lantai ereksi pelat hingga 24 lantai</t>
  </si>
  <si>
    <t>Indeks kenaikan lantai ereksi komponen untuk Kolom pracetak</t>
  </si>
  <si>
    <t>Indeks kenaikan lantai ereksi kolom</t>
  </si>
  <si>
    <t>A.4.1.2.17</t>
  </si>
  <si>
    <t>Pemindahan 1 buah komponen untuk pelat beton pracetak ( ± 20 m)</t>
  </si>
  <si>
    <t>Operator crane</t>
  </si>
  <si>
    <t>Pembantu operator crane</t>
  </si>
  <si>
    <t>Sewa crane</t>
  </si>
  <si>
    <t>UH</t>
  </si>
  <si>
    <t>A.4.1.2.18</t>
  </si>
  <si>
    <t>Pemindahan 1 buah komponen untuk balok beton pracetak ( ± 20 m)</t>
  </si>
  <si>
    <t>A.4.1.2.19</t>
  </si>
  <si>
    <t>Pemindahan 1 buah komponen untuk kolom beton pracetak ( ± 20 m)</t>
  </si>
  <si>
    <t>A.4.1.2.20</t>
  </si>
  <si>
    <t>Bahan 1 m3 grouting campuran</t>
  </si>
  <si>
    <t>Semen grout</t>
  </si>
  <si>
    <t>Screening</t>
  </si>
  <si>
    <t>A.4.1.2.21</t>
  </si>
  <si>
    <t>Bahan 1 m3 grouting tidak campuran</t>
  </si>
  <si>
    <t>A.4.1.2.22</t>
  </si>
  <si>
    <t>Upah 1 titik pekerjaan grout paa joint beton pracetak</t>
  </si>
  <si>
    <t>A.4.1.2.23</t>
  </si>
  <si>
    <t>Pemasangan 1 titik bekisting joint pracetak</t>
  </si>
  <si>
    <t>A.4.1.2.24</t>
  </si>
  <si>
    <t>Upah  1 titik Join dengan Sling</t>
  </si>
  <si>
    <t xml:space="preserve">A.4.2.1 </t>
  </si>
  <si>
    <t>HARGA SATUAN PEKERJAAN BESI DAN ALUMUNIUM</t>
  </si>
  <si>
    <t>A.4.2.1.1</t>
  </si>
  <si>
    <t>Pemasangan 1 kg besi profil</t>
  </si>
  <si>
    <t>Tukang Las Konstruksi</t>
  </si>
  <si>
    <t>L.02.10</t>
  </si>
  <si>
    <t>Besi Profil</t>
  </si>
  <si>
    <t>A.4.2.1.2</t>
  </si>
  <si>
    <t>Pemasangan 1 kg rangka kuda-kuda baja IWF</t>
  </si>
  <si>
    <t>Besi IWF</t>
  </si>
  <si>
    <t>A.4.2.1.3</t>
  </si>
  <si>
    <t>Pengerjaan 100 kg pekerjaan perakitan</t>
  </si>
  <si>
    <t>Tukang Besi Konstruksi</t>
  </si>
  <si>
    <t>L.02.06</t>
  </si>
  <si>
    <t>Minyak pelumas</t>
  </si>
  <si>
    <t>Sewa alat Perakitan Baja IWF</t>
  </si>
  <si>
    <t>Jam</t>
  </si>
  <si>
    <t>A.4.2.1.4</t>
  </si>
  <si>
    <t>Pembuatan 1 m2 pintu besi plat baja tebal 2 mm rangkap, rangka baja siku</t>
  </si>
  <si>
    <t>Tukang Las</t>
  </si>
  <si>
    <t>L.02.11</t>
  </si>
  <si>
    <t>Besi siku L 30.30.3</t>
  </si>
  <si>
    <t>Besi plat baja</t>
  </si>
  <si>
    <t>Kawat las</t>
  </si>
  <si>
    <t>A.4.2.1.5</t>
  </si>
  <si>
    <t>Pengerjaan 10 cm pengelasan dengan las listrik</t>
  </si>
  <si>
    <t>Kawat las listrik</t>
  </si>
  <si>
    <t>Sewa alat Las Listrik</t>
  </si>
  <si>
    <t>A.4.2.1.6</t>
  </si>
  <si>
    <t>Pembuatan 1 m2 rangka jendela besi scuare tube (25 x 5) cm</t>
  </si>
  <si>
    <t>Besi scuare tube</t>
  </si>
  <si>
    <t>Besi lis kaca (1 x 1) cm</t>
  </si>
  <si>
    <t>Pengelasan</t>
  </si>
  <si>
    <t>cm</t>
  </si>
  <si>
    <t>A.4.2.1.7</t>
  </si>
  <si>
    <t>Pemasangan 1 m2 pintu rolling door besi</t>
  </si>
  <si>
    <t>Pintu gulung besi</t>
  </si>
  <si>
    <t>A.4.2.1.8</t>
  </si>
  <si>
    <t>Pemasangan 1 m2 pintu lipat (folding door) bahan plastik/PVC</t>
  </si>
  <si>
    <t>Pintu lipat</t>
  </si>
  <si>
    <t>A.4.2.1.9</t>
  </si>
  <si>
    <t>Pemasangan 1 m2 sunscreen alluminium</t>
  </si>
  <si>
    <t>Sunscreen alluminium</t>
  </si>
  <si>
    <t>A.4.2.1.10</t>
  </si>
  <si>
    <t>Pemasangan 1 m2 rolling door alluminium</t>
  </si>
  <si>
    <t>Tukang Alumunium</t>
  </si>
  <si>
    <t>L.02.02</t>
  </si>
  <si>
    <t>Rolling dor alluminium</t>
  </si>
  <si>
    <t>A.4.2.1.11</t>
  </si>
  <si>
    <t>Pemasangan 1 m kusen pintu alluminium</t>
  </si>
  <si>
    <t>Profil alluminium</t>
  </si>
  <si>
    <t>Skrup fixer</t>
  </si>
  <si>
    <t>Sealant</t>
  </si>
  <si>
    <t>Tube</t>
  </si>
  <si>
    <t>A.4.2.1.12</t>
  </si>
  <si>
    <t>Pemasangan 1 m2   pintu alluminium strip lebar 8 cm</t>
  </si>
  <si>
    <t>Aluminium strip</t>
  </si>
  <si>
    <t>A.4.2.1.13</t>
  </si>
  <si>
    <t>Pemasangan 1 m2   pintu kaca rangka alluminium</t>
  </si>
  <si>
    <t>Pintu alluminium</t>
  </si>
  <si>
    <t>Profil kaca</t>
  </si>
  <si>
    <t>A.4.2.1.14</t>
  </si>
  <si>
    <t>Pemasangan 1 m2   venetions blinds dan Vertical blinds</t>
  </si>
  <si>
    <t>Venetions blinds dan vertical blinds (tirai)</t>
  </si>
  <si>
    <t>A.4.2.1.15</t>
  </si>
  <si>
    <t>Pemasangan 1 m2   terali besi strip (2 x 3) mm</t>
  </si>
  <si>
    <t>A.4.2.1.16</t>
  </si>
  <si>
    <t>Pemasangan 1 m2   kawat nyamuk</t>
  </si>
  <si>
    <t>Kawat nyamuk</t>
  </si>
  <si>
    <t>Baja strip (0,2 x 2) cm</t>
  </si>
  <si>
    <t>A.4.2.1.17</t>
  </si>
  <si>
    <t>Pemasangan 1 m2   jendela nako &amp; tralis</t>
  </si>
  <si>
    <t>Jendela nako (rangka + kaca 5 mm)</t>
  </si>
  <si>
    <t>Paku skrup</t>
  </si>
  <si>
    <t>A.4.2.1.18</t>
  </si>
  <si>
    <t>Pemasangan 1 m’ talang datar/ jurai seng bjls 28 lebar 90 cm</t>
  </si>
  <si>
    <t>Kayu Papan kelas II</t>
  </si>
  <si>
    <t>A.4.2.1.19</t>
  </si>
  <si>
    <t>Pemasangan 1 m  talang ½ lingkaran  D-15 cm, seng plat bjls 30 lebar 45 cm</t>
  </si>
  <si>
    <t>A.4.2.1.20</t>
  </si>
  <si>
    <t>Pemasangan 1 m2 rangka besi hollow 1x40.40.2mm, modul 60 x 120 cm, dinding partisi</t>
  </si>
  <si>
    <t>Rangka metal hollow 40.40.2 mm</t>
  </si>
  <si>
    <t>M1</t>
  </si>
  <si>
    <t>Assesoris (perkuatan, las dll)</t>
  </si>
  <si>
    <t>Ls</t>
  </si>
  <si>
    <t>A.4.2.1.21</t>
  </si>
  <si>
    <t>Pemasangan 1 m2  rangka besi hollow 1x40.40.2mm, modul 60 x 60 cm, plafon</t>
  </si>
  <si>
    <t>A.4.2.1.22</t>
  </si>
  <si>
    <t xml:space="preserve">(K3) Pemasangan 1 m2  atap pelana rangka atap baja canai dingin profil C75 </t>
  </si>
  <si>
    <t>Baja ringan canai dingin C75</t>
  </si>
  <si>
    <t>Alat Rangka Atap Baja Canai Dingin</t>
  </si>
  <si>
    <t>A.4.2.1.23</t>
  </si>
  <si>
    <t xml:space="preserve">(K3) Pemasangan 1 m2  atap jurai rangka atap baja canai dingin profil C75 </t>
  </si>
  <si>
    <t>A.4.2.1.24</t>
  </si>
  <si>
    <t>Pemasangan 1 M2 pasang kuda-kuda baja ringan serta reng untuk atap genteng biasa/metal</t>
  </si>
  <si>
    <t>Baut (Srew driver)</t>
  </si>
  <si>
    <t>Reng Canai Dingin</t>
  </si>
  <si>
    <t>Talang / Jurai Canai Dingin</t>
  </si>
  <si>
    <t>A.4.2.1.25</t>
  </si>
  <si>
    <t>Pemasangan 1 m2 venetians blinds dan vertical blinds</t>
  </si>
  <si>
    <t>Venetians blinds dan vertical blinds (tirai)</t>
  </si>
  <si>
    <t>M2</t>
  </si>
  <si>
    <t xml:space="preserve">A.4.4.1 </t>
  </si>
  <si>
    <t>HARGA SATUAN PEKERJAAN PASANGAN DINDING</t>
  </si>
  <si>
    <t>A.4.4.1.1</t>
  </si>
  <si>
    <t>Pemasangan 1m2 dinding bata merah (5x11x22) cm tebal 1 batu dengan mortar tipe m, fc' 17,2 Mpa (setara campuran  1 SP : 2 PP)</t>
  </si>
  <si>
    <t>A.4.4.1.2</t>
  </si>
  <si>
    <t>Pemasangan 1m2 dinding bata merah (5x11x22) cm tebal 1 batu dengan mortar tipe s, fc' 12,5 Mpa (setara campuran  1 SP : 3 PP)</t>
  </si>
  <si>
    <t>A.4.4.1.3</t>
  </si>
  <si>
    <t>Pemasangan 1m2 dinding bata merah (5x11x22) cm tebal 1 batu dengan mortar tipe n, fc' 5,2 Mpa (setara campuran  1 SP : 4 PP)</t>
  </si>
  <si>
    <t>A.4.4.1.4</t>
  </si>
  <si>
    <t>Pemasangan 1m2 dinding bata merah (5x11x22) cm tebal 1 batu dengan mortar tipe o, fc' 2,4 Mpa (setara campuran  1 SP : 5 PP)</t>
  </si>
  <si>
    <t>A.4.4.1.5</t>
  </si>
  <si>
    <t>Pemasangan 1m2 dinding bata merah (5x11x22) cm tebal 1 batu  campuran  1 SP : 6 PP</t>
  </si>
  <si>
    <t>A.4.4.1.6</t>
  </si>
  <si>
    <t>Pemasangan 1m2  dinding bata merah (5x11x22) cm tebal 1 batu campuran 1SP : 3KP : 10PP</t>
  </si>
  <si>
    <t>A.4.4.1.7</t>
  </si>
  <si>
    <t>Pemasangan 1m2 Dinding Bata Merah (5x11x22) cm Tebal ½ Batu dengan Mortar tipe m,fc’ 17,2 Mpa ( Setara Campuran 1SP : 2PP)</t>
  </si>
  <si>
    <t>A.4.4.1.8</t>
  </si>
  <si>
    <t>Pemasangan 1m2 Dinding Bata Merah (5x11x22) cm Tebal ½ Batu dengan Mortar tipe s,fc’ 12,5 Mpa (setara campuran  1 SP : 3 PP)</t>
  </si>
  <si>
    <t>A.4.4.1.9</t>
  </si>
  <si>
    <t>Pemasangan 1m2 Dinding Bata Merah (5x11x22) cm Tebal ½ Batu dengan Mortar tipe n,fc’ 5,2 Mpa (setara campuran  1 SP : 4 PP)</t>
  </si>
  <si>
    <t>A.4.4.1.10</t>
  </si>
  <si>
    <t>Pemasangan 1m2 Dinding Bata Merah (5x11x22) cm Tebal ½ Batu dengan Mortar tipe o,fc’ fc' 2,4 Mpa (setara campuran  1 SP : 5 PP)</t>
  </si>
  <si>
    <t>A.4.4.1.11</t>
  </si>
  <si>
    <t>Pemasangan 1m2 Dinding Bata Merah (5x11x22) cm Tebal ½ Batu campuran 1 SP : 6PP</t>
  </si>
  <si>
    <t>A.4.4.1.12</t>
  </si>
  <si>
    <t>Pemasangan 1m2 dinding bata merah (5x11x22)cm tebal ½ batu campuran  1SP : 8 PP</t>
  </si>
  <si>
    <t>A.4.4.1.13</t>
  </si>
  <si>
    <t>Pemasangan 1m2  dinding bata merah (5x11x22)cm tebal ½ batu campuran 1SP : 3KP :10PP</t>
  </si>
  <si>
    <t>A.4.4.1.14</t>
  </si>
  <si>
    <t>Pemasangan 1m2 dinding bata merah (5x11x22)cm tebal ½ batu campuran 1SM : 1KP :1PP</t>
  </si>
  <si>
    <t>Semen Merah</t>
  </si>
  <si>
    <t>A.4.4.1.15</t>
  </si>
  <si>
    <t>Pemasangan 1m2 dinding bata merah (5x11x22) cm tebal ½ batu campuran  1SM : 1KP :2PP</t>
  </si>
  <si>
    <t>A.4.4.1.16</t>
  </si>
  <si>
    <t>Pemasangan 1m2 dinding conblock HB20 dengan mortar tipe s, fc' 12,5 Mpa (setara campuran  1SP  : 3PP)</t>
  </si>
  <si>
    <t>HB-20</t>
  </si>
  <si>
    <t>Besi angker dia 8</t>
  </si>
  <si>
    <t>A.4.4.1.17</t>
  </si>
  <si>
    <t>Pemasangan 1m2 dinding conblock HB20 dengan mortar tipe n, fc' 5,2 Mpa (setara campuran  1SP  : 4PP)</t>
  </si>
  <si>
    <t>A.4.4.1.18</t>
  </si>
  <si>
    <t>Pemasangan 1m2 dinding conblock HB15 dengan mortar tipe s, fc' 12,5 Mpa (setara campuran  1SP  : 3PP)</t>
  </si>
  <si>
    <t>HB-15</t>
  </si>
  <si>
    <t>A.4.4.1.19</t>
  </si>
  <si>
    <t>Pemasangan 1m2 dinding conblock HB15 dengan mortar tipe n, fc' 5,2 Mpa (setara campuran  1SP  : 4PP)</t>
  </si>
  <si>
    <t>A.4.4.1.20</t>
  </si>
  <si>
    <t>Pemasangan 1m2 dinding conblock HB10 dengan mortar tipe s, fc' 12,5 Mpa (setara campuran  1SP  : 3PP)</t>
  </si>
  <si>
    <t>HB-10</t>
  </si>
  <si>
    <t>A.4.4.1.21</t>
  </si>
  <si>
    <t>Pemasangan 1m2 dinding conblock HB10 dengan mortar tipe n, fc' 5,2 Mpa (setara campuran  1SP  : 4PP)</t>
  </si>
  <si>
    <t>A.4.4.1.22</t>
  </si>
  <si>
    <t>Pemasangan 1m2 dinding terawang (rooster) 12x11x24 dengan mortar tipe s, fc' 12,5 Mpa (setara campuran  1SP  : 3PP)</t>
  </si>
  <si>
    <t>Bata rooster</t>
  </si>
  <si>
    <t>A.4.4.1.23</t>
  </si>
  <si>
    <t>Pemasangan 1m2 dinding terawang (rooster) 12x11x24 dengan mortar tipe n, fc' 5,2 Mpa (setara campuran  1SP  : 4PP)</t>
  </si>
  <si>
    <t>Bata berongga</t>
  </si>
  <si>
    <t>A.4.4.1.24</t>
  </si>
  <si>
    <t>Pemasangan 1m2 dinding berongga ekspose 12x11x24 dengan mortar tipe s, fc' 12,5 Mpa (setara campuran  1SP  : 3PP)</t>
  </si>
  <si>
    <t>A.4.4.1.25</t>
  </si>
  <si>
    <t>Pemasangan 1m2 dinding berongga ekspose 12x11x24 dengan mortar tipe n, fc' 5,2 Mpa (setara campuran  1SP  : 4PP)</t>
  </si>
  <si>
    <t>Bata  ringan tebal 7,5 cm</t>
  </si>
  <si>
    <t>Mortar siap pakai</t>
  </si>
  <si>
    <t>Peralatan Pasang Dinding Bata Ringan</t>
  </si>
  <si>
    <t>A.4.4.1.26</t>
  </si>
  <si>
    <t>Pemasangan 1 m2 dinding bata ringan tebal 10 cm dengan mortar siap pakai</t>
  </si>
  <si>
    <t xml:space="preserve">A.4.4.2 </t>
  </si>
  <si>
    <t>HARGA SATUAN PEKERJAAN PLESTERAN</t>
  </si>
  <si>
    <t>A.4.4.2.1</t>
  </si>
  <si>
    <t>Pemasangan 1 m2 plesteran 1SP : 1PP tebal 15 mm.</t>
  </si>
  <si>
    <t>A.4.4.2.2</t>
  </si>
  <si>
    <t>Pemasangan 1 m2 plesteran 1SP : 2PP tebal 15 mm.</t>
  </si>
  <si>
    <t>A.4.4.2.3</t>
  </si>
  <si>
    <t>Pemasangan 1 m2 plesteran 1SP : 3PP tebal 15mm.</t>
  </si>
  <si>
    <t>A.4.4.2.4</t>
  </si>
  <si>
    <t>Pemasangan 1 m2 plesteran 1SP : 4PP tebal 15 mm</t>
  </si>
  <si>
    <t>A.4.4.2.5</t>
  </si>
  <si>
    <t>Pemasangan 1 m2 plesteran 1SP : 5PP tebal 15 mm</t>
  </si>
  <si>
    <t>A.4.4.2.6</t>
  </si>
  <si>
    <t>Pemasangan 1 m2 plesteran 1SP : 6PP tebal 15 mm.</t>
  </si>
  <si>
    <t>A.4.4.2.7</t>
  </si>
  <si>
    <t>Pemasangan 1 m2 plesteran 1SP : 7PP tebal 15 mm</t>
  </si>
  <si>
    <t>A.4.4.2.8</t>
  </si>
  <si>
    <t>Pemasangan 1 m2 plesteran 1SP : 8PP tebal 15 mm</t>
  </si>
  <si>
    <t>A.4.4.2.9</t>
  </si>
  <si>
    <t>Pemasangan 1 m2 plesteran 1SP : 1/2KP : 3PP tebal 15 mm</t>
  </si>
  <si>
    <t>Kapur Pasang</t>
  </si>
  <si>
    <t>A.4.4.2.10</t>
  </si>
  <si>
    <t>Pemasangan 1 m2 plesteran 1SP : 2KP : 8PP tebal 15 mm</t>
  </si>
  <si>
    <t>A.4.4.2.11</t>
  </si>
  <si>
    <t>Pemasangan 1 m2 plesteran 1SM : 1KP : 1PP tebal 15 mm</t>
  </si>
  <si>
    <t>A.4.4.2.12</t>
  </si>
  <si>
    <t>Pemasangan 1 m2 plesteran 1SM : 1KP : 2PP tebal 15 mm</t>
  </si>
  <si>
    <t>A.4.4.2.13</t>
  </si>
  <si>
    <t>Pemasangan 1 m2 plesteran 1SP : 1PP tebal 20 mm</t>
  </si>
  <si>
    <t>A.4.4.2.14</t>
  </si>
  <si>
    <t>Pemasangan 1 m2 plesteran 1SP : 3PP tebal 20 mm</t>
  </si>
  <si>
    <t>A.4.4.2.15</t>
  </si>
  <si>
    <t>Pemasangan 1 m2 plesteran 1SP : 4PP tebal 20 mm.</t>
  </si>
  <si>
    <t>A.4.4.2.16</t>
  </si>
  <si>
    <t>Pemasangan 1 m2 plesteran 1SP : 5PP tebal 20 mm</t>
  </si>
  <si>
    <t>A.4.4.2.17</t>
  </si>
  <si>
    <t>Pemasangan 1 m2 plesteran 1SP : 6PP tebal 20 mm</t>
  </si>
  <si>
    <t>A.4.4.2.18</t>
  </si>
  <si>
    <t>Pemasangan 1 m2 plesteran 1SM : 1KP : 2PP tebal 20 mm</t>
  </si>
  <si>
    <t>A.4.4.2.19</t>
  </si>
  <si>
    <t>Pemasangan 1 m2 berapen 1SP : 5PP tebal 15 mm</t>
  </si>
  <si>
    <t>A.4.4.2.20</t>
  </si>
  <si>
    <t>Pemasangan 1 m’ plesteran skoning 1SP : 3PP lebar 10 cm</t>
  </si>
  <si>
    <t>A.4.4.2.21</t>
  </si>
  <si>
    <t>Pemasangan 1 m2 plesteran granit  1SP : 2 granit tebal 1cm</t>
  </si>
  <si>
    <t>Batu granit</t>
  </si>
  <si>
    <t>A.4.4.2.22</t>
  </si>
  <si>
    <t>Pemasangan 1 m2 plesteran traso  1SP : 2 traso tebal 1cm</t>
  </si>
  <si>
    <t>Batu traso</t>
  </si>
  <si>
    <t>A.4.4.2.23</t>
  </si>
  <si>
    <t>Pemasangan 1 m2 plesteran ciprat  1SP : 2PP</t>
  </si>
  <si>
    <t>A.4.4.2.24</t>
  </si>
  <si>
    <t>Pemasangan 1 m2 finishing siar pasangan bata merah</t>
  </si>
  <si>
    <t>A.4.4.2.25</t>
  </si>
  <si>
    <t>Pemasangan 1 m2 finishing siar pasangan conblock ekspose</t>
  </si>
  <si>
    <t>A.4.4.2.26</t>
  </si>
  <si>
    <t>Pemasangan 1 m2 finishing siar pasangan batu kali, campuran 1SP : 2PP.</t>
  </si>
  <si>
    <t>A.4.4.2.27</t>
  </si>
  <si>
    <t>Pemasangan 1 m2 acian.</t>
  </si>
  <si>
    <t>A.4.4.2.28</t>
  </si>
  <si>
    <t xml:space="preserve">Pemasangan 1 m2 plesteran dengan mortar siap pakai (MSP) </t>
  </si>
  <si>
    <t>Semen mortar pasangan</t>
  </si>
  <si>
    <t>A.4.4.2.29</t>
  </si>
  <si>
    <t xml:space="preserve">Pemasangan 1 m2 Acian dengan mortar siap pakai (MSP) </t>
  </si>
  <si>
    <t>Semen mortar Acian</t>
  </si>
  <si>
    <t xml:space="preserve">A.4.4.3 </t>
  </si>
  <si>
    <t>HARGA SATUAN PEKERJAAN PENUTUP LANTAI DAN PENUTUP DINDING</t>
  </si>
  <si>
    <t>A.4.4.3.1</t>
  </si>
  <si>
    <t>Pemasangan 1m2 lantai ubin PC abu-abu ukuran 40cm x40cm</t>
  </si>
  <si>
    <t>ubin PC abu-abu ukuran 40cm x40cm</t>
  </si>
  <si>
    <t>A.4.4.3.2</t>
  </si>
  <si>
    <t>Pemasangan 1m2 lantai ubin PC abu-abu ukuran 30cm x30 cm</t>
  </si>
  <si>
    <t>ubin PC abu-abu ukuran 30cm x30 cm</t>
  </si>
  <si>
    <t>A.4.4.3.3</t>
  </si>
  <si>
    <t>Pemasangan 1m2 lantai ubin PC abu-abu ukuran 20cm x20 cm</t>
  </si>
  <si>
    <t>ubin PC abu-abu ukuran 20cm x20 cm</t>
  </si>
  <si>
    <t>A.4.4.3.4</t>
  </si>
  <si>
    <t>Pemasangan 1m2 lantai ubin warna  ukuran 40cm x40 cm</t>
  </si>
  <si>
    <t>ubin warna  ukuran 40cm x40 cm</t>
  </si>
  <si>
    <t>Semen Warna</t>
  </si>
  <si>
    <t>A.4.4.3.5</t>
  </si>
  <si>
    <t>Pemasangan 1m2 lantai ubin warna  ukuran 30cm x30cm</t>
  </si>
  <si>
    <t>ubin warna  ukuran 30cm x30cm</t>
  </si>
  <si>
    <t>A.4.4.3.6</t>
  </si>
  <si>
    <t>Pemasangan 1m2 lantai ubin warna  ukuran 20cm x20cm</t>
  </si>
  <si>
    <t>ubin warna  ukuran 20cm x20cm</t>
  </si>
  <si>
    <t>A.4.4.3.7</t>
  </si>
  <si>
    <t>Pemasangan 1m2 lantai ubin teraso  ukuran 40cm x40cm</t>
  </si>
  <si>
    <t>ubin teraso  ukuran 40cm x40cm</t>
  </si>
  <si>
    <t>A.4.4.3.8</t>
  </si>
  <si>
    <t>Pemasangan 1m2 lantai ubin teraso  ukuran 30cm x30cm</t>
  </si>
  <si>
    <t>ubin teraso  ukuran 30cm x30cm</t>
  </si>
  <si>
    <t>A.4.4.3.9</t>
  </si>
  <si>
    <t>Pemasangan 1m2 lantai ubin granit  ukuran 40cm x40cm</t>
  </si>
  <si>
    <t>ubin granit  ukuran 40cm x40cm</t>
  </si>
  <si>
    <t>A.4.4.3.10</t>
  </si>
  <si>
    <t>Pemasangan 1m2 lantai ubin granit  ukuran 30cm x30cm</t>
  </si>
  <si>
    <t>ubin granit  ukuran 30cm x30cm</t>
  </si>
  <si>
    <t>A.4.4.3.11</t>
  </si>
  <si>
    <t>Pemasangan 1m2 lantai ubin teralux  marmer ukuran 40cm x40cm</t>
  </si>
  <si>
    <t>ubin teralux  marmer ukuran 40cm x40cm</t>
  </si>
  <si>
    <t>A.4.4.3.12</t>
  </si>
  <si>
    <t>Pemasangan 1m2 lantai ubin teralux  ukuran 30cm x30cm</t>
  </si>
  <si>
    <t>ubin teralux  ukuran 30cm x30cm</t>
  </si>
  <si>
    <t>A.4.4.3.13</t>
  </si>
  <si>
    <t>Pemasangan 1m2 lantai ubin teralux marmer ukuran 60cm x60cm</t>
  </si>
  <si>
    <t>ubin teralux marmer ukuran 60cm x60cm</t>
  </si>
  <si>
    <t>A.4.4.3.14</t>
  </si>
  <si>
    <t>Pemasangan 1m2 lantai ubin teralux marmer ukuran 40cm x40cm</t>
  </si>
  <si>
    <t>ubin teralux marmer ukuran 40cm x40cm</t>
  </si>
  <si>
    <t>A.4.4.3.15</t>
  </si>
  <si>
    <t>Pemasangan 1m2 lantai ubin teralux marmer ukuran 30cm x30cm</t>
  </si>
  <si>
    <t>ubin teralux marmer ukuran 30cm x30cm</t>
  </si>
  <si>
    <t>A.4.4.3.16</t>
  </si>
  <si>
    <t>Pemasangan 1 m’ plint ubin Pc abu-abu ukuran 15cm x 20cm</t>
  </si>
  <si>
    <t>Plint ubin Pc abu-abu ukuran 15cm x 20cm</t>
  </si>
  <si>
    <t>A.4.4.3.17</t>
  </si>
  <si>
    <t>Pemasangan 1 m’ plint ubin Pc abu-abu ukuran 10cm x 30cm</t>
  </si>
  <si>
    <t>Plint ubin Pc abu-abu ukuran 10cm x 30cm</t>
  </si>
  <si>
    <t>A.4.4.3.18</t>
  </si>
  <si>
    <t>Pemasangan 1 m’ plint ubin Pc abu-abu ukuran 10cm x 40cm</t>
  </si>
  <si>
    <t>Plint ubin Pc abu-abu ukuran 10cm x 40cm</t>
  </si>
  <si>
    <t>A.4.4.3.19</t>
  </si>
  <si>
    <t>Pemasangan 1 m’ plint ubin warna ukuran 10cm x 20cm</t>
  </si>
  <si>
    <t>Plint ubin warna ukuran 10cm x 20cm</t>
  </si>
  <si>
    <t>A.4.4.3.20</t>
  </si>
  <si>
    <t>Pemasangan 1 m’ plint ubin warna ukuran 10cm x 30cm</t>
  </si>
  <si>
    <t>Plint ubin warna ukuran 10cm x 30cm</t>
  </si>
  <si>
    <t>A.4.4.3.21</t>
  </si>
  <si>
    <t>Pemasangan 1 m’ plint ubin warna ukuran 10cm x 40cm</t>
  </si>
  <si>
    <t>Plint ubin warna ukuran 10cm x 40cm</t>
  </si>
  <si>
    <t>A.4.4.3.22</t>
  </si>
  <si>
    <t>Pemasangan 1 m’ plint ubin teraso ukuran 10cm x 30cm</t>
  </si>
  <si>
    <t>Plint ubin teraso ukuran 10cm x 30cm</t>
  </si>
  <si>
    <t>A.4.4.3.23</t>
  </si>
  <si>
    <t>Pemasangan 1 m’ plint ubin teraso ukuran 10cm x 40cm</t>
  </si>
  <si>
    <t>Plint ubin teraso ukuran 10cm x 40cm</t>
  </si>
  <si>
    <t>A.4.4.3.24</t>
  </si>
  <si>
    <t>Pemasangan 1 m’ plint ubin granit ukuran 10cm x 40cm</t>
  </si>
  <si>
    <t>Plint ubin granit ukuran 10cm x 40cm</t>
  </si>
  <si>
    <t>A.4.4.3.25</t>
  </si>
  <si>
    <t>Pemasangan 1 m’ plint ubin granit ukuran 10cm x 30cm</t>
  </si>
  <si>
    <t>Plint ubin granit ukuran 10cm x 30cm</t>
  </si>
  <si>
    <t>A.4.4.3.26</t>
  </si>
  <si>
    <t>Pemasangan 1 m’ plint ubin teralux kerang ukuran 10cm x 40cm</t>
  </si>
  <si>
    <t>Plint ubin teralux kerang ukuran 10cm x 40cm</t>
  </si>
  <si>
    <t>A.4.4.3.27</t>
  </si>
  <si>
    <t>Pemasangan 1 m’ plint ubin teralux kerang ukuran 10cm x 30cm</t>
  </si>
  <si>
    <t>Plint ubin teralux kerang ukuran 10cm x 30cm</t>
  </si>
  <si>
    <t>A.4.4.3.28</t>
  </si>
  <si>
    <t>Pemasangan 1 m’ plint ubin teralux marmer ukuran 10cm x 60cm</t>
  </si>
  <si>
    <t>plint ubin teralux marmer ukuran 10cm x 60cm</t>
  </si>
  <si>
    <t>A.4.4.3.29</t>
  </si>
  <si>
    <t>Pemasangan 1 m’ plint ubin teralux marmer ukuran 10cm x 40cm</t>
  </si>
  <si>
    <t>Plint ubin teralux marmer ukuran 10cm x 40cm</t>
  </si>
  <si>
    <t>A.4.4.3.30</t>
  </si>
  <si>
    <t>Pemasangan 1 m’ plint ubin teralux marmer ukuran 10cm x 30cm</t>
  </si>
  <si>
    <t>Plint ubin teralux marmer ukuran 10cm x 30cm</t>
  </si>
  <si>
    <t>A.4.4.3.31</t>
  </si>
  <si>
    <t>Pemasangan 1m2 lantai teraso cor di tempat, tebal 3cm</t>
  </si>
  <si>
    <t>Teraso cor di tempat, tebal 3cm</t>
  </si>
  <si>
    <t>Semen warna</t>
  </si>
  <si>
    <t>A.4.4.3.32</t>
  </si>
  <si>
    <t>Pemasangan 1m2 lantai keramik artistik 10cm x 20cm</t>
  </si>
  <si>
    <t>keramik artistik 10cm x 20cm</t>
  </si>
  <si>
    <t>A.4.4.3.33</t>
  </si>
  <si>
    <t>Pemasangan 1m2 lantai keramik artistik 10cm x 10cm atau 5cm x 20cm</t>
  </si>
  <si>
    <t>keramik artistik 10cm x 10cm atau 5cm x 20cm</t>
  </si>
  <si>
    <t>A.4.4.3.34</t>
  </si>
  <si>
    <t>Pemasangan 1m2 lantai keramik ukuran 33cm x 33cm</t>
  </si>
  <si>
    <t>keramik ukuran 33cm x 33cm</t>
  </si>
  <si>
    <t>A.4.4.3.35</t>
  </si>
  <si>
    <t>Pemasangan 1m2 lantai keramik ukuran 30cm x 30cm</t>
  </si>
  <si>
    <t>keramik ukuran 30cm x 30cm</t>
  </si>
  <si>
    <t>A.4.4.3.36</t>
  </si>
  <si>
    <t>Pemasangan 1m2 lantai keramik ukuran 20cm x 20cm</t>
  </si>
  <si>
    <t>Keramik ukuran 20cm x 20cm</t>
  </si>
  <si>
    <t>A.4.4.3.37</t>
  </si>
  <si>
    <t>keramik ukuran 10cm x 33cm untuk variasi/border</t>
  </si>
  <si>
    <t>Ubin keramik</t>
  </si>
  <si>
    <t>A.4.4.3.38</t>
  </si>
  <si>
    <t>Pemasangan 1m2 lantai keramik mozaik ukuran 30cm x 30cm</t>
  </si>
  <si>
    <t>Keramik mozaik ukuran 30cm x 30cm</t>
  </si>
  <si>
    <t>A.4.4.3.39</t>
  </si>
  <si>
    <t>Pemasangan 1 m’ plint keramik ukuran 10cm x 20cm</t>
  </si>
  <si>
    <t>Plint keramik ukuran 10cm x 20cm</t>
  </si>
  <si>
    <t>A.4.4.3.40</t>
  </si>
  <si>
    <t>Pemasangan 1 m’ plint keramik ukuran 10cm x 10cm</t>
  </si>
  <si>
    <t>Plint keramik ukuran 10cm x 10cm</t>
  </si>
  <si>
    <t>A.4.4.3.41</t>
  </si>
  <si>
    <t>Pemasangan 1 m’ plint keramik ukuran 5cm x 20cm</t>
  </si>
  <si>
    <t>Plint keramik ukuran 5cm x 20cm</t>
  </si>
  <si>
    <t>A.4.4.3.42</t>
  </si>
  <si>
    <t>Pemasangan 1 m’ plint internal cove artistik 5cm x 5cm x 20cm</t>
  </si>
  <si>
    <t>Plint internal cove artistik 5cm x 5cm x 20cm</t>
  </si>
  <si>
    <t>A.4.4.3.43</t>
  </si>
  <si>
    <t>Pemasangan 1 m2 lantai marmer ukuran 100cm x 100cm</t>
  </si>
  <si>
    <t>marmer ukuran 100cm x 100cm</t>
  </si>
  <si>
    <t>A.4.4.3.44</t>
  </si>
  <si>
    <t>Pemasangan 1 m2 lantai karpet</t>
  </si>
  <si>
    <t>lantai karpet</t>
  </si>
  <si>
    <t>Lem Kayu/Karet</t>
  </si>
  <si>
    <t>A.4.4.3.45</t>
  </si>
  <si>
    <t>Pemasangan 1 m2 underlayer (pelapis bawah karpet)</t>
  </si>
  <si>
    <t>underlayer (pelapis bawah karpet)</t>
  </si>
  <si>
    <t>A.4.4.3.46</t>
  </si>
  <si>
    <t>Pemasangan 1 m2 lantai parquet kayu</t>
  </si>
  <si>
    <t>Parquet kayu</t>
  </si>
  <si>
    <t>A.4.4.3.47</t>
  </si>
  <si>
    <t>Pemasangan 1 m2 lantai  kayu gymfloor</t>
  </si>
  <si>
    <t>Parquet kayu gymfloor</t>
  </si>
  <si>
    <t>A.4.4.3.48</t>
  </si>
  <si>
    <t>Pemasangan 1 m2 dinding porslen 11cm x 11cm</t>
  </si>
  <si>
    <t>Porselen Dinding 11x11</t>
  </si>
  <si>
    <t>A.4.4.3.49</t>
  </si>
  <si>
    <t>Pemasangan 1 m2 dinding porslen 10cm x 20cm</t>
  </si>
  <si>
    <t>Porselen Dinding 10x20</t>
  </si>
  <si>
    <t>A.4.4.3.50</t>
  </si>
  <si>
    <t>Pemasangan 1 m2 dinding porslen 20cm x 20cm</t>
  </si>
  <si>
    <t>Porselen Dinding 20x20</t>
  </si>
  <si>
    <t>A.4.4.3.51</t>
  </si>
  <si>
    <t>Pemasangan 1 m2 dinding keramik artistik  10cm x 20cm</t>
  </si>
  <si>
    <t>Keramik Dinding artistik</t>
  </si>
  <si>
    <t>A.4.4.3.52</t>
  </si>
  <si>
    <t>Pemasangan 1 m2 dinding keramik artistik  5cm x 20cm</t>
  </si>
  <si>
    <t>keramik Dinding artistik  5cm x 20cm</t>
  </si>
  <si>
    <t>A.4.4.3.53</t>
  </si>
  <si>
    <t>Pemasangan 1 m2 dinding keramik 10cm x 20cm</t>
  </si>
  <si>
    <t>keramik Dinding 10cm x 20cm</t>
  </si>
  <si>
    <t>A.4.4.3.54</t>
  </si>
  <si>
    <t>Pemasangan 1 m2 dinding keramik  20cm x 20cm</t>
  </si>
  <si>
    <t>keramik Dinding 20cm x 20cm</t>
  </si>
  <si>
    <t>A.4.4.3.55</t>
  </si>
  <si>
    <t>Pemasangan 1 m2 dinding marmer 100cm x 100cm</t>
  </si>
  <si>
    <t>marmer Dinding 100cm x 100cm</t>
  </si>
  <si>
    <t>A.4.4.3.56</t>
  </si>
  <si>
    <t>Pemasangan 1 m2 dinding bata pelapis 3cm x 7cm x 24cm</t>
  </si>
  <si>
    <t>Bata pelapis Dinding 3cm x 7cm x 24cm</t>
  </si>
  <si>
    <t>A.4.4.3.57</t>
  </si>
  <si>
    <t>Pemasangan 1 m2 dinding batu paras</t>
  </si>
  <si>
    <t>Batu paras Dinding</t>
  </si>
  <si>
    <t>A.4.4.3.58</t>
  </si>
  <si>
    <t>Pemasangan 1 m2 dinding batu tempel hitam</t>
  </si>
  <si>
    <t>dinding batu tempel hitam</t>
  </si>
  <si>
    <t>A.4.4.3.59</t>
  </si>
  <si>
    <t>Pemasangan 1 m2 lantai vynil ukuran 30cm x 30cm</t>
  </si>
  <si>
    <t>Vynil ukuran 30cm x 30cm</t>
  </si>
  <si>
    <t>A.4.4.3.60</t>
  </si>
  <si>
    <t>Pemasangan 1 m2 wallpaper lebar 50 cm</t>
  </si>
  <si>
    <t>wallpaper lebar 50 cm</t>
  </si>
  <si>
    <t>Lem Putih</t>
  </si>
  <si>
    <t>A.4.4.3.61</t>
  </si>
  <si>
    <t>Pemasangan 1m2 floor harderner</t>
  </si>
  <si>
    <t>floor harderner</t>
  </si>
  <si>
    <t>A.4.4.3.62</t>
  </si>
  <si>
    <t>Pemasangan 1 m’ plint vynil 15cm x 30cm</t>
  </si>
  <si>
    <t>plint vynil 15cm x 30cm</t>
  </si>
  <si>
    <t>A.4.4.3.63</t>
  </si>
  <si>
    <t>Pemasangan 1 m’ plint kayu tebal 2 cm lebar 10 cm</t>
  </si>
  <si>
    <t>Kayu Papan kelas I</t>
  </si>
  <si>
    <t>A.4.4.3.64</t>
  </si>
  <si>
    <t xml:space="preserve">Pemasangan 1 m2 paving block natural tebal 6 cm </t>
  </si>
  <si>
    <t>Paving block 6 cm</t>
  </si>
  <si>
    <t>Peralatan Kerja Paving Blok</t>
  </si>
  <si>
    <t>%</t>
  </si>
  <si>
    <t>A.4.4.3.65</t>
  </si>
  <si>
    <t xml:space="preserve">Pemasangan 1 m2 paving block natural tebal 8 cm </t>
  </si>
  <si>
    <t>Paving block 8 cm natural</t>
  </si>
  <si>
    <t>A.4.4.3.66</t>
  </si>
  <si>
    <t>Pemasangan 1 m2 paving block berwarna tebal 6 cm</t>
  </si>
  <si>
    <t>Paving block 6cm berwarna</t>
  </si>
  <si>
    <t>A.4.4.3.67</t>
  </si>
  <si>
    <t xml:space="preserve">Pemasangan 1 m2 paving block berwarna tebal 8 cm </t>
  </si>
  <si>
    <t>Paving block  8 cm berwarna</t>
  </si>
  <si>
    <t>A.4.4.3.68</t>
  </si>
  <si>
    <t>Pemasangan 1 M2 Aluminium Composite Panel</t>
  </si>
  <si>
    <t>Aluminium Composite Panel</t>
  </si>
  <si>
    <t>Screw</t>
  </si>
  <si>
    <t xml:space="preserve">A.4.5.1  </t>
  </si>
  <si>
    <t>HARGA SATUAN PEKERJAAN LANGIT-LANGIT (PLAFOND)</t>
  </si>
  <si>
    <t>A.4.5.1.1</t>
  </si>
  <si>
    <t>Pemasangan 1 m2 langit-langit asbes semen, tebal  4 mm, 5 mm, dan 6 mm</t>
  </si>
  <si>
    <t>Asbes  semen</t>
  </si>
  <si>
    <t>Paku tripleks</t>
  </si>
  <si>
    <t>A.4.5.1.2</t>
  </si>
  <si>
    <t>Pemasangan 1 m2 langit-langit akustik  ukuran (30 x 30) cm</t>
  </si>
  <si>
    <t>Akustik ukuran 30 x 30 cm</t>
  </si>
  <si>
    <t>A.4.5.1.3</t>
  </si>
  <si>
    <t>Pemasangan 1 m2 langit-langit akustik  ukuran (30 x 60) cm</t>
  </si>
  <si>
    <t>Akustik ukuran 30 x 60 cm</t>
  </si>
  <si>
    <t>A.4.5.1.4</t>
  </si>
  <si>
    <t>Pemasangan 1 m2 langit-langit akustik  ukuran (60 x 120) cm</t>
  </si>
  <si>
    <t>Akustik 60 x 120</t>
  </si>
  <si>
    <t>A.4.5.1.5</t>
  </si>
  <si>
    <t>Pemasangan 1 m2  langit-langit tripleks ukuran (120 x 240) cm, tebal 3 mm, 4 mm &amp; 6</t>
  </si>
  <si>
    <t>Tripleks</t>
  </si>
  <si>
    <t>A.4.5.1.6</t>
  </si>
  <si>
    <t>Pemasangan 1 m2 langit-langit lambrisering kayu, tebal 9 mm</t>
  </si>
  <si>
    <t>Kayu papan</t>
  </si>
  <si>
    <t>A.4.5.1.7</t>
  </si>
  <si>
    <t>Pemasangan 1 m2 langit-langit gypsum board ukuran (120x240x9) mm, tebal 9 mm</t>
  </si>
  <si>
    <t>Gypsum board 9 mm (1200 x 2400 mm)</t>
  </si>
  <si>
    <t>A.4.5.1.8</t>
  </si>
  <si>
    <t>Pemasangan 1  m2   langit-langit  akustik  ukuran (60  x 120)  cm berikut  rangka alluminium</t>
  </si>
  <si>
    <t>Profil Allum"T"</t>
  </si>
  <si>
    <t>Kawat dia 4 mm</t>
  </si>
  <si>
    <t>Ramset</t>
  </si>
  <si>
    <t>A.4.5.1.9</t>
  </si>
  <si>
    <t>Pemasangan 1 m’ list langit-langit kayu profil</t>
  </si>
  <si>
    <t>List kayu profil</t>
  </si>
  <si>
    <t>A.4.5.1.10</t>
  </si>
  <si>
    <t>Pemasangan 1 m2 Plafond PVC</t>
  </si>
  <si>
    <t>Plafond  PVC (setara Shunda Plafon, Flat Gloss Half Silver)</t>
  </si>
  <si>
    <t xml:space="preserve">A.4.5.2. </t>
  </si>
  <si>
    <t>HARGA SATUAN PEKERJAAN PENUTUP ATAP</t>
  </si>
  <si>
    <t>A.4.5.2.1</t>
  </si>
  <si>
    <t>Pemasangan 1 m2 atap genteng palentong kecil</t>
  </si>
  <si>
    <t>Genteng palentong</t>
  </si>
  <si>
    <t>A.4.5.2.2</t>
  </si>
  <si>
    <t>Pemasangan 1 m2 atap genteng kodok glazuur</t>
  </si>
  <si>
    <t>Genteng kodok</t>
  </si>
  <si>
    <t>A.4.5.2.3</t>
  </si>
  <si>
    <t>Pemasangan 1 m2 atap genteng palentong besar/super</t>
  </si>
  <si>
    <t>A.4.5.2.4</t>
  </si>
  <si>
    <t>Pemasangan 1 m’ bubung genteng  palentong</t>
  </si>
  <si>
    <t>Genteng bubung</t>
  </si>
  <si>
    <t>A.4.5.2.5</t>
  </si>
  <si>
    <t>Pemasangan 1 m’  bubung genteng kodok glazuur</t>
  </si>
  <si>
    <t>A.4.5.2.6</t>
  </si>
  <si>
    <t>Pemasangan 1 m’  bubung genteng palentong besar</t>
  </si>
  <si>
    <t>A.4.5.2.7</t>
  </si>
  <si>
    <t>Pemasangan 1 m2  roof light fibreglass 90x180</t>
  </si>
  <si>
    <t>Rooflight 90x180</t>
  </si>
  <si>
    <t>A.4.5.2.8</t>
  </si>
  <si>
    <t>Pemasangan 1 m2  atap asbes gelombang  0,92mx2,5m x 5mm</t>
  </si>
  <si>
    <t>Asbes gelombang 92x250</t>
  </si>
  <si>
    <t>Paku pancing 6x23</t>
  </si>
  <si>
    <t>A.4.5.2.9</t>
  </si>
  <si>
    <t>Pemasangan 1 m2  atap asbes gelombang  0,92mx2,25m x 5mm</t>
  </si>
  <si>
    <t>A.4.5.2.10</t>
  </si>
  <si>
    <t>Pemasangan 1 m2  atap asbes gelombang  0,92mx2,00m x 5mm</t>
  </si>
  <si>
    <t>A.4.5.2.11</t>
  </si>
  <si>
    <t>Pemasangan 1 m2  atap asbes gelombang  0,92mx1.80m x 5mm</t>
  </si>
  <si>
    <t>A.4.5.2.12</t>
  </si>
  <si>
    <t>Pemasangan 1 m2  atap asbes gelombang  1.05mx3.00m x 4mm</t>
  </si>
  <si>
    <t>A.4.5.2.13</t>
  </si>
  <si>
    <t>Pemasangan 1 m2  atap asbes gelombang  1.05mx2.70m x 4mm</t>
  </si>
  <si>
    <t>A.4.5.2.14</t>
  </si>
  <si>
    <t>Pemasangan 1 m2  atap asbes gelombang  1.05mx2.40m x 4mm</t>
  </si>
  <si>
    <t>A.4.5.2.15</t>
  </si>
  <si>
    <t>Pemasangan 1 m2  atap asbes gelombang  1.05mx2.10m x 4mm</t>
  </si>
  <si>
    <t>A.4.5.2.16</t>
  </si>
  <si>
    <t>Pemasangan 1 m2   atap asbes gelombang  1.05mx1.50m x 4mm</t>
  </si>
  <si>
    <t>A.4.5.2.17</t>
  </si>
  <si>
    <t>Pemasangan 1 m2   atap asbes gelombang  1.08mx3.00m x 6mm</t>
  </si>
  <si>
    <t>A.4.5.2.18</t>
  </si>
  <si>
    <t>Pemasangan 1 m2   atap asbes gelombang  1.08mx2.70m x 6mm</t>
  </si>
  <si>
    <t>A.4.5.2.19</t>
  </si>
  <si>
    <t>Pemasangan 1 m2   atap asbes gelombang  1.08mx2.40m x 6mm</t>
  </si>
  <si>
    <t>A.4.5.2.20</t>
  </si>
  <si>
    <t>Pemasangan 1 m2   atap asbes gelombang  1.08mx2.10m x 6mm</t>
  </si>
  <si>
    <t>A.4.5.2.21</t>
  </si>
  <si>
    <t>Pemasangan 1 m2   atap asbes gelombang  1.08mx1.80m x 6mm</t>
  </si>
  <si>
    <t>A.4.5.2.22</t>
  </si>
  <si>
    <t>Pemasangan 1 m’  bubung stel  gelombang  0,92m</t>
  </si>
  <si>
    <t>Bubung stel gel.</t>
  </si>
  <si>
    <t>A.4.5.2.23</t>
  </si>
  <si>
    <t>Pemasangan 1 m’  bubung stel  gelombang  1,05m</t>
  </si>
  <si>
    <t>A.4.5.2.24</t>
  </si>
  <si>
    <t>Pemasangan 1 m’  bubung stel  gelombang  1,08m</t>
  </si>
  <si>
    <t>A.4.5.2.25</t>
  </si>
  <si>
    <t>Pemasangan 1 m’ nok paten 0,92m</t>
  </si>
  <si>
    <t>Nok paten 92cm</t>
  </si>
  <si>
    <t>A.4.5.2.26</t>
  </si>
  <si>
    <t>Pemasangan 1 m’ nok paten 1,05m</t>
  </si>
  <si>
    <t>A.4.5.2.27</t>
  </si>
  <si>
    <t>Pemasangan 1 m’ nok paten 1,08m</t>
  </si>
  <si>
    <t>A.4.5.2.28</t>
  </si>
  <si>
    <t>Pemasangan 1 m’ nok stel rata 0,92m</t>
  </si>
  <si>
    <t>A.4.5.2.29</t>
  </si>
  <si>
    <t>Pemasangan 1 m’ nok stel rata 1,05m</t>
  </si>
  <si>
    <t>A.4.5.2.30</t>
  </si>
  <si>
    <t>Pemasangan 1 m2 genteng beton</t>
  </si>
  <si>
    <t>Genteng beton</t>
  </si>
  <si>
    <t>A.4.5.2.31</t>
  </si>
  <si>
    <t>Pemasangan 1 m2 genteng aspal</t>
  </si>
  <si>
    <t>Genteng aspal</t>
  </si>
  <si>
    <t>Plywood 6 mm</t>
  </si>
  <si>
    <t>Plastic aerator</t>
  </si>
  <si>
    <t>A.4.5.2.32</t>
  </si>
  <si>
    <t xml:space="preserve">Pemasangan 1 m2 genteng metal ukuran 80 x 100 atap pelana </t>
  </si>
  <si>
    <t>Genteng metal</t>
  </si>
  <si>
    <t>Paku biasa ½”-1”</t>
  </si>
  <si>
    <t>A.4.5.2.33</t>
  </si>
  <si>
    <t>Pemasangan 1 m2 genteng metal ukuran 80 x 100 atap Jurai</t>
  </si>
  <si>
    <t>A.4.5.2.34</t>
  </si>
  <si>
    <t>Pemasangan 1 m2 atap sirap kayu</t>
  </si>
  <si>
    <t>Sirap kayu</t>
  </si>
  <si>
    <t>A.4.5.2.35</t>
  </si>
  <si>
    <t>Pemasangan 1 m’ nok genteng beton</t>
  </si>
  <si>
    <t>Nok genteng beton</t>
  </si>
  <si>
    <t>A.4.5.2.36</t>
  </si>
  <si>
    <t>Pemasangan 1 m’ nok genteng aspal</t>
  </si>
  <si>
    <t>Nok genteng aspal</t>
  </si>
  <si>
    <t>Kayu balok borneo</t>
  </si>
  <si>
    <t>A.4.5.2.37</t>
  </si>
  <si>
    <t>Pemasangan 1 m’ nok genteng metal</t>
  </si>
  <si>
    <t>Nok genteng metal</t>
  </si>
  <si>
    <t>A.4.5.2.38</t>
  </si>
  <si>
    <t>Pemasangan 1 m’ nok sirap</t>
  </si>
  <si>
    <t>A.4.5.2.39</t>
  </si>
  <si>
    <t>Pemasangan 1 m2 atap seng gelombang</t>
  </si>
  <si>
    <t>A.4.5.2.40</t>
  </si>
  <si>
    <t>Pemasangan 1 m’nok atap seng</t>
  </si>
  <si>
    <t>A.4.5.2.41</t>
  </si>
  <si>
    <t>Pemasangan 1 m2 atap alumunium</t>
  </si>
  <si>
    <t>Alumunium gel  tbl 0,55</t>
  </si>
  <si>
    <t>Paku hak panj 15cm</t>
  </si>
  <si>
    <t>A.4.5.2.42</t>
  </si>
  <si>
    <t>Pemasangan 1 m’ nok alumunium</t>
  </si>
  <si>
    <t>Nok standar 40x18</t>
  </si>
  <si>
    <t>A.4.5.2.43</t>
  </si>
  <si>
    <t>Pemasangan 1 m2 alumunium foil/sisalation</t>
  </si>
  <si>
    <t>Alumunium foil</t>
  </si>
  <si>
    <t xml:space="preserve">A.4.6.1 </t>
  </si>
  <si>
    <t>HARGA SATUAN PEKERJAAN KAYU</t>
  </si>
  <si>
    <t>A.4.6.1.1</t>
  </si>
  <si>
    <t>Pembuatan dan pemasangan 1 m3 kusen pintu dan kusen jendela, kayu kelas I</t>
  </si>
  <si>
    <t>A.4.6.1.2</t>
  </si>
  <si>
    <t>Pembuatan dan pemasangan 1 m3 kusen pintu dan kusen jendela, kayu kelas II atau III</t>
  </si>
  <si>
    <t>A.4.6.1.3</t>
  </si>
  <si>
    <t>Pembuatan dan pemasangan 1 m2 pintu klamp standar, kayu kelas II</t>
  </si>
  <si>
    <t>kayu Papan</t>
  </si>
  <si>
    <t>A.4.6.1.4</t>
  </si>
  <si>
    <t>Pembuatan dan pemasangan 1 m2 pintu klamp sederhana, kayu kelas III</t>
  </si>
  <si>
    <t>A.4.6.1.5</t>
  </si>
  <si>
    <t>Pembuatan dan pemasangan 1 m2 daun pintu panel, kayu kelas I atau II</t>
  </si>
  <si>
    <t>A.4.6.1.6</t>
  </si>
  <si>
    <t>Pembuatan dan pemasangan 1 m2 pintu  dan jendela kaca, kayu kelas I atau II</t>
  </si>
  <si>
    <t>A.4.6.1.7</t>
  </si>
  <si>
    <t>Pembuatan dan pemasangan 1 m2 pintu dan jendela jalusi kayu kelas I atau II</t>
  </si>
  <si>
    <t>A.4.6.1.8</t>
  </si>
  <si>
    <t>Pembuatan 1 m2 daun pintu plywood  rangkap, rangka kayu kelas II tertutup</t>
  </si>
  <si>
    <t>A.4.6.1.9</t>
  </si>
  <si>
    <t>Pembuatan 1 m2 pintu plywood  rangkap, rangka expose kayu kelas I atau II</t>
  </si>
  <si>
    <t>A.4.6.1.10</t>
  </si>
  <si>
    <t>Pemasangan 1 m2 jalusi kusen, kayu kelas I atau II</t>
  </si>
  <si>
    <t>Kayu Papan</t>
  </si>
  <si>
    <t>A.4.6.1.11</t>
  </si>
  <si>
    <t>Pemasangan 1 m2 teakwood rangkap, rangka expose kayu kelas I</t>
  </si>
  <si>
    <t>Teakwood 4 mm 90 x 220 cm</t>
  </si>
  <si>
    <t>A.4.6.1.12</t>
  </si>
  <si>
    <t>Pemasangan 1 m2 teakwood rangkap lapis formika, rangka expose kayu kelas II</t>
  </si>
  <si>
    <t>Formika</t>
  </si>
  <si>
    <t>A.4.6.1.13</t>
  </si>
  <si>
    <t>Pemasangan 1 m3 konstruksi kuda-kuda konvensional, kayu kelas I, II dan III bentang 6 meter</t>
  </si>
  <si>
    <t>A.4.6.1.14</t>
  </si>
  <si>
    <t>Pemasangan 1 m3 konstruksi kuda-kuda expose, kayu kelas I</t>
  </si>
  <si>
    <t>A.4.6.1.15</t>
  </si>
  <si>
    <t>Pemasangan 1 m3 konstruksi gordeng, kayu kelas II</t>
  </si>
  <si>
    <t>A.4.6.1.16</t>
  </si>
  <si>
    <t>Pemasangan 1 m2 rangka atap genteng keramik, kayu kelas II</t>
  </si>
  <si>
    <t>Reng 2 x 3 cm</t>
  </si>
  <si>
    <t>A.4.6.1.17</t>
  </si>
  <si>
    <t>Pemasangan 1 m2 rangka atap genteng beton, kayu kelas II</t>
  </si>
  <si>
    <t>Reng (3 x 4) cm</t>
  </si>
  <si>
    <t>A.4.6.1.18</t>
  </si>
  <si>
    <t>Pemasangan 1 m2 rangka atap sirap,  kayu  kelas II</t>
  </si>
  <si>
    <t>Kayu kelas II</t>
  </si>
  <si>
    <t>A.4.6.1.19</t>
  </si>
  <si>
    <t xml:space="preserve">Pemasangan 1 m2 rangka langit-langit (50 x 100) cm,  kayu  kelas II atau III </t>
  </si>
  <si>
    <t>A.4.6.1.20</t>
  </si>
  <si>
    <t xml:space="preserve">Pemasangan 1 m2 rangka langit-langit (60 x 60) cm,  kayu  kelas II  atau III </t>
  </si>
  <si>
    <t>A.4.6.1.21</t>
  </si>
  <si>
    <t>Pemasangan 1 m’  lisplank ukuran (3 x 20) cm, kayu kelas I atau kelas II</t>
  </si>
  <si>
    <t>A.4.6.1.22</t>
  </si>
  <si>
    <t>Pemasangan 1 m’  lisplank ukuran (3 x 30) cm, kayu kelas I atau kelas II</t>
  </si>
  <si>
    <t>A.4.6.1.23</t>
  </si>
  <si>
    <t>Pemasangan 1 m2 rangka dinding pemisah  (60 x 120) cm kayu kelas II atau III</t>
  </si>
  <si>
    <t>A.4.6.1.24</t>
  </si>
  <si>
    <t>Pemasangan 1 m2 dinding pemisah teakwood rangkap, rangka kayu kelas II</t>
  </si>
  <si>
    <t>Balok kayu, 6 x 12</t>
  </si>
  <si>
    <t>Teakwood 4 mm, 120 x 240</t>
  </si>
  <si>
    <t>A.4.6.1.25</t>
  </si>
  <si>
    <t>Pemasangan 1 m2 dinding pemisah plywood rangkap, rangka kayu kelas II</t>
  </si>
  <si>
    <t>A.4.6.1.26</t>
  </si>
  <si>
    <t>Pemasangan 1 m2 dinding lambrisering dari Kayu Papan kelas I</t>
  </si>
  <si>
    <t>A.4.6.1.27</t>
  </si>
  <si>
    <t>Pemasangan 1 m2 dinding lambrisering dari plywood ukuran (120 x 240) cm</t>
  </si>
  <si>
    <t>A.4.6.1.28</t>
  </si>
  <si>
    <t>Pemasangan 1 m2 dinding bilik, rangka kayu kelas III atau IV</t>
  </si>
  <si>
    <t>Bilik bambu</t>
  </si>
  <si>
    <t>List kayu 2/4</t>
  </si>
  <si>
    <t xml:space="preserve">A.4.6.2 </t>
  </si>
  <si>
    <t>HARGA SATUAN PEKERJAAN KUNCI DAN KACA</t>
  </si>
  <si>
    <t>A.4.6.2.1</t>
  </si>
  <si>
    <t>Pemasangan 1 buah kunci tanam antik</t>
  </si>
  <si>
    <t>Kunci tanam antik</t>
  </si>
  <si>
    <t>A.4.6.2.2</t>
  </si>
  <si>
    <t>Pemasangan 1 buah kunci tanam biasa</t>
  </si>
  <si>
    <t>Kunci tanam biasa</t>
  </si>
  <si>
    <t>A.4.6.2.3</t>
  </si>
  <si>
    <t>Pemasangan 1 buah kunci kamar mandi</t>
  </si>
  <si>
    <t>Kunci tanam KM</t>
  </si>
  <si>
    <t>A.4.6.2.4</t>
  </si>
  <si>
    <t>Pemasangan 1 buah kunci silinder</t>
  </si>
  <si>
    <t>Kunci silinder</t>
  </si>
  <si>
    <t>A.4.6.2.5</t>
  </si>
  <si>
    <t>Pemasangan 1 buah engsel pintu</t>
  </si>
  <si>
    <t>Engsel pintu</t>
  </si>
  <si>
    <t>A.4.6.2.6</t>
  </si>
  <si>
    <t>Pemasangan 1 buah engsel jendela kupu-kupu</t>
  </si>
  <si>
    <t>Engsel kupu-kupu</t>
  </si>
  <si>
    <t>A.4.6.2.7</t>
  </si>
  <si>
    <t>Pemasangan 1 buah engsel angin</t>
  </si>
  <si>
    <t>Engsel angin</t>
  </si>
  <si>
    <t>A.4.6.2.8</t>
  </si>
  <si>
    <t>Pemasangan 1 buah spring knip</t>
  </si>
  <si>
    <t>Spring knip</t>
  </si>
  <si>
    <t>A.4.6.2.9</t>
  </si>
  <si>
    <t>Pemasangan 1 buah kait angin</t>
  </si>
  <si>
    <t>Kait angin</t>
  </si>
  <si>
    <t>A.4.6.2.10</t>
  </si>
  <si>
    <t>Pemasangan 1 buah door closer</t>
  </si>
  <si>
    <t>Door closer</t>
  </si>
  <si>
    <t>set</t>
  </si>
  <si>
    <t>A.4.6.2.11</t>
  </si>
  <si>
    <t>Pemasangan 1 buah kunci slot</t>
  </si>
  <si>
    <t>Kunci slot</t>
  </si>
  <si>
    <t>A.4.6.2.12</t>
  </si>
  <si>
    <t>Pemasangan 1 buah Door holder</t>
  </si>
  <si>
    <t>Door holder</t>
  </si>
  <si>
    <t>A.4.6.2.13</t>
  </si>
  <si>
    <t>Pemasangan 1 buah door stop</t>
  </si>
  <si>
    <t>Door stop</t>
  </si>
  <si>
    <t>A.4.6.2.14</t>
  </si>
  <si>
    <t>Pemasangan 1 buah Rrel pintu sorong</t>
  </si>
  <si>
    <t>Rel pintu sorong</t>
  </si>
  <si>
    <t>Set</t>
  </si>
  <si>
    <t>A.4.6.2.15</t>
  </si>
  <si>
    <t>Pemasangan 1 buah kunci lemari</t>
  </si>
  <si>
    <t>Kunci lemari</t>
  </si>
  <si>
    <t>A.4.6.2.16</t>
  </si>
  <si>
    <t>Pemasangan 1 m2 kaca tebal 3 mm</t>
  </si>
  <si>
    <t>Kaca tebal 3mm</t>
  </si>
  <si>
    <t>SEalant</t>
  </si>
  <si>
    <t>A.4.6.2.17</t>
  </si>
  <si>
    <t>Pemasangan 1 m2 kaca tebal 5 mm</t>
  </si>
  <si>
    <t>Kaca tebal 5 mm</t>
  </si>
  <si>
    <t>A.4.6.2.18</t>
  </si>
  <si>
    <t>Pemasangan 1 m2 kaca tebal 8 mm</t>
  </si>
  <si>
    <t>Kaca tebal 8 mm</t>
  </si>
  <si>
    <t>A.4.6.2.19</t>
  </si>
  <si>
    <t>Pemasangan 1 m2 kaca buram tebal 12 mm</t>
  </si>
  <si>
    <t>Kaca buram  12 mm</t>
  </si>
  <si>
    <t>A.4.6.2.20</t>
  </si>
  <si>
    <t>Pemasangan 1 m2 kaca cermin tebal 5 mm</t>
  </si>
  <si>
    <t>Kaca cermin 5 mm</t>
  </si>
  <si>
    <t>A.4.6.2.21</t>
  </si>
  <si>
    <t>Pemasangan 1 m2 kaca cermin tebal 8 mm</t>
  </si>
  <si>
    <t>Kaca cermin 8 mm</t>
  </si>
  <si>
    <t>A.4.6.2.22</t>
  </si>
  <si>
    <t>Pemasangan 1 m2 kaca wireglassed tebal 5 mm</t>
  </si>
  <si>
    <t>Kaca   wireglassed 5mm</t>
  </si>
  <si>
    <t>A.4.6.2.23</t>
  </si>
  <si>
    <t>Pemasangan 1 m2 kaca patri tebal 5 mm</t>
  </si>
  <si>
    <t>Kaca patri 5mm</t>
  </si>
  <si>
    <t xml:space="preserve">A.4.7.1 </t>
  </si>
  <si>
    <t>HARGA SATUAN PEKERJAAN PENGECATAN</t>
  </si>
  <si>
    <t>A.4.7.1.1</t>
  </si>
  <si>
    <t>1 m2 Pengikisan/pengerokan permukaan cat lama</t>
  </si>
  <si>
    <t>Soda api</t>
  </si>
  <si>
    <t>A.4.7.1.2</t>
  </si>
  <si>
    <t xml:space="preserve"> 1 m2 Pencucian bidang  permukaan tembok yang pernah dicat</t>
  </si>
  <si>
    <t>Sabun</t>
  </si>
  <si>
    <t>A.4.7.1.3</t>
  </si>
  <si>
    <t xml:space="preserve"> 1 m2  Pengerokan karat pada permukaan baja cara manual</t>
  </si>
  <si>
    <t>A.4.7.1.4</t>
  </si>
  <si>
    <t>1 m2  Pengecatan bidang kayu baru (1 lapis plamuur, 1 lapis cat dasar, 2 lapis cat penutup)</t>
  </si>
  <si>
    <t>Tukang cat</t>
  </si>
  <si>
    <t>L.02.08</t>
  </si>
  <si>
    <t>Cat menie</t>
  </si>
  <si>
    <t>Plamuur</t>
  </si>
  <si>
    <t>Cat dasar Kayu</t>
  </si>
  <si>
    <t>Cat Penutup Kayu</t>
  </si>
  <si>
    <t>Kuas</t>
  </si>
  <si>
    <t>Pengencer</t>
  </si>
  <si>
    <t>Ampelas</t>
  </si>
  <si>
    <t>A.4.7.1.5</t>
  </si>
  <si>
    <t>Pengecatan 1 m2  bidang kayu baru (1 lapis plamuur, 1 lapis cat dasar, 3 lapis cat Penutup)</t>
  </si>
  <si>
    <t>A.4.7.1.6</t>
  </si>
  <si>
    <t>Pelaburan 1 m2 bidang kayu dengan teak oil</t>
  </si>
  <si>
    <t>Teak oil</t>
  </si>
  <si>
    <t>A.4.7.1.7</t>
  </si>
  <si>
    <t>Pelaburan 1 m2 bidang kayu dengan politur</t>
  </si>
  <si>
    <t>Politur</t>
  </si>
  <si>
    <t>Politur jadi</t>
  </si>
  <si>
    <t>A.4.7.1.8</t>
  </si>
  <si>
    <t>Pelaburan 1 m2 bidang kayu dengan cat residu dan ter</t>
  </si>
  <si>
    <t>Residu atau ter</t>
  </si>
  <si>
    <t>A.4.7.1.9</t>
  </si>
  <si>
    <t>Pelaburan 1 m2 bidang kayu dengan vernis</t>
  </si>
  <si>
    <t>Vernis</t>
  </si>
  <si>
    <t>Dempul</t>
  </si>
  <si>
    <t>A.4.7.1.10</t>
  </si>
  <si>
    <t>Pengecatan 1 m2   tembok baru ( 1lapis plamuur, 1 lapis cat dasar, 2 lapis cat penutup)</t>
  </si>
  <si>
    <t>Cat dasar Tembok</t>
  </si>
  <si>
    <t>Cat Penutup Tembok</t>
  </si>
  <si>
    <t>A.4.7.1.11</t>
  </si>
  <si>
    <t>Pengecatan 1 m2 tembok lama ( 1 lapis cat dasar, 2 lapis cat penutup)</t>
  </si>
  <si>
    <t>A.4.7.1.12</t>
  </si>
  <si>
    <t>Pelaburan 1 m2 tembok dengan kalkarium</t>
  </si>
  <si>
    <t>Kalkarium</t>
  </si>
  <si>
    <t>A.4.7.1.13</t>
  </si>
  <si>
    <t>Pelaburan 1 m2 tembok dengan kapur sirih</t>
  </si>
  <si>
    <t>Kapur sirih</t>
  </si>
  <si>
    <t>Alang-alang</t>
  </si>
  <si>
    <t>Ikat</t>
  </si>
  <si>
    <t>A.4.7.1.14</t>
  </si>
  <si>
    <t>Pelaburan 1 m2 tembok lama dengan kapur sirih (pemeliharaan)</t>
  </si>
  <si>
    <t>A.4.7.1.15</t>
  </si>
  <si>
    <t>Pemasangan 1 m2 wallpaper</t>
  </si>
  <si>
    <t>Wallpaper</t>
  </si>
  <si>
    <t>A.4.7.1.16</t>
  </si>
  <si>
    <t>Pengecatan 1 m2 permukaan baja dengan menie besi</t>
  </si>
  <si>
    <t>Menie besi</t>
  </si>
  <si>
    <t>A.4.7.1.17</t>
  </si>
  <si>
    <t>Pengecatan 1 m2 permukaan baja dengan menie besi dengan perancah</t>
  </si>
  <si>
    <t>Perancah kayu</t>
  </si>
  <si>
    <t>A.4.7.1.18</t>
  </si>
  <si>
    <t>Pengecatan 1 m2 permukaan baja galvanis secara manual 4 lapis</t>
  </si>
  <si>
    <t>Menie A</t>
  </si>
  <si>
    <t>Menie B</t>
  </si>
  <si>
    <t>Cat Besi</t>
  </si>
  <si>
    <t>A.4.7.1.19</t>
  </si>
  <si>
    <t>Pengecatan 1 m2   permukaan baja galvanis secara manual sistem 1 lapis cat mutakhir</t>
  </si>
  <si>
    <t>A.4.7.1.20</t>
  </si>
  <si>
    <t>Pengecatan 1 m2 permukaan baja galvanis secara manual sistem 3 lapis</t>
  </si>
  <si>
    <t>Cat dasar Besi</t>
  </si>
  <si>
    <t>Cat antara</t>
  </si>
  <si>
    <t>A.4.7.1.21</t>
  </si>
  <si>
    <t>Pengecatan 1 m2   permukaan baja galvanis secara semprot sistem 3 lapis cat mutakhir</t>
  </si>
  <si>
    <t>A.4.7.1.22</t>
  </si>
  <si>
    <t xml:space="preserve">Plituran 10 m2 dengan plitur melamic </t>
  </si>
  <si>
    <t>Cat Dasar Kayu</t>
  </si>
  <si>
    <t xml:space="preserve">A.5.1.1 </t>
  </si>
  <si>
    <t>HARGA SATUAN PEKERJAAN SANITASI DALAM GEDUNG</t>
  </si>
  <si>
    <t>A.5.1.1.1</t>
  </si>
  <si>
    <t>(K3) Pemasangan 1 buah closet duduk/monoblock</t>
  </si>
  <si>
    <t>Closet duduk</t>
  </si>
  <si>
    <t>Unit</t>
  </si>
  <si>
    <t>Perlengkapan</t>
  </si>
  <si>
    <t>A.5.1.1.2</t>
  </si>
  <si>
    <t>Pemasangan 1 buah closet jongkok porslen</t>
  </si>
  <si>
    <t>Closet jongkok</t>
  </si>
  <si>
    <t>A.5.1.1.3</t>
  </si>
  <si>
    <t>Pemasangan 1 buah closet jongkok teraso</t>
  </si>
  <si>
    <t>A.5.1.1.4</t>
  </si>
  <si>
    <t>(K3) Pemasangan 1 buah urinoir</t>
  </si>
  <si>
    <t>Urinoir</t>
  </si>
  <si>
    <t>A.5.1.1.5</t>
  </si>
  <si>
    <t>(K3) Pemasangan 1 buah wastafel</t>
  </si>
  <si>
    <t>Wastafel</t>
  </si>
  <si>
    <t>A.5.1.1.6</t>
  </si>
  <si>
    <t>(K3) Pemasangan 1 buah bathcuip porselen</t>
  </si>
  <si>
    <t>Bathcuip</t>
  </si>
  <si>
    <t>A.5.1.1.7</t>
  </si>
  <si>
    <t>(K3) Pemasangan 1 buah bak fibreglass vol 1 m3</t>
  </si>
  <si>
    <t>Bak fibreglass</t>
  </si>
  <si>
    <t>A.5.1.1.8</t>
  </si>
  <si>
    <t>(K3) Pemasangan 1 buah bak mandi batu bata vol 0,30 m3</t>
  </si>
  <si>
    <t>Porselen 11x11</t>
  </si>
  <si>
    <t>A.5.1.1.9</t>
  </si>
  <si>
    <t>Pemasangan 1 buah bak mandi teraso vol 0,30 m3</t>
  </si>
  <si>
    <t>A.5.1.1.10</t>
  </si>
  <si>
    <t>Pemasangan 1 buah bak air fibreglass vol 1 m3</t>
  </si>
  <si>
    <t>A.5.1.1.11</t>
  </si>
  <si>
    <t>Pemasangan 1 buah bak beton volume 1 m3</t>
  </si>
  <si>
    <t>Beton 1:2:3</t>
  </si>
  <si>
    <t>Baja tulangan</t>
  </si>
  <si>
    <t>Kayu bekisting</t>
  </si>
  <si>
    <t>Ubin porselen</t>
  </si>
  <si>
    <t>A.5.1.1.12</t>
  </si>
  <si>
    <t>Pemasangan 1 buah bak cuci piring stainlessteel</t>
  </si>
  <si>
    <t>Bak cuci piring</t>
  </si>
  <si>
    <t>Waterdrain</t>
  </si>
  <si>
    <t>A.5.1.1.13</t>
  </si>
  <si>
    <t>Pemasangan 1 buah bak cuci piring teraso</t>
  </si>
  <si>
    <t>A.5.1.1.14</t>
  </si>
  <si>
    <t>Pemasangan 1 buah floor drain</t>
  </si>
  <si>
    <t>Floor drain</t>
  </si>
  <si>
    <t>A.5.1.1.15</t>
  </si>
  <si>
    <t>Pemasangan 1 buah bak kontrol pasangan bata 30x30 tinggi 35 cm</t>
  </si>
  <si>
    <t>A.5.1.1.16</t>
  </si>
  <si>
    <t>Pemasangan 1 buah bak kontrol pasangan bata 45cm x45cm tinggi 50 cm</t>
  </si>
  <si>
    <t>A.5.1.1.17</t>
  </si>
  <si>
    <t>Pemasangan 1 buah bak kontrol pasangan bata 60cm x60cm tinggi 65 cm</t>
  </si>
  <si>
    <t>A.5.1.1.18</t>
  </si>
  <si>
    <t>Pemasangan 1 m’ pipa galvanis diameter ½”</t>
  </si>
  <si>
    <t>Pipa galvanis ½”</t>
  </si>
  <si>
    <t>A.5.1.1.19</t>
  </si>
  <si>
    <t>Pemasangan 1 buah kran diameter ½” atau 3/4”</t>
  </si>
  <si>
    <t>Kran air</t>
  </si>
  <si>
    <t>Sealtape</t>
  </si>
  <si>
    <t>A.5.1.1.20</t>
  </si>
  <si>
    <t>Pemasangan 1 m’ pipa galvanis diameter 3/4”</t>
  </si>
  <si>
    <t>Pipa galvanis 3/4”</t>
  </si>
  <si>
    <t>A.5.1.1.21</t>
  </si>
  <si>
    <t>Pemasangan 1 m’ pipa galvanis diameter 1”</t>
  </si>
  <si>
    <t>Pipa galvanis 1”</t>
  </si>
  <si>
    <t>A.5.1.1.22</t>
  </si>
  <si>
    <t>Pemasangan 1 m’ pipa galvanis diameter 1 ½”</t>
  </si>
  <si>
    <t>Pipa galvanis 11/2”</t>
  </si>
  <si>
    <t>A.5.1.1.23</t>
  </si>
  <si>
    <t>Pemasangan 1 m’ pipa galvanis diameter 3”</t>
  </si>
  <si>
    <t>Pipa galvanis 3”</t>
  </si>
  <si>
    <t>A.5.1.1.24</t>
  </si>
  <si>
    <t>Pemasangan 1 m’ pipa galvanis diameter 4”</t>
  </si>
  <si>
    <t>Pipa galvanis 4”</t>
  </si>
  <si>
    <t>A.5.1.1.25</t>
  </si>
  <si>
    <t>Pemasangan 1 m’ pipa PVC tipe AW diameter 1/2”</t>
  </si>
  <si>
    <t>Pipa PVC 1/2”</t>
  </si>
  <si>
    <t>A.5.1.1.26</t>
  </si>
  <si>
    <t>Pemasangan 1 m’ pipa PVC tipe AW diameter 3/4”</t>
  </si>
  <si>
    <t>Pipa PVC 3/4”</t>
  </si>
  <si>
    <t>A.5.1.1.27</t>
  </si>
  <si>
    <t>Pemasangan 1 m’ pipa PVC tipe AW diameter 1”</t>
  </si>
  <si>
    <t>Pipa PVC 1”</t>
  </si>
  <si>
    <t>A.5.1.1.28</t>
  </si>
  <si>
    <t>Pemasangan 1 m’ pipa PVC tipe AW diameter 11/2”</t>
  </si>
  <si>
    <t>Pipa PVC 11/2”</t>
  </si>
  <si>
    <t>A.5.1.1.29</t>
  </si>
  <si>
    <t>Pemasangan 1 m’ pipa PVC tipe AW diameter 2”</t>
  </si>
  <si>
    <t>Pipa PVC 2”</t>
  </si>
  <si>
    <t>A.5.1.1.30</t>
  </si>
  <si>
    <t>Pemasangan 1 m’ pipa PVC tipe AW diameter 21/2”</t>
  </si>
  <si>
    <t>Pipa PVC 21/2”</t>
  </si>
  <si>
    <t>A.5.1.1.31</t>
  </si>
  <si>
    <t>Pemasangan 1 m’ pipa PVC tipe AW diameter 3”</t>
  </si>
  <si>
    <t>Pipa PVC 3”</t>
  </si>
  <si>
    <t>A.5.1.1.32</t>
  </si>
  <si>
    <t>Pemasangan 1 m’ pipa PVC tipe AW diameter 4”</t>
  </si>
  <si>
    <t>Pipa PVC 4”</t>
  </si>
  <si>
    <t>A.5.1.1.33</t>
  </si>
  <si>
    <t>Pemasangan 1 m’ pipa air limbah jenis pipa tanah</t>
  </si>
  <si>
    <t>Pipa tanah</t>
  </si>
  <si>
    <t>A.5.1.1.34</t>
  </si>
  <si>
    <t>Pemasangan 1 m’ pipa air limbah jenis pipa tanah diameter 15 cm</t>
  </si>
  <si>
    <t>A.5.1.1.35</t>
  </si>
  <si>
    <t>Pemasangan 1 m’ pipa beton diameter 15 - 20 cm</t>
  </si>
  <si>
    <t>Pipa Beton</t>
  </si>
  <si>
    <t>A.5.1.1.36</t>
  </si>
  <si>
    <t>Pemasangan 1 m’ pipa beton diameter 30 - 100 cm</t>
  </si>
  <si>
    <t>Pipa PVC Ø 63 mm</t>
  </si>
  <si>
    <t>Sewa Tripot/Tackel &amp; handle crane 2 T</t>
  </si>
  <si>
    <t>Pipa PVC Ø 90 mm</t>
  </si>
  <si>
    <t>Pipa PVC Ø 110 mm</t>
  </si>
  <si>
    <t>Pipa PVC Ø 150 mm</t>
  </si>
  <si>
    <t>Pipa PVC Ø 200 mm</t>
  </si>
  <si>
    <t>Pipa PVC Ø 250 mm</t>
  </si>
  <si>
    <t>Pipa PVC Ø 300 mm</t>
  </si>
  <si>
    <t>Pipa PVC Ø 400 mm</t>
  </si>
  <si>
    <t>Pipa PVC Ø 450 mm</t>
  </si>
  <si>
    <t>Pipa PVC Ø 500 mm</t>
  </si>
  <si>
    <t>Pipa PVC Ø 600 mm</t>
  </si>
  <si>
    <t>Pipa PVC Ø 800 mm</t>
  </si>
  <si>
    <t>Pipa PVC Ø 900 mm</t>
  </si>
  <si>
    <t>Pipa PVC Ø 1000 mm</t>
  </si>
  <si>
    <t>Pipa PVC Ø 1100 mm</t>
  </si>
  <si>
    <t>Pipa PVC Ø 1200 mm</t>
  </si>
  <si>
    <t>Pipa HDPE Ø 63 mm</t>
  </si>
  <si>
    <t>Pipa HDPE Ø 100 mm</t>
  </si>
  <si>
    <t>Pipa HDPE Ø 125 mm</t>
  </si>
  <si>
    <t>Pipa HDPE Ø 150 mm</t>
  </si>
  <si>
    <t>Pipa HDPE Ø 200 mm</t>
  </si>
  <si>
    <t>Pipa HDPE Ø 250 mm</t>
  </si>
  <si>
    <t>Pipa HDPE Ø 300 mm</t>
  </si>
  <si>
    <t>Pipa HDPE Ø 400 mm</t>
  </si>
  <si>
    <t>Pipa HDPE Ø 450 mm</t>
  </si>
  <si>
    <t>Pipa HDPE Ø 500 mm</t>
  </si>
  <si>
    <t>Pipa HDPE Ø 800 mm</t>
  </si>
  <si>
    <t>Pipa HDPE Ø 900 mm</t>
  </si>
  <si>
    <t>Pipa HDPE Ø 1000 mm</t>
  </si>
  <si>
    <t>Pipa HDPE Ø 1100 mm</t>
  </si>
  <si>
    <t>Pipa HDPE Ø 1200 mm</t>
  </si>
  <si>
    <t>Pipa GIP Ø 63 mm</t>
  </si>
  <si>
    <t>Pipa GIP Ø 100 mm</t>
  </si>
  <si>
    <t>Pipa GIP Ø 125 mm</t>
  </si>
  <si>
    <t>Pipa GIP Ø 150 mm</t>
  </si>
  <si>
    <t>Pipa GIP Ø 200 mm</t>
  </si>
  <si>
    <t>Pipa GIP Ø 250 mm</t>
  </si>
  <si>
    <t>Pipa GIP Ø 300 mm</t>
  </si>
  <si>
    <t>Pipa GIP Ø 400 mm</t>
  </si>
  <si>
    <t>Pipa GIP Ø 450 mm</t>
  </si>
  <si>
    <t>Pipa GIP Ø 500 mm</t>
  </si>
  <si>
    <t>Pipa GIP Ø 600 mm</t>
  </si>
  <si>
    <t>Pipa GIP Ø 800 mm</t>
  </si>
  <si>
    <t>Pipa GIP Ø 900 mm</t>
  </si>
  <si>
    <t>Pipa GIP Ø 1000 mm</t>
  </si>
  <si>
    <t>Pipa GIP Ø 1100 mm</t>
  </si>
  <si>
    <t>Pipa GIP Ø 1200 mm</t>
  </si>
  <si>
    <t>Pipa DCI Ø 100 mm</t>
  </si>
  <si>
    <t>Pipa DCI Ø 125 mm</t>
  </si>
  <si>
    <t>Pipa DCI Ø 150 mm</t>
  </si>
  <si>
    <t>Pipa DCI Ø 200 mm</t>
  </si>
  <si>
    <t>Pipa DCI Ø 250 mm</t>
  </si>
  <si>
    <t>Pipa DCI Ø 300 mm</t>
  </si>
  <si>
    <t>Pipa DCI Ø 400 mm</t>
  </si>
  <si>
    <t>Sewa excavator type 225 kap 0,5 -1,0 m3</t>
  </si>
  <si>
    <t>Pipa DCI Ø 450 mm</t>
  </si>
  <si>
    <t>Pipa DCI Ø 500 mm</t>
  </si>
  <si>
    <t>Pipa DCI Ø 600 mm</t>
  </si>
  <si>
    <t>Pipa DCI Ø 800 mm</t>
  </si>
  <si>
    <t>Pipa DCI Ø 900 mm</t>
  </si>
  <si>
    <t>Pipa DCI Ø 1000 mm</t>
  </si>
  <si>
    <t>Pipa DCI Ø 1100 mm</t>
  </si>
  <si>
    <t>Pipa DCI Ø 1200 mm</t>
  </si>
  <si>
    <t>Pipa Baja Ø 63 mm</t>
  </si>
  <si>
    <t>Pipa Baja Ø 100 mm</t>
  </si>
  <si>
    <t>Pipa Baja Ø 125 mm</t>
  </si>
  <si>
    <t>Pipa Baja Ø 150 mm</t>
  </si>
  <si>
    <t>Pipa Baja Ø 200 mm</t>
  </si>
  <si>
    <t>Pipa Baja Ø 250 mm</t>
  </si>
  <si>
    <t>Pipa Baja Ø 300 mm</t>
  </si>
  <si>
    <t>Pipa Baja Ø 400 mm</t>
  </si>
  <si>
    <t>Pipa Baja Ø 450 mm</t>
  </si>
  <si>
    <t>Pipa Baja Ø 500 mm</t>
  </si>
  <si>
    <t>Pipa Baja Ø 600 mm</t>
  </si>
  <si>
    <t>Pipa Baja Ø 800 mm</t>
  </si>
  <si>
    <t>Pipa Baja Ø 900 mm</t>
  </si>
  <si>
    <t>Pipa Baja Ø 1000 mm</t>
  </si>
  <si>
    <t>Pipa Baja Ø 1100 mm</t>
  </si>
  <si>
    <t>Pipa Baja Ø 1200 mm</t>
  </si>
  <si>
    <t>Peralatan potong pipa T1/manual  (gergaji) /saw</t>
  </si>
  <si>
    <t>Peralatan potong pipa T2/mekanik / cilinder</t>
  </si>
  <si>
    <t>Operator Alat Pipa</t>
  </si>
  <si>
    <t>Pipa HDPE Ø 600 mm</t>
  </si>
  <si>
    <t>Pipa HDPE Ø 1000</t>
  </si>
  <si>
    <t>Pipa HDPE Ø 1100</t>
  </si>
  <si>
    <t>Peralatan potong pipa T2/mekanik / cilinder saw</t>
  </si>
  <si>
    <t>Valve Ø 150 mm</t>
  </si>
  <si>
    <t>Valve Ø 200 mm</t>
  </si>
  <si>
    <t>Valve Ø 250 mm</t>
  </si>
  <si>
    <t>Valve Ø 300 mm</t>
  </si>
  <si>
    <t>Valve Ø 400 mm</t>
  </si>
  <si>
    <t>Valve Ø 450 mm</t>
  </si>
  <si>
    <t>Valve Ø 500 mm</t>
  </si>
  <si>
    <t>Valve Ø 600 mm</t>
  </si>
  <si>
    <t>Mobile crane =&lt; 3 ton</t>
  </si>
  <si>
    <t>Valve Ø 700 mm</t>
  </si>
  <si>
    <t>Valve Ø 800 mm</t>
  </si>
  <si>
    <t>Valve Ø 900 mm</t>
  </si>
  <si>
    <t>Valve Ø 1000 mm</t>
  </si>
  <si>
    <t>Valve Ø 1100 mm</t>
  </si>
  <si>
    <t>Valve Ø 1200 mm</t>
  </si>
  <si>
    <t>Tee Ø 150 mm</t>
  </si>
  <si>
    <t>Tee Ø 200 mm</t>
  </si>
  <si>
    <t>Tee Ø 250 mm</t>
  </si>
  <si>
    <t>Tee Ø 300 mm</t>
  </si>
  <si>
    <t>Tee Ø 400 mm</t>
  </si>
  <si>
    <t>Tee Ø 450 mm</t>
  </si>
  <si>
    <t>Tee Ø 500 mm</t>
  </si>
  <si>
    <t>Tee Ø 600 mm</t>
  </si>
  <si>
    <t>Tee Ø 700 mm</t>
  </si>
  <si>
    <t>Tee Ø 800 mm</t>
  </si>
  <si>
    <t>Tee Ø 900 mm</t>
  </si>
  <si>
    <t>Tee Ø 1000 mm</t>
  </si>
  <si>
    <t>Tee Ø 1100 mm</t>
  </si>
  <si>
    <t>Tee Ø 1200 mm</t>
  </si>
  <si>
    <t>Pipa Ø 80 mm</t>
  </si>
  <si>
    <t>Sewa Genset 1500 watt</t>
  </si>
  <si>
    <t>Sewa Pompa Submersible 3m3/h</t>
  </si>
  <si>
    <t>Pipa Ø 100 mm</t>
  </si>
  <si>
    <t>Pipa Ø 150 mm</t>
  </si>
  <si>
    <t>Pipa Ø 200 mm</t>
  </si>
  <si>
    <t>Pipa Ø 250 mm</t>
  </si>
  <si>
    <t>Pipa Ø 300 mm</t>
  </si>
  <si>
    <t>Pipa Ø 400 mm</t>
  </si>
  <si>
    <t>Pipa Ø 450 mm</t>
  </si>
  <si>
    <t>Pipa Ø 500 mm</t>
  </si>
  <si>
    <t>Pipa Ø 600 mm</t>
  </si>
  <si>
    <t>Pipa Ø 700 mm</t>
  </si>
  <si>
    <t>Pipa Ø 800 mm</t>
  </si>
  <si>
    <t>Air test (air bersih)</t>
  </si>
  <si>
    <t>Bahan bakar</t>
  </si>
  <si>
    <t>liter</t>
  </si>
  <si>
    <t>Oli</t>
  </si>
  <si>
    <t xml:space="preserve">A.8.4.6 </t>
  </si>
  <si>
    <t xml:space="preserve">HARGA SATUAN PEKERJAAN ELEKTRIKAL </t>
  </si>
  <si>
    <t>A.8.4.6.1</t>
  </si>
  <si>
    <t xml:space="preserve">Pipa listrik  5/8” </t>
  </si>
  <si>
    <t>btg</t>
  </si>
  <si>
    <t>Kabel NYM 3x2,5 mm2</t>
  </si>
  <si>
    <t>Tee Doos</t>
  </si>
  <si>
    <t>L.Bow</t>
  </si>
  <si>
    <t>Las Dop</t>
  </si>
  <si>
    <t>Klem Pipa Listrik</t>
  </si>
  <si>
    <t>Mongkok (Listrik)</t>
  </si>
  <si>
    <t>Fitting Lampu</t>
  </si>
  <si>
    <t>A.8.4.6.2</t>
  </si>
  <si>
    <t>Pipa Conduit</t>
  </si>
  <si>
    <t>Socket Pipa</t>
  </si>
  <si>
    <t>Klem Pipa</t>
  </si>
  <si>
    <t>Fhiser</t>
  </si>
  <si>
    <t>Sealtape Listrik</t>
  </si>
  <si>
    <t>Jet Pump</t>
  </si>
  <si>
    <t>Pengeboran</t>
  </si>
  <si>
    <t>Pompa Transfer 200 Lpm ( 3 Lps )</t>
  </si>
  <si>
    <t>Kayu Ulin 10x10</t>
  </si>
  <si>
    <t>Kalang dan sunduk</t>
  </si>
  <si>
    <t>Chopped Strand Mat(CSM)450</t>
  </si>
  <si>
    <t>Wover Roving (WR)600</t>
  </si>
  <si>
    <t>Resin</t>
  </si>
  <si>
    <t>Katalis</t>
  </si>
  <si>
    <t>Pigment White</t>
  </si>
  <si>
    <t>Pigmen Blue</t>
  </si>
  <si>
    <t>Talk</t>
  </si>
  <si>
    <t>Nozzle</t>
  </si>
  <si>
    <t>Kawat BRC galvanis besi 8"</t>
  </si>
  <si>
    <t>Tiang GIP dia. 50 mm ( 2'' )</t>
  </si>
  <si>
    <t>Pekerja Anyam</t>
  </si>
  <si>
    <t>Pekerja Pengisi Batu</t>
  </si>
  <si>
    <t>Tukang Pengayam Bronjong</t>
  </si>
  <si>
    <t>Kawat Galvanis Q 3 mm</t>
  </si>
  <si>
    <t>Bor Master</t>
  </si>
  <si>
    <t>Operator Mesin Bor</t>
  </si>
  <si>
    <t>Air Kerja</t>
  </si>
  <si>
    <t>Bentonite</t>
  </si>
  <si>
    <t>Mesin Horizontal Direct Drilling (HDD)</t>
  </si>
  <si>
    <t>dan mata bor masing masing diameter</t>
  </si>
  <si>
    <t>Mixing Pump</t>
  </si>
  <si>
    <t>Genset</t>
  </si>
  <si>
    <t>Jenis Pekerjaan</t>
  </si>
  <si>
    <t>Harga</t>
  </si>
  <si>
    <t>A.1.1.1</t>
  </si>
  <si>
    <t xml:space="preserve">A.1.5.1 </t>
  </si>
  <si>
    <t>A.3.1.1</t>
  </si>
  <si>
    <t>10 kg</t>
  </si>
  <si>
    <t>titik</t>
  </si>
  <si>
    <t>10 cm</t>
  </si>
  <si>
    <t>10m2</t>
  </si>
  <si>
    <t>No.</t>
  </si>
  <si>
    <t>Keterangan</t>
  </si>
  <si>
    <t>Air Bersih / PDAM</t>
  </si>
  <si>
    <t>Batu gunung</t>
  </si>
  <si>
    <t>Floor harderner</t>
  </si>
  <si>
    <t>zak</t>
  </si>
  <si>
    <t>ALAT SEWA</t>
  </si>
  <si>
    <t>Unit hari</t>
  </si>
  <si>
    <t>Hari</t>
  </si>
  <si>
    <t>Sewa pipe support</t>
  </si>
  <si>
    <t>Tenaga Kerja</t>
  </si>
  <si>
    <t>Jam Kerja Eff.</t>
  </si>
  <si>
    <t>L.01</t>
  </si>
  <si>
    <t>L.02</t>
  </si>
  <si>
    <t>Tukang Gali</t>
  </si>
  <si>
    <t>Tukang Cat</t>
  </si>
  <si>
    <t>Tukang Tebas</t>
  </si>
  <si>
    <t>Tukang Vibrator</t>
  </si>
  <si>
    <t>Tukang Ereksi</t>
  </si>
  <si>
    <t>L.03</t>
  </si>
  <si>
    <t>L.04</t>
  </si>
  <si>
    <t>Juru Ukur</t>
  </si>
  <si>
    <t>L.05</t>
  </si>
  <si>
    <t>Pembantu Juru Ukur</t>
  </si>
  <si>
    <t>L.06</t>
  </si>
  <si>
    <t>Ahli Alat Berat ( Mekanik )</t>
  </si>
  <si>
    <t>L.07</t>
  </si>
  <si>
    <t>Operator Alat Berat</t>
  </si>
  <si>
    <t>L.08</t>
  </si>
  <si>
    <t>Pembantu Operator</t>
  </si>
  <si>
    <t>L.09</t>
  </si>
  <si>
    <t>Sopir Truck</t>
  </si>
  <si>
    <t>L.10</t>
  </si>
  <si>
    <t>Kenek Truk</t>
  </si>
  <si>
    <t>L.11</t>
  </si>
  <si>
    <t>Penjaga Malam</t>
  </si>
  <si>
    <t>L.12</t>
  </si>
  <si>
    <t>Juru Gambar (Drafter)</t>
  </si>
  <si>
    <t>L.13</t>
  </si>
  <si>
    <t>Design Engineer</t>
  </si>
  <si>
    <t>L.15</t>
  </si>
  <si>
    <t>Operator Printer/Plotter</t>
  </si>
  <si>
    <t>L.16</t>
  </si>
  <si>
    <t>Cor Beton Sloof 20x25 cm</t>
  </si>
  <si>
    <t>a. Pembesian</t>
  </si>
  <si>
    <t>b. Bekisting</t>
  </si>
  <si>
    <t>c. Beton</t>
  </si>
  <si>
    <t>Cor Kolom Praktis 15x15 cm</t>
  </si>
  <si>
    <t>Cor Ring Balk 15x15 cm</t>
  </si>
  <si>
    <t>Kuda-kuda baja ringan serta reng</t>
  </si>
  <si>
    <t>Pemasangan list langit-langit gypsum</t>
  </si>
  <si>
    <t>List gypsum profil</t>
  </si>
  <si>
    <t>Tepung gypsum</t>
  </si>
  <si>
    <t>A.4.5.1.11</t>
  </si>
  <si>
    <t>A.4.5.1.12</t>
  </si>
  <si>
    <t>A.4.5.1.13</t>
  </si>
  <si>
    <t>Pemasangan 1 m2 Langit-langit Akustik Ukuran 60 cm x 120 cm Berikut Rangka Aluminium Hollow 40.40</t>
  </si>
  <si>
    <t>Lihat pada kelompok Pekerjaan Besi dan Alumunium (A.4.2.1.21)</t>
  </si>
  <si>
    <t>A.4.5.1.11 Pemasangan 1 m2 Rangka langit-langit besi hollow 40.40</t>
  </si>
  <si>
    <t xml:space="preserve">Pasangan Atap metal ukuran 80 x 100 atap pelana </t>
  </si>
  <si>
    <t>Rangka plafond besi hollow</t>
  </si>
  <si>
    <t>Pasangan Plafond gypsum board</t>
  </si>
  <si>
    <t>Lampu TL 25W</t>
  </si>
  <si>
    <t>Pekerjaan Urugan Pasir</t>
  </si>
  <si>
    <t>Pekerjaan Urugan Batu Pecah (3/5)</t>
  </si>
  <si>
    <t>Pekerjaan Pipa Hawa GIP dia. 1,5"</t>
  </si>
  <si>
    <t>Balok kayu kelas I</t>
  </si>
  <si>
    <t>Kayu Kusen Kelas II (5/12)</t>
  </si>
  <si>
    <t>Pasangan Daun Pintu Panel Kayu</t>
  </si>
  <si>
    <t>Pasangan Kunci Tanam Biasa</t>
  </si>
  <si>
    <t>Pasangan Kunci Slot Pintu</t>
  </si>
  <si>
    <t>Pasangan Kunci Slot Jendela</t>
  </si>
  <si>
    <t>A.8.4.6.3</t>
  </si>
  <si>
    <t>Saklar ganda</t>
  </si>
  <si>
    <t>A.8.4.6.4</t>
  </si>
  <si>
    <t>Saklar tunggal</t>
  </si>
  <si>
    <t>A.8.4.6.5</t>
  </si>
  <si>
    <t>Stop kontak</t>
  </si>
  <si>
    <t>A.8.4.6.6</t>
  </si>
  <si>
    <t>Pasir beton kg</t>
  </si>
  <si>
    <t>Pasir beton m3</t>
  </si>
  <si>
    <t>Kerikil (Maks  30 mm) kg</t>
  </si>
  <si>
    <t>Kerikil (Maks  30 mm) m3</t>
  </si>
  <si>
    <t>Kerikil m3</t>
  </si>
  <si>
    <t>Kerikil kg</t>
  </si>
  <si>
    <t>Pasir Beton m3</t>
  </si>
  <si>
    <t>Pasir Beton kg</t>
  </si>
  <si>
    <t xml:space="preserve">(K3) Pemasangan 1 buah titik lampu </t>
  </si>
  <si>
    <t>Upah</t>
  </si>
  <si>
    <t>Memasang 1 Titik Instalasi Penerangan</t>
  </si>
  <si>
    <t>Pemasangan 1 buah saklar ganda</t>
  </si>
  <si>
    <t>Pemasangan 1 buah saklar tunggal</t>
  </si>
  <si>
    <t>Pemasangan 1 buah stop kontak</t>
  </si>
  <si>
    <t>Pemasangan 1 buah MCB Box</t>
  </si>
  <si>
    <t>Bobot (%)</t>
  </si>
  <si>
    <t>TOTAL I s/d XII</t>
  </si>
  <si>
    <t>Bulan I</t>
  </si>
  <si>
    <t>1 (7 Hari)</t>
  </si>
  <si>
    <t>2 (7 Hari)</t>
  </si>
  <si>
    <t>3 (7 Hari)</t>
  </si>
  <si>
    <t>4 (7 Hari)</t>
  </si>
  <si>
    <t>Bulan II</t>
  </si>
  <si>
    <t>Bulan III</t>
  </si>
  <si>
    <t>PASIF</t>
  </si>
  <si>
    <t>RENCANA</t>
  </si>
  <si>
    <t>Tipe konstruksi</t>
  </si>
  <si>
    <t>Brt Tul</t>
  </si>
  <si>
    <t xml:space="preserve">Berat per </t>
  </si>
  <si>
    <t xml:space="preserve">Luasan </t>
  </si>
  <si>
    <t>Jumlah Begel</t>
  </si>
  <si>
    <t>lbr</t>
  </si>
  <si>
    <t>tg</t>
  </si>
  <si>
    <t>panj</t>
  </si>
  <si>
    <t>(mm)</t>
  </si>
  <si>
    <t>(Kg/m')</t>
  </si>
  <si>
    <t>1m'  (kg)</t>
  </si>
  <si>
    <t>per m3 (kg)</t>
  </si>
  <si>
    <t>Per M3</t>
  </si>
  <si>
    <t>Tulangan Pokok</t>
  </si>
  <si>
    <t>Balok sloof  15 x 20</t>
  </si>
  <si>
    <t xml:space="preserve">Ø </t>
  </si>
  <si>
    <t>Kolom 15 x 15</t>
  </si>
  <si>
    <t>Kolom 15 x 20</t>
  </si>
  <si>
    <t>Kolom 15 x 25</t>
  </si>
  <si>
    <t>Kolom 15 x 30</t>
  </si>
  <si>
    <t>Kolom 20 x 20</t>
  </si>
  <si>
    <t>Kolom 20 x 25</t>
  </si>
  <si>
    <t>Kolom 20 x 30</t>
  </si>
  <si>
    <t>Kolom 20 x 35</t>
  </si>
  <si>
    <t>Kolom 20 x 40</t>
  </si>
  <si>
    <t>Kolom 25 x 25</t>
  </si>
  <si>
    <t>Kolom 25 x 30</t>
  </si>
  <si>
    <t>Kolom 25 x 35</t>
  </si>
  <si>
    <t>Kolom 25 x 40</t>
  </si>
  <si>
    <t>Kolom 25 x 45</t>
  </si>
  <si>
    <t>Kolom 25 x 50</t>
  </si>
  <si>
    <t>Kolom 30 x 30</t>
  </si>
  <si>
    <t>Kolom 30 x 35</t>
  </si>
  <si>
    <t>Kolom 30 x 40</t>
  </si>
  <si>
    <t>Kolom 35 x 45</t>
  </si>
  <si>
    <t>Kolom 35 x 50</t>
  </si>
  <si>
    <t>Kolom 40 x 40</t>
  </si>
  <si>
    <t>Kolom 40 x 45</t>
  </si>
  <si>
    <t>Kolom 40 x 50</t>
  </si>
  <si>
    <t>Balok 15 x 20</t>
  </si>
  <si>
    <t>Balok 15 x 25</t>
  </si>
  <si>
    <t>Balok 15 x 30</t>
  </si>
  <si>
    <t>Balok 20 x 20</t>
  </si>
  <si>
    <t>Balok 20 x 25</t>
  </si>
  <si>
    <t>Balok  20 x 30</t>
  </si>
  <si>
    <t>Balok  20 x 35</t>
  </si>
  <si>
    <t>Balok  20 x 40</t>
  </si>
  <si>
    <t>Balok  25 x 25</t>
  </si>
  <si>
    <t>Balok  25 x 30</t>
  </si>
  <si>
    <t>Balok  25 x 35</t>
  </si>
  <si>
    <t>Balok  25 x 40</t>
  </si>
  <si>
    <t>Balok  25 x 45</t>
  </si>
  <si>
    <t>Balok  25 x 50</t>
  </si>
  <si>
    <t>Balok  30 x 30</t>
  </si>
  <si>
    <t>Balok  30 x 35</t>
  </si>
  <si>
    <t>Balok  30 x 40</t>
  </si>
  <si>
    <t>Balok  35 x 45</t>
  </si>
  <si>
    <t>Balok  35 x 50</t>
  </si>
  <si>
    <t>Balok  40 x 40</t>
  </si>
  <si>
    <t>Balok  40 x 45</t>
  </si>
  <si>
    <t>Balok  40 x 50</t>
  </si>
  <si>
    <t>Balok ring 15x15</t>
  </si>
  <si>
    <t>Pondasi Plat</t>
  </si>
  <si>
    <t>Plat tebal 12 cm</t>
  </si>
  <si>
    <t>Tangga Beton</t>
  </si>
  <si>
    <t>Balok gantung 15cmx25cm</t>
  </si>
  <si>
    <t>Balok gantung 15cmx30cm</t>
  </si>
  <si>
    <t>Plat deck 50 cm</t>
  </si>
  <si>
    <t>Plat deck 110 cm</t>
  </si>
  <si>
    <t>Talang cor</t>
  </si>
  <si>
    <t xml:space="preserve">Koef Tenaga Kerja </t>
  </si>
  <si>
    <t>Kemampuan Pekerja</t>
  </si>
  <si>
    <t>Vol Pek</t>
  </si>
  <si>
    <t xml:space="preserve">Rencana </t>
  </si>
  <si>
    <t>Jumlah Org Yang</t>
  </si>
  <si>
    <t>WAKTU PELAKSANAAN (HARI)</t>
  </si>
  <si>
    <t>Per Satuan Pekerjaan</t>
  </si>
  <si>
    <t xml:space="preserve"> Menyelesaikan Pkrjn </t>
  </si>
  <si>
    <t>Menyelesaikan Kes Vol Pek</t>
  </si>
  <si>
    <t>Hari Kerja</t>
  </si>
  <si>
    <t>Dibutuhkan</t>
  </si>
  <si>
    <t>(a)</t>
  </si>
  <si>
    <t>Dalam 1 Hari   (b)</t>
  </si>
  <si>
    <t xml:space="preserve"> ( c )</t>
  </si>
  <si>
    <t>(1 Org)     (d)</t>
  </si>
  <si>
    <t>(e)</t>
  </si>
  <si>
    <t>(f)</t>
  </si>
  <si>
    <t>(g)</t>
  </si>
  <si>
    <t>1/a</t>
  </si>
  <si>
    <t>c/b</t>
  </si>
  <si>
    <t>d/e</t>
  </si>
  <si>
    <t>Pembersihan Lapangan</t>
  </si>
  <si>
    <t>Pasangan Bouwlpank</t>
  </si>
  <si>
    <t>1 M2 Pembersihan Lapangan</t>
  </si>
  <si>
    <t>P</t>
  </si>
  <si>
    <t>Gudang Semen dan Alat</t>
  </si>
  <si>
    <t>PEKERJAAN GALIAN</t>
  </si>
  <si>
    <t>1 M' Pasangan Bouwlpank</t>
  </si>
  <si>
    <t>Urugan Kembali Galian Tanah</t>
  </si>
  <si>
    <t>T</t>
  </si>
  <si>
    <t>PEK. PONDASI BATU KALI</t>
  </si>
  <si>
    <t>KT</t>
  </si>
  <si>
    <t>Urugan Pasir  Bawah Pondasi</t>
  </si>
  <si>
    <t xml:space="preserve">Pasangan Pondasi Batu Kosong </t>
  </si>
  <si>
    <t>Pasangan Pondasi Batu Kali (1:3)</t>
  </si>
  <si>
    <t>1 M2 Gudang Semen dan Alat</t>
  </si>
  <si>
    <t>PEK. BETON</t>
  </si>
  <si>
    <t>Kolom</t>
  </si>
  <si>
    <t>Balok</t>
  </si>
  <si>
    <t>1 M3 Galian Tanah Biasa Sedalam 1 Meter</t>
  </si>
  <si>
    <t>Plat Beton</t>
  </si>
  <si>
    <t>Ring Balok</t>
  </si>
  <si>
    <t>Tangga Beton Bertulang</t>
  </si>
  <si>
    <t>1 M3 Galian Tanah Biasa Sedalam 2 Meter</t>
  </si>
  <si>
    <t>PEK. DINDING</t>
  </si>
  <si>
    <t>Pasangan Dinding Batu Bata  (1:4)</t>
  </si>
  <si>
    <t>Pasangan Dinding Batu Bata  (1:2)</t>
  </si>
  <si>
    <t xml:space="preserve"> 1 M3 Galian Tanah Biasa Sedalam 3 Meter</t>
  </si>
  <si>
    <t xml:space="preserve">Pasangan Kusen Pintu dan Jendela </t>
  </si>
  <si>
    <t>PEK. KAP DAN ATAP</t>
  </si>
  <si>
    <t xml:space="preserve">Pekerjaan Balok Dinding </t>
  </si>
  <si>
    <t>1 M3 Galian Tanah Keras Sedalam 1 Meter</t>
  </si>
  <si>
    <t>Pekerjaan Kuda-Kuda Kayu</t>
  </si>
  <si>
    <t>Pekerjaan rangka Atap</t>
  </si>
  <si>
    <t>Papan Lisplank</t>
  </si>
  <si>
    <t>1 M3 Galian Tanah Cadas Sedalam 1 Meter</t>
  </si>
  <si>
    <t>Pemasangan Gording, Nog</t>
  </si>
  <si>
    <t>Pemasangan Talang</t>
  </si>
  <si>
    <t>Pemasangan Atap Sakura Roof</t>
  </si>
  <si>
    <t>1 M3 Galian Tanah Lumpur Sedalam 1 Meter</t>
  </si>
  <si>
    <t>Pemasangan Perabung</t>
  </si>
  <si>
    <t>PEKERJAAN PLAFON</t>
  </si>
  <si>
    <t>Rangka Plafon</t>
  </si>
  <si>
    <t>1 M3 Urugan Kembali Galian Tanah</t>
  </si>
  <si>
    <t>Plafond Gypsum</t>
  </si>
  <si>
    <t>Memasang Lis Plafond</t>
  </si>
  <si>
    <t>PEKERJAAN PLASTERAN</t>
  </si>
  <si>
    <t>1 M3 Pemadatan Tanah</t>
  </si>
  <si>
    <t xml:space="preserve">Plasteran Dinding (1:2) </t>
  </si>
  <si>
    <t>Plasteran Dinding (1:4)</t>
  </si>
  <si>
    <t>Pasangan Dinding Porslin</t>
  </si>
  <si>
    <t>PEKERJAAN PONDASI BATU KALI</t>
  </si>
  <si>
    <t>1 M3 Urugan Pasir  Bawah Pondasi</t>
  </si>
  <si>
    <t>PEKERJAAN LANTAI</t>
  </si>
  <si>
    <t>Urugan Pasir</t>
  </si>
  <si>
    <t>Pasangan Lantai Kramik</t>
  </si>
  <si>
    <t xml:space="preserve">1 M3 Pasangan Pondasi Batu Kosong </t>
  </si>
  <si>
    <t>PEK. PINTU DAN JENDELA</t>
  </si>
  <si>
    <t>Pintu dan Jendela kaca</t>
  </si>
  <si>
    <t>Kaca Tebal 5 MM</t>
  </si>
  <si>
    <t>Pasangan Engsel Pintu</t>
  </si>
  <si>
    <t>Pasangan Kunci Tanam Antik</t>
  </si>
  <si>
    <t xml:space="preserve"> 1 M3 Pasangan Pondasi Batu Kali (1:3)</t>
  </si>
  <si>
    <t>PEKERJAAN PENGECATAN</t>
  </si>
  <si>
    <t>Mendempul dan Menggosok Kayu</t>
  </si>
  <si>
    <t xml:space="preserve">Mengecat Kayu Baru </t>
  </si>
  <si>
    <t>Mengecat Tembok Baru</t>
  </si>
  <si>
    <t>PEK. PERLWNGKAPAN DALAM</t>
  </si>
  <si>
    <t>Pekerjaan Pasangan Listrik</t>
  </si>
  <si>
    <t>1M3 Pondasi Plat</t>
  </si>
  <si>
    <t>Pekerjaan Sanitasi</t>
  </si>
  <si>
    <t>PEK. PERLENGKAPAN LUAR</t>
  </si>
  <si>
    <t>Rabat Beton (1:2:3)</t>
  </si>
  <si>
    <t>Bak Kontrol</t>
  </si>
  <si>
    <t xml:space="preserve"> 1M3 Sloof 15/20</t>
  </si>
  <si>
    <t>Resapan</t>
  </si>
  <si>
    <t>1 M3 Kolom Praktis (15/15)</t>
  </si>
  <si>
    <t>1 M3 Kolom 15/20</t>
  </si>
  <si>
    <t>1 M3 Kolom 15/25</t>
  </si>
  <si>
    <t>1 M3 Kolom 15/30</t>
  </si>
  <si>
    <t>1 M3 Kolom 20 x 20</t>
  </si>
  <si>
    <t>1 M3 Kolom 20/25</t>
  </si>
  <si>
    <t>1 M3 Kolom 20/30</t>
  </si>
  <si>
    <t>1 M3 Kolom 20/35</t>
  </si>
  <si>
    <t xml:space="preserve"> 1 M3 Kolom 20/40</t>
  </si>
  <si>
    <t>1 M3 Kolom 25/25</t>
  </si>
  <si>
    <t xml:space="preserve"> 1 M3 Kolom 25/30</t>
  </si>
  <si>
    <t>1 M3 Kolom 25/35</t>
  </si>
  <si>
    <t>1 M3 Kolom 25/40</t>
  </si>
  <si>
    <t>1 M3 Kolom 25/45</t>
  </si>
  <si>
    <t>1 M3 Kolom 25/50</t>
  </si>
  <si>
    <t>1 M3 Kolo 30/30</t>
  </si>
  <si>
    <t>1 M3 Kolom 30/35</t>
  </si>
  <si>
    <t xml:space="preserve"> 1 M3 Kolom 30/40</t>
  </si>
  <si>
    <t>1 M3 Kolom 35/45</t>
  </si>
  <si>
    <t>1 M3 Kolom 35/50</t>
  </si>
  <si>
    <t>1 M3 Kolom 40/40</t>
  </si>
  <si>
    <t>1 M3 Kolom 40/45</t>
  </si>
  <si>
    <t>1 M3 Kolom 40/50</t>
  </si>
  <si>
    <t>1 M3 Balok 15/20</t>
  </si>
  <si>
    <t>1 M3 Balok 15/25</t>
  </si>
  <si>
    <t>1 M3 Balok 15/30</t>
  </si>
  <si>
    <t>1 M3 Balok 20 x 20</t>
  </si>
  <si>
    <t>1 M3 Balok 20/25</t>
  </si>
  <si>
    <t>1 M3 Balok 20/30</t>
  </si>
  <si>
    <t>1 M3 Balok 20/35</t>
  </si>
  <si>
    <t xml:space="preserve"> 1 M3 Balok 20/40</t>
  </si>
  <si>
    <t>1 M3 Balok 25/25</t>
  </si>
  <si>
    <t xml:space="preserve"> 1 M3 Balok 25/30</t>
  </si>
  <si>
    <t>1 M3 balok 25/35</t>
  </si>
  <si>
    <t>1 M3 Balok 25/40</t>
  </si>
  <si>
    <t>1 M3 Balok 25/45</t>
  </si>
  <si>
    <t>1 M3 Balok 25/50</t>
  </si>
  <si>
    <t>1 M3 Balok 30/30</t>
  </si>
  <si>
    <t>1 M3 Balok 30/35</t>
  </si>
  <si>
    <t xml:space="preserve"> 1 M3 Balok 30/40</t>
  </si>
  <si>
    <t>1 M3 Balok 35/45</t>
  </si>
  <si>
    <t>1 M3 Balok 35/50</t>
  </si>
  <si>
    <t>1 M3 Balok 40/40</t>
  </si>
  <si>
    <t>1 M3 Balok 40/45</t>
  </si>
  <si>
    <t>1 M3 Balok 40/50</t>
  </si>
  <si>
    <t xml:space="preserve"> 1 M3 Plat Beton</t>
  </si>
  <si>
    <t>1 M3 Ring Balok</t>
  </si>
  <si>
    <t>1 M3 Tangga Beton Bertulang 200 kg</t>
  </si>
  <si>
    <t>1 M2 Pasangan Dinding Batu Bata  (1:4)</t>
  </si>
  <si>
    <t>1 M2 Pasangan Dinding Batu Bata  (1:2)</t>
  </si>
  <si>
    <t xml:space="preserve">1 M3 Pasangan Kusen Pintu dan Jendela </t>
  </si>
  <si>
    <t>PEKERJAAN KAP DAN ATAP</t>
  </si>
  <si>
    <t>1 M3 Pekerjaan Balok Dinding</t>
  </si>
  <si>
    <t>1 M3 Pekerjaan Kuda-Kuda Kayu</t>
  </si>
  <si>
    <t>1 M2 Pekerjaan rangka Atap</t>
  </si>
  <si>
    <t>1M' Papan Lisplank</t>
  </si>
  <si>
    <t>Pemasangan 1 M3 Gording, Nog</t>
  </si>
  <si>
    <t>Pemasangan 1 M' Talang Miring BJLS 28</t>
  </si>
  <si>
    <t>Pemasangan 1 M2 Atap Sakura Roof</t>
  </si>
  <si>
    <t>Pemasangan 1 M2 Perabung</t>
  </si>
  <si>
    <t>1 M2 Rangka Plafon</t>
  </si>
  <si>
    <t>1 M2 Plafond Gypsum</t>
  </si>
  <si>
    <t xml:space="preserve">1 M2 Plasteran Dinding (1:2) </t>
  </si>
  <si>
    <t>1 M2 Plasteran Dinding (1:4)</t>
  </si>
  <si>
    <t>1 M2 Acian Semen</t>
  </si>
  <si>
    <t>1 M2 Pasangan Dinding Porslin</t>
  </si>
  <si>
    <t>1 M3 Urugan Pasir</t>
  </si>
  <si>
    <t>1 M2 Pasangan Lantai Kramik 33 x 33</t>
  </si>
  <si>
    <t xml:space="preserve"> 1 M2 Pasangan Lantai Kramik 20 x 20</t>
  </si>
  <si>
    <t>PEKERJAAN PINTU DAN JENDELA</t>
  </si>
  <si>
    <t>1 M2 Pintu dan Jendela kaca</t>
  </si>
  <si>
    <t>1 M2 Kaca Tebal 5 MM</t>
  </si>
  <si>
    <t>1 Buah Pasangan Engsel Pintu</t>
  </si>
  <si>
    <t>1 Buah Pasangan Kunci Tanam Antik</t>
  </si>
  <si>
    <t>1 M2 Mendempul dan Menggosok Kayu</t>
  </si>
  <si>
    <t xml:space="preserve">1 M2 Mengecat Kayu Baru </t>
  </si>
  <si>
    <t>1 M2 Mengecat Tembok Baru</t>
  </si>
  <si>
    <t>PEKERJAAN PERLENGKAPAN DALAM</t>
  </si>
  <si>
    <t>Pekerjaan Pemasangan Listrik</t>
  </si>
  <si>
    <t>Pemasangna 1 Buah Kloset Jongkok</t>
  </si>
  <si>
    <t>Pemasangan 1 Buah KloSet Duduk</t>
  </si>
  <si>
    <t>Floor Draine</t>
  </si>
  <si>
    <t>1 Buah Bak Cuci Piring Stainless</t>
  </si>
  <si>
    <t xml:space="preserve"> Memasang 1 Wastafel</t>
  </si>
  <si>
    <t>Memasang Pipa Air Ø 3" Per M'</t>
  </si>
  <si>
    <t>Memasang Pipa Air Ø 3/4" AW Per M'</t>
  </si>
  <si>
    <t>Memasang Pipa Air Ø 1/2" AW Per M'</t>
  </si>
  <si>
    <t>Memasangan 1 Kran Air Ø 3/4" atau 1/2"</t>
  </si>
  <si>
    <t>PEKERJAAN PERLENGKAPAN LUAR</t>
  </si>
  <si>
    <t xml:space="preserve"> 1 M3 Rabat Beton (1:3:5)</t>
  </si>
  <si>
    <t>Analisis 1Buah Bak Kontrol</t>
  </si>
  <si>
    <t>1 Buah Septictank 2 x 2 x 2 M</t>
  </si>
  <si>
    <t>1 Unit Resapan</t>
  </si>
  <si>
    <t>TB</t>
  </si>
  <si>
    <t>TBs</t>
  </si>
  <si>
    <t>KTbs</t>
  </si>
  <si>
    <t>Agar hasil dapat sesuai dengan yang diinginkan, dimohon untuk tidak menghilangkan/menghapus data-data yang telah ada.</t>
  </si>
  <si>
    <t>jumlah print out.</t>
  </si>
  <si>
    <t>Untuk mempermudah pengaksesan, masukkan harga material/bahan dan upah pekerja sesuai dengan daftar yang telah disediakan.</t>
  </si>
  <si>
    <t>Masukkan volume pekerjaan sesuai dengan jenis pekerjaan dalam daftar yang telah disediakan.</t>
  </si>
  <si>
    <t>Harga satuan pekerjaan merupakan perkalian antara koefesien tiap satuan pekerjaan dengan harga bahan dan upah kerja per satuan pekerjaan.</t>
  </si>
  <si>
    <t>sesuai dengan ketetapan yang telah dibuat.</t>
  </si>
  <si>
    <t xml:space="preserve">ada dengan mengganti koefesien dari tiap-tiap satuan pekerjaan sesuai dengan ketentuan yang ingin digunakan. </t>
  </si>
  <si>
    <t>RAB (Rencana Anggaran Biaya)</t>
  </si>
  <si>
    <t xml:space="preserve">RAB merupakan nilai/harga dari masing-masing item pekerjaan, yang diperoleh dengan cara mengalikan volume pekerjaan dengan harga satuan pekerjaan. </t>
  </si>
  <si>
    <t xml:space="preserve">data-data yang baru. </t>
  </si>
  <si>
    <t>Rekapitulasi</t>
  </si>
  <si>
    <t>Rekapitulasi adalah harga keseluruhan nilai pekerjaan, tanpa memasukkan pajak bangunan.</t>
  </si>
  <si>
    <t>Volume Material Keseluruhan</t>
  </si>
  <si>
    <t>Volume material keseluruhan merupakan jumlah banyaknya material/bahan yang akan digunakan dalam penyelesaian pelaksanaan pembangunan.</t>
  </si>
  <si>
    <t>Time Schedule dan Kurva S</t>
  </si>
  <si>
    <t>mengulang perhitungan yang ada.</t>
  </si>
  <si>
    <t>Perhitungan Kebutuhan Tulangan</t>
  </si>
  <si>
    <t>data-data yang terdahulu pada sheet harga satuan pekerjaan.</t>
  </si>
  <si>
    <t>sehingga anda dapat menggunakannya dengan cara seperti pada poin sebelumnya.</t>
  </si>
  <si>
    <t>tulangan yang anda gunakan sesuai dengan ketentuan yang ada.</t>
  </si>
  <si>
    <r>
      <t xml:space="preserve">Operator </t>
    </r>
    <r>
      <rPr>
        <i/>
        <sz val="11"/>
        <color rgb="FF000000"/>
        <rFont val="Calibri Light"/>
        <family val="2"/>
        <scheme val="major"/>
      </rPr>
      <t>crane</t>
    </r>
  </si>
  <si>
    <r>
      <t xml:space="preserve">Pembantu operator </t>
    </r>
    <r>
      <rPr>
        <i/>
        <sz val="11"/>
        <color rgb="FF000000"/>
        <rFont val="Calibri Light"/>
        <family val="2"/>
        <scheme val="major"/>
      </rPr>
      <t>crane</t>
    </r>
  </si>
  <si>
    <t>Jumlah Hari Untuk</t>
  </si>
  <si>
    <t xml:space="preserve">Kebutuhan </t>
  </si>
  <si>
    <t>Kebutuhan Tul.</t>
  </si>
  <si>
    <t>Panjang Ekivalen=1m3</t>
  </si>
  <si>
    <t>Bekisting (m2)</t>
  </si>
  <si>
    <t>PT. INDONESIA KONSTRUKSI</t>
  </si>
  <si>
    <t>Arsitek &amp; General Kontraktor</t>
  </si>
  <si>
    <t>Jl. Raya Merdeka No. 17, Surabaya - Jawa Timur</t>
  </si>
  <si>
    <t>Nomor</t>
  </si>
  <si>
    <t>Lampiran</t>
  </si>
  <si>
    <t>Perihal</t>
  </si>
  <si>
    <t>Surabaya,</t>
  </si>
  <si>
    <t>01 Januari 2026</t>
  </si>
  <si>
    <t>:</t>
  </si>
  <si>
    <t>1/X/V/Z2026</t>
  </si>
  <si>
    <t>-</t>
  </si>
  <si>
    <t>Penawaran Harga</t>
  </si>
  <si>
    <t>Perusahaan</t>
  </si>
  <si>
    <t>Bidang Usaha</t>
  </si>
  <si>
    <t>Telpon</t>
  </si>
  <si>
    <t>Email</t>
  </si>
  <si>
    <t>Website</t>
  </si>
  <si>
    <t>Nama Customer</t>
  </si>
  <si>
    <t>Alamat Customer</t>
  </si>
  <si>
    <t>Kota Customer</t>
  </si>
  <si>
    <t>Donald Trump</t>
  </si>
  <si>
    <t>Jalan Pahlawan 17, Semarang</t>
  </si>
  <si>
    <t>Jogjakarta</t>
  </si>
  <si>
    <t>Dengan Hormat,</t>
  </si>
  <si>
    <t>Nama Proyek</t>
  </si>
  <si>
    <t>Berikut kami sampaikan rincian penawaran harga :</t>
  </si>
  <si>
    <t>Pebangunan Rumah</t>
  </si>
  <si>
    <t>Alamat Proyek</t>
  </si>
  <si>
    <t>kota Proyek</t>
  </si>
  <si>
    <t>Jalan Garuda 1945</t>
  </si>
  <si>
    <t>Semarang</t>
  </si>
  <si>
    <t>Data Perusahaan</t>
  </si>
  <si>
    <t>Data Customer</t>
  </si>
  <si>
    <t>Data Proyek</t>
  </si>
  <si>
    <t>08123456789</t>
  </si>
  <si>
    <t>indonesiakonstruksi@gmail.com</t>
  </si>
  <si>
    <t>www.indonesiakonstruksi.com</t>
  </si>
  <si>
    <t>Kepada,</t>
  </si>
  <si>
    <t>Harga penawaran yang kami ajukan diatas sudah termasuk dengan biaya material, tenaga kerja &amp; overhead. Proyek ini kami</t>
  </si>
  <si>
    <t>Durasi (hari)</t>
  </si>
  <si>
    <t>Hormat Kami,</t>
  </si>
  <si>
    <t xml:space="preserve">5 (7 Hari) </t>
  </si>
  <si>
    <t>6 (7 Hari)</t>
  </si>
  <si>
    <t>7 (7 Hari)</t>
  </si>
  <si>
    <t>8 (7 Hari)</t>
  </si>
  <si>
    <t xml:space="preserve">9 (7 Hari) </t>
  </si>
  <si>
    <t>10 (7 Hari)</t>
  </si>
  <si>
    <t>11 (7 Hari)</t>
  </si>
  <si>
    <t>Kode Analisa</t>
  </si>
  <si>
    <t>8 = 7x6</t>
  </si>
  <si>
    <t>0.335</t>
  </si>
  <si>
    <t>Item Pekerjaan</t>
  </si>
  <si>
    <t>Uraian Pekerjaan &amp; Spesifikasi</t>
  </si>
  <si>
    <t>Langsam</t>
  </si>
  <si>
    <t>KOMULATIF (%)</t>
  </si>
  <si>
    <r>
      <t>CATATAN: Bobot isi pasir = 1400 kg/m</t>
    </r>
    <r>
      <rPr>
        <i/>
        <vertAlign val="superscript"/>
        <sz val="11"/>
        <color rgb="FF000000"/>
        <rFont val="Calibri "/>
      </rPr>
      <t>3</t>
    </r>
    <r>
      <rPr>
        <i/>
        <sz val="11"/>
        <color rgb="FF000000"/>
        <rFont val="Calibri "/>
      </rPr>
      <t>, Bobot isi kerikil = 1350 kg/m</t>
    </r>
    <r>
      <rPr>
        <i/>
        <vertAlign val="superscript"/>
        <sz val="11"/>
        <color rgb="FF000000"/>
        <rFont val="Calibri "/>
      </rPr>
      <t>3</t>
    </r>
    <r>
      <rPr>
        <i/>
        <sz val="11"/>
        <color rgb="FF000000"/>
        <rFont val="Calibri "/>
      </rPr>
      <t xml:space="preserve">, Buckling factor pasir  = 20% </t>
    </r>
  </si>
  <si>
    <r>
      <t xml:space="preserve">Operator </t>
    </r>
    <r>
      <rPr>
        <i/>
        <sz val="11"/>
        <color rgb="FF000000"/>
        <rFont val="Calibri "/>
      </rPr>
      <t>crane</t>
    </r>
  </si>
  <si>
    <r>
      <t xml:space="preserve">Pembantu operator </t>
    </r>
    <r>
      <rPr>
        <i/>
        <sz val="11"/>
        <color rgb="FF000000"/>
        <rFont val="Calibri "/>
      </rPr>
      <t>crane</t>
    </r>
  </si>
  <si>
    <r>
      <t xml:space="preserve">Sewa </t>
    </r>
    <r>
      <rPr>
        <i/>
        <sz val="11"/>
        <color rgb="FF000000"/>
        <rFont val="Calibri "/>
      </rPr>
      <t>crane</t>
    </r>
  </si>
  <si>
    <r>
      <t xml:space="preserve">Sewa </t>
    </r>
    <r>
      <rPr>
        <i/>
        <sz val="11"/>
        <color rgb="FF000000"/>
        <rFont val="Calibri "/>
      </rPr>
      <t>pipe support</t>
    </r>
  </si>
  <si>
    <r>
      <t>M</t>
    </r>
    <r>
      <rPr>
        <vertAlign val="superscript"/>
        <sz val="11"/>
        <color rgb="FF000000"/>
        <rFont val="Calibri "/>
      </rPr>
      <t>2</t>
    </r>
  </si>
  <si>
    <r>
      <t>M</t>
    </r>
    <r>
      <rPr>
        <vertAlign val="superscript"/>
        <sz val="11"/>
        <color rgb="FF000000"/>
        <rFont val="Calibri "/>
      </rPr>
      <t>3</t>
    </r>
  </si>
  <si>
    <t>p</t>
  </si>
  <si>
    <t>l</t>
  </si>
  <si>
    <t>t</t>
  </si>
  <si>
    <t>Ukuran bangunan</t>
  </si>
  <si>
    <t>Galian Tanah Type 1</t>
  </si>
  <si>
    <t>Galian Tanah Type 2</t>
  </si>
  <si>
    <t>lb bawah</t>
  </si>
  <si>
    <t>lb atas</t>
  </si>
  <si>
    <t>Urugan Bawah Lantai</t>
  </si>
  <si>
    <t>HARGA BAHAN</t>
  </si>
  <si>
    <t>ANALISA HARGA SATUAN PEKERJAAN (AHSP)</t>
  </si>
  <si>
    <t>PEKERJAAN ATAP &amp; PLAFOND</t>
  </si>
  <si>
    <t>REKAP VOLUME PEKERJAAN</t>
  </si>
  <si>
    <t xml:space="preserve">Harga Satuan                                                   </t>
  </si>
  <si>
    <t>I. PEKERJAAN PERSIAPAN</t>
  </si>
  <si>
    <t>II. PEKERJAAN GALIAN &amp; URUGAN</t>
  </si>
  <si>
    <t>Kontrak</t>
  </si>
  <si>
    <t>Perubahan</t>
  </si>
  <si>
    <t>Amandemen</t>
  </si>
  <si>
    <t>Harga Satuan</t>
  </si>
  <si>
    <t>Jumlah Harga</t>
  </si>
  <si>
    <t>Pekerjaan Tambah</t>
  </si>
  <si>
    <t>Pekerjaan Kurang</t>
  </si>
  <si>
    <t>Total</t>
  </si>
  <si>
    <t>PEKERJAAN PENDAHULUAN</t>
  </si>
  <si>
    <t>Pembersihan lapangan</t>
  </si>
  <si>
    <t>m²</t>
  </si>
  <si>
    <t>Pekerjaan pembuatan papan nama proyek</t>
  </si>
  <si>
    <t>ls</t>
  </si>
  <si>
    <t>Pembuatan pagar sementara dari seng gelombang</t>
  </si>
  <si>
    <t>Pembuatan gudang bahan dan peralatan</t>
  </si>
  <si>
    <t>Pembuatan direksi keet</t>
  </si>
  <si>
    <t>Pembuatan barak pekerja</t>
  </si>
  <si>
    <t>Pekerjaan pengukuran dan pemasangan bowplank</t>
  </si>
  <si>
    <t>m'</t>
  </si>
  <si>
    <t/>
  </si>
  <si>
    <t>PEKERJAAN TANAH</t>
  </si>
  <si>
    <t>Pekerjaan galian tanah</t>
  </si>
  <si>
    <t>m³</t>
  </si>
  <si>
    <t>Pengurugan tanah kembali</t>
  </si>
  <si>
    <t>Pengurugan sirtu di area site</t>
  </si>
  <si>
    <t>Pengurugan sirtu dibawah lantai</t>
  </si>
  <si>
    <t>Pengurugan pasir dibawah lantai</t>
  </si>
  <si>
    <t>Pengurugan pasir dibawah paving block</t>
  </si>
  <si>
    <t>PEKERJAAN PONDASI</t>
  </si>
  <si>
    <t>Urugan pasir bawah pondasi footplat t = 10cm</t>
  </si>
  <si>
    <t>Pekerjaan lantai kerja bawah pondasi footplat t = 5cm</t>
  </si>
  <si>
    <t>3</t>
  </si>
  <si>
    <t>Pekerjaan pondasi footplat beton bertulang 120 x 120 x 30</t>
  </si>
  <si>
    <t>Beton K-250</t>
  </si>
  <si>
    <t>4</t>
  </si>
  <si>
    <t>Pekerjaan pondasi footplat beton bertulang 120 x 78 x 30</t>
  </si>
  <si>
    <t>5</t>
  </si>
  <si>
    <t>Pekerjaan pondasi stump beton bertulang 30 x 30 x 200</t>
  </si>
  <si>
    <t>Urugan pasir bawah pondasi menerus t = 5cm</t>
  </si>
  <si>
    <t>Pekerjaan batu kosong</t>
  </si>
  <si>
    <t>Pekerjaan pasangan batu kali camp. 1pc : 4ps</t>
  </si>
  <si>
    <t>PEKERJAAN STRUKTUR</t>
  </si>
  <si>
    <t>Pekerjaan Struktur Lantai 1</t>
  </si>
  <si>
    <t>1</t>
  </si>
  <si>
    <t>Pekerjaan sloof beton bertulang 25/30</t>
  </si>
  <si>
    <t>2</t>
  </si>
  <si>
    <t>Pekerjaan sloof beton bertulang 15/30</t>
  </si>
  <si>
    <t>Pekerjaan sloof beton bertulang 15/20</t>
  </si>
  <si>
    <t>Beton K-175</t>
  </si>
  <si>
    <t>Pekerjaan lantai dasar beton bertulang t = 7cm</t>
  </si>
  <si>
    <t>Pekerjaan balok latei beton bertulang 15/15</t>
  </si>
  <si>
    <t>6</t>
  </si>
  <si>
    <t>Pekerjaan kolom beton bertulang 30 x 30</t>
  </si>
  <si>
    <t>7</t>
  </si>
  <si>
    <t>Pekerjaan kolom praktis beton bertulang 15 x 15</t>
  </si>
  <si>
    <t>8</t>
  </si>
  <si>
    <t>Pekerjaan kolom praktis beton bertulang 15 x 25</t>
  </si>
  <si>
    <t>9</t>
  </si>
  <si>
    <t>Pekerjaan kolom praktis beton bertulang 15 x 40</t>
  </si>
  <si>
    <t>10</t>
  </si>
  <si>
    <t>Pekerjaan tangga beton bertulang</t>
  </si>
  <si>
    <t>11</t>
  </si>
  <si>
    <t>Pekerjaan ring balok beton bertulang 25/50</t>
  </si>
  <si>
    <t>12</t>
  </si>
  <si>
    <t>Pekerjaan ring balok beton bertulang 15/25</t>
  </si>
  <si>
    <t>13</t>
  </si>
  <si>
    <t>Pekerjaan ring balok beton bertulang 15/35</t>
  </si>
  <si>
    <t>14</t>
  </si>
  <si>
    <t>Pekerjaan kanopi beton bertulang t = 12cm</t>
  </si>
  <si>
    <t>15</t>
  </si>
  <si>
    <t>Pekerjaan plat lantai beton bertulang t = 12cm dengan wire mash</t>
  </si>
  <si>
    <t>Wiremash M8</t>
  </si>
  <si>
    <t>Floordeck 0,75 mm</t>
  </si>
  <si>
    <t>Pekerjaan Struktur Top Floor</t>
  </si>
  <si>
    <t>Pekerjaan sun screen beton bertulang 10/144</t>
  </si>
  <si>
    <t>Pekerjaan kolom beton bertulang 15/15</t>
  </si>
  <si>
    <t>Pekerjaan ring balok beton bertulang 15/15</t>
  </si>
  <si>
    <t>PEKERJAAN DINDING</t>
  </si>
  <si>
    <t>Pekerjaan Dinding Lantai 1</t>
  </si>
  <si>
    <t>Pekerjaan pasangan dinding 1/2 bata 1pc : 4ps</t>
  </si>
  <si>
    <t>Pekerjaan pagar batako press 1pc : 5ps</t>
  </si>
  <si>
    <t>Pekerjaan plesteran dinding 1pc : 4ps</t>
  </si>
  <si>
    <t>Pekerjaan acian dinding</t>
  </si>
  <si>
    <t>Pot bunga permanen</t>
  </si>
  <si>
    <t>Pengecatan</t>
  </si>
  <si>
    <t>Pekerjaan Dinding Top Floor</t>
  </si>
  <si>
    <t>PEKERJAAN RANGKA DAN PENUTUP ATAP</t>
  </si>
  <si>
    <t>Pekerjaan atap dan kontruksi kuda-kuda baja ringan</t>
  </si>
  <si>
    <t>Pekerjaan bubungan</t>
  </si>
  <si>
    <t>m¹</t>
  </si>
  <si>
    <t>Pekerjaan pemasangan papan lisplang GRC</t>
  </si>
  <si>
    <t>PEKERJAAN PENUTUP LANTAI DAN DINDING</t>
  </si>
  <si>
    <t>Pekerjaan Penutup Lantai Dan Dinding, Lantai 1</t>
  </si>
  <si>
    <t>Pekerjaan pemasangan granit lantai 60 x 60</t>
  </si>
  <si>
    <t>Pekerjaan pemasangan granit lantai 60 x 60 unpolished</t>
  </si>
  <si>
    <t>Pekerjaan pemasangan keramik lantai KM/WC 30 x 30</t>
  </si>
  <si>
    <t>Pekerjaan pemasangan keramik dinding KM/WC 25 x 40</t>
  </si>
  <si>
    <t>Pekerjaan pemasangan keramik dinding kitchen</t>
  </si>
  <si>
    <t>Pekerjaan Plafon Lantai 1</t>
  </si>
  <si>
    <t>Pekerjaan rangka plafon hollow</t>
  </si>
  <si>
    <t>Pekerjaan penutup plafon gypsum</t>
  </si>
  <si>
    <t>Pekerjaan penutup plafon kalsiboard</t>
  </si>
  <si>
    <t>Shadow line plafon</t>
  </si>
  <si>
    <t>Pekerjaan Pintu Dan Jendela Lantai 1</t>
  </si>
  <si>
    <t>Pekerjaan jendela dan bovenlight kaca</t>
  </si>
  <si>
    <t>Pekerjaan pemasangan kusen dan daun pintu / jendela</t>
  </si>
  <si>
    <t>unit</t>
  </si>
  <si>
    <t>Pekerjaan pintu gudang</t>
  </si>
  <si>
    <t>Pekerjaan Pengecatan Lantai 1</t>
  </si>
  <si>
    <t>Pekerjaan pengecatan dinding dan kolom</t>
  </si>
  <si>
    <t>Pekerjaan pengecatan plafon</t>
  </si>
  <si>
    <t>Pekerjaan pengecatan lisplank</t>
  </si>
  <si>
    <t>Pekerjaan pengecatan dak beton</t>
  </si>
  <si>
    <t>PEKERJAAN MEKANIKAL ELEKTRIKAL</t>
  </si>
  <si>
    <t>Pekerjaan Instalasi Listrik Lantai 1</t>
  </si>
  <si>
    <t>Penyambungan listrik daya 5500 VA</t>
  </si>
  <si>
    <t>Panel SDP 3 phase</t>
  </si>
  <si>
    <t>Pekerjaan instalasi titik lampu</t>
  </si>
  <si>
    <t>Pekerjaan pemasangan stop kontak</t>
  </si>
  <si>
    <t>Pekerjaan pemasangan stop kontak AC</t>
  </si>
  <si>
    <t>Pekerjaan pemasangan lampu panel led 14 w</t>
  </si>
  <si>
    <t>Pekerjaan pemasangan lampu spot led 7 dan 8 w</t>
  </si>
  <si>
    <t>Pekerjaan pemasangan lampu panel led 10 w</t>
  </si>
  <si>
    <t>Pekerjaan pemasangan downlight led 5 w</t>
  </si>
  <si>
    <t>Pekerjaan pemasangan lampu dinding</t>
  </si>
  <si>
    <t>Pekerjaan pemasangan lampu strip</t>
  </si>
  <si>
    <t>Instalasi stop kontak, NYM 3 x 2,5 mm2 + pipa conduit</t>
  </si>
  <si>
    <t>Instalasi stop kontak AC, NYM 3 x 2,5 mm2 + pipa conduit</t>
  </si>
  <si>
    <t>Pekerjaan pemasangan jaringan CCTV</t>
  </si>
  <si>
    <t>Pekerjaan tambahan titik lampu</t>
  </si>
  <si>
    <t>PEKERJAAN SANITAIR</t>
  </si>
  <si>
    <t>Pekerjaan Sanitair Lantai 1</t>
  </si>
  <si>
    <t xml:space="preserve">Pekerjaan pemasangan floor drain </t>
  </si>
  <si>
    <t xml:space="preserve">Pekerjaan pemasangan roof drain </t>
  </si>
  <si>
    <t>Pekerjaan pemasangan kloset duduk</t>
  </si>
  <si>
    <t>Pekerjaan pemasangan kloset jongkok</t>
  </si>
  <si>
    <t xml:space="preserve">Pekerjaan pemasangan kran air </t>
  </si>
  <si>
    <t>Pekerjaan pemasangan wastafel</t>
  </si>
  <si>
    <t>Pekerjaan pembuatan septictank</t>
  </si>
  <si>
    <t>Pekerjaan pembuatan resapan septictank</t>
  </si>
  <si>
    <t>Pekerjaan pembuatan resapan air</t>
  </si>
  <si>
    <t>Pekerjaan pembuatan ground reservoir</t>
  </si>
  <si>
    <t>Pekerjaan pembuatan bak kontrol</t>
  </si>
  <si>
    <t>Pekerjaan pemasangan instalasi air bersih diameter 1/2"</t>
  </si>
  <si>
    <t>Pekerjaan pemasangan instalasi air bersih diameter 3/4"</t>
  </si>
  <si>
    <t>Pekerjaan pemasangan instalasi air kotor diameter 3"</t>
  </si>
  <si>
    <t>Pekerjaan pemasangan instalasi air kotoran diameter 4"</t>
  </si>
  <si>
    <t>Pekerjaan pemasangan toren air kap. 2000 ltr dan asesoris</t>
  </si>
  <si>
    <t>Pekerjaan pembuatan sumur dangkal</t>
  </si>
  <si>
    <t>Pekerjaan header dan bypass tandon</t>
  </si>
  <si>
    <t>Pekerjaan pemasangan jaringan pipa water heater</t>
  </si>
  <si>
    <t>XIII</t>
  </si>
  <si>
    <t>PEKERJAAN AKHIR</t>
  </si>
  <si>
    <t>Pekerjaan paving block</t>
  </si>
  <si>
    <t>Pekerjaan grass block</t>
  </si>
  <si>
    <t>Pekerjaan hampar batu split 2-3 cm</t>
  </si>
  <si>
    <t>Pekerjaan kanopi besi hollow</t>
  </si>
  <si>
    <t>Pekerjaan besi perforated</t>
  </si>
  <si>
    <t>Pekerjaan pagar besi</t>
  </si>
  <si>
    <t>Pekerjaan atap transparan</t>
  </si>
  <si>
    <t>Pembersihan akhir lokasi</t>
  </si>
  <si>
    <t>Pembuatan partisi aluminium dan penutup Shaft</t>
  </si>
  <si>
    <t>Pekerjaan skylight kisi-kisi kayu</t>
  </si>
  <si>
    <t>Pekerjaan penutup tangga rooftop</t>
  </si>
  <si>
    <t>Pembuatan pagar besi belakang bangunan</t>
  </si>
  <si>
    <t>Pekerjaan talang air</t>
  </si>
  <si>
    <t>Pekerjaan pot beton teras</t>
  </si>
  <si>
    <t>Pekerjaan bangku beton dan penutup besi</t>
  </si>
  <si>
    <t>XIV</t>
  </si>
  <si>
    <t>PEKERJAAN INTERIOR</t>
  </si>
  <si>
    <t>Pekerjaan Kamar Stay-A</t>
  </si>
  <si>
    <t>Dipan queen no.2</t>
  </si>
  <si>
    <t>Backdrop uk. 236 x 46cm</t>
  </si>
  <si>
    <t>Nakas gantung uk. 35cm</t>
  </si>
  <si>
    <t>Meja laptop uk. 96cm</t>
  </si>
  <si>
    <t>Cermin oval</t>
  </si>
  <si>
    <t>Penutup batang gorden</t>
  </si>
  <si>
    <t>Penutup rel pintu sliding</t>
  </si>
  <si>
    <t>Gantungan baju</t>
  </si>
  <si>
    <t>Meja kamar A5</t>
  </si>
  <si>
    <t>Pekerjaan Kamar Stay-B</t>
  </si>
  <si>
    <t>Dipan single no.4</t>
  </si>
  <si>
    <t>Backdrop uk. 250 x 46cm</t>
  </si>
  <si>
    <t>Nakas gantung uk. 60cm</t>
  </si>
  <si>
    <t>Meja laptop uk. 170cm</t>
  </si>
  <si>
    <t>Pekerjaan Kamar Karyawan</t>
  </si>
  <si>
    <t>Mezanin + tangga mezanin</t>
  </si>
  <si>
    <t>Pekerjaan Kantor</t>
  </si>
  <si>
    <t>Lemari Berkas</t>
  </si>
  <si>
    <t>Pekerjaan KM/WC</t>
  </si>
  <si>
    <t>Partisi kamar mandi tempered glass</t>
  </si>
  <si>
    <t>Rangka wastafel</t>
  </si>
  <si>
    <t>XV</t>
  </si>
  <si>
    <t>PEKERJAAN LANSEKAP</t>
  </si>
  <si>
    <t>Pekerjaan urugan tanah taman</t>
  </si>
  <si>
    <t>Pengadaan pohon anting putri besar</t>
  </si>
  <si>
    <t>Pengadaan pohon anting putri sedang</t>
  </si>
  <si>
    <t>Pengadaan rumput gajah</t>
  </si>
  <si>
    <t>Pengadaan bunga melati</t>
  </si>
  <si>
    <t>Pengadaan pohon ketapang kencana sedang</t>
  </si>
  <si>
    <t>Pengadaan pohon ketapang kencana kecil</t>
  </si>
  <si>
    <t>Pengadaan bunga calathea</t>
  </si>
  <si>
    <t>Pengadaan bunga lee kwan yew</t>
  </si>
  <si>
    <t>DAFTAR HADIR PEKERJA PER 2 MINGGU</t>
  </si>
  <si>
    <t>NAMA</t>
  </si>
  <si>
    <t>POSISI</t>
  </si>
  <si>
    <t>HARGA UPAH (Hari)</t>
  </si>
  <si>
    <t>HARGA LEMBUR (Jam)</t>
  </si>
  <si>
    <t>JUMLAH KEHADIRAN (HARI)</t>
  </si>
  <si>
    <t>JUMLAH LEMBUR (JAM)</t>
  </si>
  <si>
    <t>TOTAL BAYAR UPAH</t>
  </si>
  <si>
    <t>TOTAL BAYAR LEMBUR</t>
  </si>
  <si>
    <t>TOTAL BAYARAN</t>
  </si>
  <si>
    <t>PENGAMBILAN KASBON</t>
  </si>
  <si>
    <t>SISA UPAH</t>
  </si>
  <si>
    <t>H</t>
  </si>
  <si>
    <t>Pajo</t>
  </si>
  <si>
    <t>Iman</t>
  </si>
  <si>
    <t>Buruh</t>
  </si>
  <si>
    <t>Pandi</t>
  </si>
  <si>
    <t>Didi</t>
  </si>
  <si>
    <t>Nanang</t>
  </si>
  <si>
    <t>TOTAL JUMLAH</t>
  </si>
  <si>
    <t>KETERANGAN :</t>
  </si>
  <si>
    <t>Hadir penuh di isi angka 1</t>
  </si>
  <si>
    <t>Hadir setengah hari di isi angka 0,5</t>
  </si>
  <si>
    <t>Tidak hadir di isi angka 0</t>
  </si>
  <si>
    <t>H = Hari</t>
  </si>
  <si>
    <t>L = Lembur</t>
  </si>
  <si>
    <t>Mengatur hari dan tanggal cukup input</t>
  </si>
  <si>
    <t>di tanggal awal (sel F3)</t>
  </si>
  <si>
    <t xml:space="preserve"> Rincian Biaya Penerapan SMKK</t>
  </si>
  <si>
    <t>Kuantitas</t>
  </si>
  <si>
    <t>Total Harga</t>
  </si>
  <si>
    <t>PENYIAPAN DOKUMEN PENERAPAN SMKK</t>
  </si>
  <si>
    <t>Pembuatan dokumen SMKK (RKK dan RMPK)</t>
  </si>
  <si>
    <t>Pembuatan prosedur dan instruksi kerja</t>
  </si>
  <si>
    <t>Penyusunan pelaporan penerapan SMKK</t>
  </si>
  <si>
    <t>Sub Total</t>
  </si>
  <si>
    <t>SOSIALISASI, PROMOSI DAN PELATIHAN</t>
  </si>
  <si>
    <t>Induksi Keselamatan Konstruksi (Safety Induction)</t>
  </si>
  <si>
    <t>kgtn</t>
  </si>
  <si>
    <t xml:space="preserve">Pengarahan Keselamatan Konstruksi (Safety Briefing) </t>
  </si>
  <si>
    <t>Pertemuan keselamatan (Safety Talk dan/atau Tool Box Meeting)</t>
  </si>
  <si>
    <t xml:space="preserve">Pelatihan Keselamatan Konstruksi, antara lain: </t>
  </si>
  <si>
    <t>Perilaku berbasis keselamatan (budaya berkeselamatan konstruksi)</t>
  </si>
  <si>
    <t>Simulasi Keselamatan Konstruksi (tanggap darurat)</t>
  </si>
  <si>
    <t>Spanduk (banner)</t>
  </si>
  <si>
    <t>lb</t>
  </si>
  <si>
    <t>Poster/leaflet</t>
  </si>
  <si>
    <t>Papan Informasi Keselamatan konstruksi</t>
  </si>
  <si>
    <t>ALAT PELINDUNG KERJA DAN ALAT PELINDUNG DIRI</t>
  </si>
  <si>
    <t>APK, antara lain:</t>
  </si>
  <si>
    <t>Pembatas area (restricted area)</t>
  </si>
  <si>
    <t>roll</t>
  </si>
  <si>
    <t>Perlengkapan keselamatan bencana</t>
  </si>
  <si>
    <t xml:space="preserve">APD, antara lain: </t>
  </si>
  <si>
    <t xml:space="preserve">Helm pelindung (safety helmet) </t>
  </si>
  <si>
    <t>Pelindung telinga (ear plug)</t>
  </si>
  <si>
    <t>psg</t>
  </si>
  <si>
    <t>Sarung tangan (safety gloves)</t>
  </si>
  <si>
    <t>Sepatu keselamatan (safety shoes, rubber safety shoes dan toe cap)</t>
  </si>
  <si>
    <t>Rompi keselamatan (safety vest)</t>
  </si>
  <si>
    <t>ASURANSI</t>
  </si>
  <si>
    <t xml:space="preserve">(komponen ini tidak bersifat wajib pada pekerjaan konstruksi dengan tingkat Risiko Keselamatan Konstruksi kecil) </t>
  </si>
  <si>
    <t>PERSONEL KESELAMATAN KONSTRUKSI</t>
  </si>
  <si>
    <t>Petugas Keselamatan Konstruksi, Petugas K3 Konstruksi</t>
  </si>
  <si>
    <t>org/bln</t>
  </si>
  <si>
    <t xml:space="preserve"> FASILITAS SARANA, PRASARANA, DAN ALAT KESEHATAN</t>
  </si>
  <si>
    <t>Peralatan P3K (Kotak P3K, Alat pengukur suhu)</t>
  </si>
  <si>
    <t>RAMBU DAN PERLENGKAPAN LALU LINTAS</t>
  </si>
  <si>
    <t>Rambu petunjuk</t>
  </si>
  <si>
    <t>Rambu larangan</t>
  </si>
  <si>
    <t>Rambu peringatan</t>
  </si>
  <si>
    <t>Rambu kewajiban</t>
  </si>
  <si>
    <t>Rambu informasi</t>
  </si>
  <si>
    <t>Rambu pekerjaan sementara</t>
  </si>
  <si>
    <t>Jalur Evakuasi (Petunjuk escape route)</t>
  </si>
  <si>
    <t>Lampu putar (rotary lamp)</t>
  </si>
  <si>
    <t>Lampu/alat penerangan sementara</t>
  </si>
  <si>
    <t>Lampu darurat (emergency lamp)</t>
  </si>
  <si>
    <t>KONSULTASI DENGAN AHLI TERKAIT KESELAMATAN KONSTRUKSI</t>
  </si>
  <si>
    <t>KEGIATAN DAN PERALATAN TERKAIT PENGENDALIAN RISIKO KESELAMATAN KONSTRUKSI</t>
  </si>
  <si>
    <t>Alat Pemadam Api Ringan APAR) (untuk kelas kebakaran a, b, c, dan d)</t>
  </si>
  <si>
    <t xml:space="preserve">Bendera K3 </t>
  </si>
  <si>
    <t>Pembuatan Kartu Identitas Pekerja (KIP)</t>
  </si>
  <si>
    <t xml:space="preserve">Patroli Keselamatan Konstruksi </t>
  </si>
  <si>
    <t>TOTAL BIAYA</t>
  </si>
  <si>
    <t>sampaikan. Kami ucapkan terima kasih atas perhatian &amp; kerja sama yang diberikan.</t>
  </si>
  <si>
    <t>www.rabotomatis.com</t>
  </si>
  <si>
    <t>DATA</t>
  </si>
  <si>
    <t>REKAP RAB</t>
  </si>
  <si>
    <t>REKAP PEKERJA</t>
  </si>
  <si>
    <t>BOBOT PEKERJAAN</t>
  </si>
  <si>
    <t>KURVA - S</t>
  </si>
  <si>
    <t>DOKUMEN</t>
  </si>
  <si>
    <t>REKAPITULASI</t>
  </si>
  <si>
    <t>AHSP (Analisa Harga Satuan Pekerjaan)</t>
  </si>
  <si>
    <t>HSP (Harga Satuan Pekerjaan)</t>
  </si>
  <si>
    <t>HOME</t>
  </si>
  <si>
    <t>UPAH PEKERJA</t>
  </si>
  <si>
    <t>HITUNG VOLUME PEKERJAAN</t>
  </si>
  <si>
    <t>HITUNG RAB (Rencana Anggaran Biaya)</t>
  </si>
  <si>
    <t>PERITUNGAN TULANGAN</t>
  </si>
  <si>
    <t>RAB SMKK (Komponen Biaya Keselamatan Kerja Konstruksi)</t>
  </si>
  <si>
    <t>DOKUMEN PENAWARAN</t>
  </si>
  <si>
    <t>DOKUMEN CCO (Pekerjaan Tambah Kurang)</t>
  </si>
  <si>
    <t>ABSENSI PEKERJA</t>
  </si>
  <si>
    <t>PANDUAN PENGGUNAAN</t>
  </si>
  <si>
    <t>Galian Type 1</t>
  </si>
  <si>
    <t>Galian Type 2</t>
  </si>
  <si>
    <t>Urugan Tanah</t>
  </si>
  <si>
    <t>Samping Pondasi</t>
  </si>
  <si>
    <t>III. PEKERJAAN PASANGAN &amp; PLESTERAN</t>
  </si>
  <si>
    <t>Batu Kosong/</t>
  </si>
  <si>
    <t>Aanstamping</t>
  </si>
  <si>
    <t>Type 1</t>
  </si>
  <si>
    <t>Type 2</t>
  </si>
  <si>
    <t>Pondasi Batu Gunung Type 1</t>
  </si>
  <si>
    <t>Pondasi Batu Gunung Type 2</t>
  </si>
  <si>
    <t>Batu Kosong/Aanstamping</t>
  </si>
  <si>
    <t>y</t>
  </si>
  <si>
    <t>Dinding (x)</t>
  </si>
  <si>
    <t>Dinding (y)</t>
  </si>
  <si>
    <t>Pintu Depan</t>
  </si>
  <si>
    <t>Jendela Depan 1</t>
  </si>
  <si>
    <t>Jendela Depan 2</t>
  </si>
  <si>
    <t>Pintu Kamar 1</t>
  </si>
  <si>
    <t>Pintu Kamar 2</t>
  </si>
  <si>
    <t>Pintu Kamar Mandi</t>
  </si>
  <si>
    <t>Dinding Kerucut Atap</t>
  </si>
  <si>
    <t>Pintu &amp; Jendela (Faktor Pengurang)</t>
  </si>
  <si>
    <t>2 sisi</t>
  </si>
  <si>
    <t>Pasangan Dinding x2 (dikali 2)</t>
  </si>
  <si>
    <t>v</t>
  </si>
  <si>
    <t>IV. PEKERJAAN BETON</t>
  </si>
  <si>
    <t>1.1</t>
  </si>
  <si>
    <t>Besi 8</t>
  </si>
  <si>
    <t>h</t>
  </si>
  <si>
    <t>over</t>
  </si>
  <si>
    <t>Panjang Sengkang</t>
  </si>
  <si>
    <t>p. sloof</t>
  </si>
  <si>
    <t>Jarak</t>
  </si>
  <si>
    <t>Besi 6</t>
  </si>
  <si>
    <t>1.2</t>
  </si>
  <si>
    <t>Volume Bekisting</t>
  </si>
  <si>
    <t>1.3</t>
  </si>
  <si>
    <t>2.1</t>
  </si>
  <si>
    <t>Kolom Praktis 15x15</t>
  </si>
  <si>
    <t>kolom</t>
  </si>
  <si>
    <t>Besi diameter 8mm</t>
  </si>
  <si>
    <t>Besi diameter 6mm</t>
  </si>
  <si>
    <t>Kebutuhan besi (batang)</t>
  </si>
  <si>
    <t>Kebutuhan Besi (kg)</t>
  </si>
  <si>
    <t>Volume Total Pembesian Sloof 20x25 (Kg)</t>
  </si>
  <si>
    <t>Volume Total Kolom Praktis 15x15 (Kg)</t>
  </si>
  <si>
    <t>j. kolom</t>
  </si>
  <si>
    <t>Ring Balk 15x15 cm</t>
  </si>
  <si>
    <t>Panjang RingBalk</t>
  </si>
  <si>
    <t>ringbalk</t>
  </si>
  <si>
    <t>3.1</t>
  </si>
  <si>
    <t>Jumlah Besi Arah Samping</t>
  </si>
  <si>
    <t>Total Panjang Besi Arah Samping</t>
  </si>
  <si>
    <t>Jumlah Besi Arah Depan</t>
  </si>
  <si>
    <t>Total Panjang Besi Arah Depan</t>
  </si>
  <si>
    <t>Total Kebutuhan Besi (p)</t>
  </si>
  <si>
    <t>Kebutuhan Besi (Kg)</t>
  </si>
  <si>
    <t>Kebutuhan Besi (Batang)</t>
  </si>
  <si>
    <t>Besi 10</t>
  </si>
  <si>
    <t>3.2</t>
  </si>
  <si>
    <t>3.3</t>
  </si>
  <si>
    <t>Berat</t>
  </si>
  <si>
    <t>4.1</t>
  </si>
  <si>
    <t>4.2</t>
  </si>
  <si>
    <t>4.3</t>
  </si>
  <si>
    <t>tb</t>
  </si>
  <si>
    <t>Type Kusen P1</t>
  </si>
  <si>
    <t>Type Kusen P2</t>
  </si>
  <si>
    <t>V. PEKERJAAN ATAP &amp; PLAFOND</t>
  </si>
  <si>
    <t>VI. PEKERJAAN KUSEN, PINTU &amp; JENDELA</t>
  </si>
  <si>
    <t>Type Kusen J1</t>
  </si>
  <si>
    <t>Type Kusen J2</t>
  </si>
  <si>
    <t>a.</t>
  </si>
  <si>
    <t>b.</t>
  </si>
  <si>
    <t>c.</t>
  </si>
  <si>
    <t>d.</t>
  </si>
  <si>
    <t>e.</t>
  </si>
  <si>
    <t>f.</t>
  </si>
  <si>
    <t>g.</t>
  </si>
  <si>
    <t>VII. PEKERJAAN LANTAI &amp; KERAMIK</t>
  </si>
  <si>
    <t>Pasangan Keramik 40x40</t>
  </si>
  <si>
    <t>Kamar Mandi</t>
  </si>
  <si>
    <t>Luas Teras Depan</t>
  </si>
  <si>
    <t>Taman Belakang (Faktor Pengurang)</t>
  </si>
  <si>
    <t>Kamar Mandi (Faktor Pengurang)</t>
  </si>
  <si>
    <t>Pasangan Keramik 25x25</t>
  </si>
  <si>
    <t>VIII. PEKERJAAN PENGGANTUNG &amp; PENGUNCI</t>
  </si>
  <si>
    <t>IX. PEKERJAAN INSTALASI LISTRIK &amp; AIR</t>
  </si>
  <si>
    <t>X. PEKERJAAN FINISHING</t>
  </si>
  <si>
    <t>Pengecatan Tembok</t>
  </si>
  <si>
    <t>Volume sama dengan luas acian</t>
  </si>
  <si>
    <t>Pengecatan Plafond</t>
  </si>
  <si>
    <t>Volume sama dengan luas plafond</t>
  </si>
  <si>
    <t>Kayu Kusen &amp; Jelusi</t>
  </si>
  <si>
    <t>Listplank</t>
  </si>
  <si>
    <t>lb1</t>
  </si>
  <si>
    <t>lb2</t>
  </si>
  <si>
    <t>lb3</t>
  </si>
  <si>
    <t>XI. PEKERJAAN SEPTICTANK &amp; PERESAPAN</t>
  </si>
  <si>
    <t>Plesteran Trasram</t>
  </si>
  <si>
    <t>Galian</t>
  </si>
  <si>
    <t>Tanah</t>
  </si>
  <si>
    <t>Trasram</t>
  </si>
  <si>
    <t>jumlah</t>
  </si>
  <si>
    <t>Septictank (Sama dengan plesteran trasram)</t>
  </si>
  <si>
    <t>Bawah Pondasi</t>
  </si>
  <si>
    <t>Urugan Tanah Samping Pondasi (1/4 Galian Tanah)</t>
  </si>
  <si>
    <t>Tinggi urugan pasir bawah lantai</t>
  </si>
  <si>
    <t>Panjang Galian Type 1</t>
  </si>
  <si>
    <t>Panjang Galian Type 2</t>
  </si>
  <si>
    <t>Pondasi Batu Gunung</t>
  </si>
  <si>
    <t>Dinding</t>
  </si>
  <si>
    <t>(y)</t>
  </si>
  <si>
    <t>Dinding Kerucut (atap)</t>
  </si>
  <si>
    <t>Tinggi Dinding</t>
  </si>
  <si>
    <t>Luas Dinding</t>
  </si>
  <si>
    <t>Jumlah Besi Utama Diameter 8mm</t>
  </si>
  <si>
    <t>Jarak Sengkang</t>
  </si>
  <si>
    <t>Jumlah Kolom</t>
  </si>
  <si>
    <t>t. kolom</t>
  </si>
  <si>
    <t xml:space="preserve">Cosinus </t>
  </si>
  <si>
    <t>Kemiringan Atap</t>
  </si>
  <si>
    <r>
      <t xml:space="preserve">Jumlah Total </t>
    </r>
    <r>
      <rPr>
        <sz val="10"/>
        <color theme="1"/>
        <rFont val="Calibri"/>
        <family val="2"/>
        <scheme val="minor"/>
      </rPr>
      <t>(I + II + III + IV + V + VI + VII + VIII + IX + X + XI + XII)</t>
    </r>
  </si>
  <si>
    <t>Berat Besi Per m'</t>
  </si>
  <si>
    <t xml:space="preserve">Jika jenis konstruksi tidak terdapat dalam pelaksanaan pembangunan, anda dapat meng_HIDE row atau cell pada bagian tersebut untuk meminimalkan </t>
  </si>
  <si>
    <t xml:space="preserve">Jika terdapat jenis pekerjaan baru, maka anda harus me_rang sendiri dengan membuat hubungan-hubungan antar sheet </t>
  </si>
  <si>
    <t xml:space="preserve">sesuai dengan metode yang ada dan menggunakan analisa yang benar. Hingga akhirnya pekerjaan tersebut dapat termuat muali dari harga satuan pekerjaan </t>
  </si>
  <si>
    <t>sampai dengan daftar rekapitulasi sesuai dengan jenis pekerjaan.</t>
  </si>
  <si>
    <t>Input Volume Pekerjaan</t>
  </si>
  <si>
    <t>I.</t>
  </si>
  <si>
    <t>Daftar Harga</t>
  </si>
  <si>
    <t>Jika anda memasukkan jenis material baru pada daftar harga bahan dan satuan upah, maka material tersebut tidak akan terdeteksi pada sistem range.</t>
  </si>
  <si>
    <t>II.</t>
  </si>
  <si>
    <t>Harga Satuan Pekerjaan</t>
  </si>
  <si>
    <t>Pada daftar satuan pekerjaan, koefesien yang ada diambil dari analisa yang telah dilakukan dan berdasarkan SNI No 03-2835-2002 Edisi Revisi.</t>
  </si>
  <si>
    <t xml:space="preserve">Jika terdapat perubahan pada sheet volume pekerjaan atau harga bahan dan upah, maka secara otomatis nilai harga satuan pekerjaan akan berubah </t>
  </si>
  <si>
    <t xml:space="preserve">Jika memang terdapat jenis pekerjaan baru atau analisa yang digunakan sudah tidak sesuai dengan keadaan, maka pengguna dapat memanfaatkan data yang </t>
  </si>
  <si>
    <t>III.</t>
  </si>
  <si>
    <t xml:space="preserve">Jika terdapat perubahan pada sheet volume pekerjaan/harga bahan dan upah/harga satuan pekerjaan, maka secara otomatis nilai RABpun akan berubah sesuai </t>
  </si>
  <si>
    <t>IV.</t>
  </si>
  <si>
    <t xml:space="preserve">Nilai Rekapitulasi secara otomatis akan mengikuti perubahan-perubahan yang dilakukan pada sheet-sheet yang lain. </t>
  </si>
  <si>
    <t>V.</t>
  </si>
  <si>
    <t>Jika terjadi perubahan pada jenis material yang digunakan, maka anda harus melakukan penghitungan ulang ada sheet ini untuk penyesuaian.</t>
  </si>
  <si>
    <t>Sebelum melakukan print out pada seet ini, sebaiknya anda mengcek ulang seluruh data yang ada.</t>
  </si>
  <si>
    <t>VI.</t>
  </si>
  <si>
    <t>Time Schedule dan Kurva "S" pada sheet ini telah terhubung secara langung dengan sheet rekapitulasi.</t>
  </si>
  <si>
    <t xml:space="preserve">Kurva "S" akan berubah mengikuti data-data terbaru, dan jika kurva S yang ada tidak membentuk kurva yang baik lagi, maka anda dapat </t>
  </si>
  <si>
    <t>melakukan penyesuaian ulang dengan cara membagi presentasi bobot pekerjaan per minggu hingga membentuk kurva yang sesuai.</t>
  </si>
  <si>
    <t xml:space="preserve">Jumlah minggu pada time schedule tidak dapat berubah secara langsung, sehingga jika rencana pelaksanaan pembangunan berubah, maka anda harus </t>
  </si>
  <si>
    <t xml:space="preserve">Untuk menesuaikan perhitungan dengan kebutuhan yang sebenarnya, maka pada sheet ini anda diharapkan dapat mengisi sendiri diameter tulangan dan </t>
  </si>
  <si>
    <t xml:space="preserve">banyaknya tulangan yang digunakan pada kolom yang berwarna hjau. Dengan demikian data-data yang baru tersebut akan memperbaharui/mengganti </t>
  </si>
  <si>
    <t xml:space="preserve">Angka "1" pada perhitungan tulangan pokok dan Ø 15 pada perhitungan tulangan begel/sengkang memiliki arti bahwa jenis konstrruksi tersebut </t>
  </si>
  <si>
    <t>tidak digunakan pada pelaksanaan pembangunan.Namun anda tetap data-data yang ada telah terhubung langsung pada sheet harga satuan pekerjaan,</t>
  </si>
  <si>
    <t>Jika angka pada kolom yang berwarna merah muda tidak terdeteksi, anda dapat mengisikan sendiri nilai dari berat tulangan per meter panjang dari diameter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</si>
</sst>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2" formatCode="_-&quot;Rp&quot;* #,##0_-;\-&quot;Rp&quot;* #,##0_-;_-&quot;Rp&quot;* &quot;-&quot;_-;_-@_-"/>
    <numFmt numFmtId="41" formatCode="_-* #,##0_-;\-* #,##0_-;_-* &quot;-&quot;_-;_-@_-"/>
    <numFmt numFmtId="44" formatCode="_-&quot;Rp&quot;* #,##0.00_-;\-&quot;Rp&quot;* #,##0.00_-;_-&quot;Rp&quot;* &quot;-&quot;??_-;_-@_-"/>
    <numFmt numFmtId="43" formatCode="_-* #,##0.00_-;\-* #,##0.00_-;_-* &quot;-&quot;??_-;_-@_-"/>
    <numFmt numFmtId="164" formatCode="_(* #,##0_);_(* \(#,##0\);_(* &quot;-&quot;_);_(@_)"/>
    <numFmt numFmtId="165" formatCode="_(* #,##0.00_);_(* \(#,##0.00\);_(* &quot;-&quot;??_);_(@_)"/>
    <numFmt numFmtId="166" formatCode="_(* #,##0.00_);_(* \(#,##0.00\);_(* &quot;-&quot;_);_(@_)"/>
    <numFmt numFmtId="167" formatCode="_(* #,##0.00_);_(* \(#,##0.00\);_(* &quot;-&quot;????_);_(@_)"/>
    <numFmt numFmtId="168" formatCode="0.0000"/>
    <numFmt numFmtId="169" formatCode="_(* #,##0.000_);_(* \(#,##0.000\);_(* &quot;-&quot;_);_(@_)"/>
    <numFmt numFmtId="170" formatCode="_(* #,##0.0000_);_(* \(#,##0.0000\);_(* &quot;-&quot;_);_(@_)"/>
    <numFmt numFmtId="171" formatCode="#.##0"/>
    <numFmt numFmtId="172" formatCode="0.000"/>
    <numFmt numFmtId="173" formatCode="_([$Rp-421]* #,##0_);_([$Rp-421]* \(#,##0\);_([$Rp-421]* &quot;-&quot;_);_(@_)"/>
    <numFmt numFmtId="174" formatCode="_-[$Rp.-421]* #,##0.00_-;\-[$Rp-421]* #,##0.00_-;_-[$Rp-421]* &quot;-&quot;??_-;_-@_-"/>
    <numFmt numFmtId="175" formatCode="_-* #,##0.00_-;\-* #,##0.00_-;_-* &quot;-&quot;_-;_-@_-"/>
    <numFmt numFmtId="176" formatCode="_ * #,##0.0000_ ;_ * \-#,##0.0000_ ;_ * &quot;-&quot;????_ ;_ @_ "/>
    <numFmt numFmtId="177" formatCode="0.0"/>
    <numFmt numFmtId="178" formatCode="#,##0.0000"/>
    <numFmt numFmtId="179" formatCode="#,##0.0"/>
    <numFmt numFmtId="180" formatCode="_-[$Rp-421]* #,##0.00_-;_-[$Rp-421]* \-#,##0.00_-;_-[$Rp-421]* &quot;-&quot;??_-;_-@"/>
    <numFmt numFmtId="181" formatCode="dd"/>
    <numFmt numFmtId="182" formatCode="_-[$Rp-421]* #,##0_-;_-[$Rp-421]* \-#,##0_-;_-[$Rp-421]* &quot;-&quot;??_-;_-@"/>
  </numFmts>
  <fonts count="87">
    <font>
      <sz val="11"/>
      <color theme="1"/>
      <name val="Calibri"/>
      <family val="2"/>
      <scheme val="minor"/>
    </font>
    <font>
      <b/>
      <sz val="11"/>
      <color theme="1"/>
      <name val="Calibri"/>
      <family val="2"/>
      <scheme val="minor"/>
    </font>
    <font>
      <b/>
      <sz val="12"/>
      <color theme="1"/>
      <name val="Calibri"/>
      <family val="2"/>
      <scheme val="minor"/>
    </font>
    <font>
      <sz val="9"/>
      <color indexed="81"/>
      <name val="Tahoma"/>
      <family val="2"/>
    </font>
    <font>
      <b/>
      <sz val="9"/>
      <color indexed="81"/>
      <name val="Tahoma"/>
      <family val="2"/>
    </font>
    <font>
      <sz val="11"/>
      <color theme="1"/>
      <name val="Calibri"/>
      <family val="2"/>
      <scheme val="minor"/>
    </font>
    <font>
      <sz val="11"/>
      <color theme="1"/>
      <name val="Calibri"/>
      <family val="2"/>
      <charset val="1"/>
      <scheme val="minor"/>
    </font>
    <font>
      <sz val="10"/>
      <name val="Arial"/>
      <family val="2"/>
    </font>
    <font>
      <sz val="11"/>
      <color indexed="8"/>
      <name val="Calibri"/>
      <family val="2"/>
      <charset val="1"/>
    </font>
    <font>
      <sz val="8"/>
      <name val="Calibri"/>
      <family val="2"/>
      <scheme val="minor"/>
    </font>
    <font>
      <b/>
      <sz val="8"/>
      <color indexed="81"/>
      <name val="Tahoma"/>
      <family val="2"/>
    </font>
    <font>
      <sz val="8"/>
      <color indexed="81"/>
      <name val="Tahoma"/>
      <family val="2"/>
    </font>
    <font>
      <u/>
      <sz val="10"/>
      <color indexed="12"/>
      <name val="Arial"/>
      <family val="2"/>
    </font>
    <font>
      <sz val="10"/>
      <color theme="1"/>
      <name val="Calibri Light"/>
      <family val="2"/>
      <scheme val="major"/>
    </font>
    <font>
      <b/>
      <sz val="10"/>
      <color theme="1"/>
      <name val="Calibri Light"/>
      <family val="2"/>
      <scheme val="major"/>
    </font>
    <font>
      <sz val="11"/>
      <color rgb="FF000000"/>
      <name val="Calibri Light"/>
      <family val="2"/>
      <scheme val="major"/>
    </font>
    <font>
      <sz val="11"/>
      <color theme="1"/>
      <name val="Calibri Light"/>
      <family val="2"/>
      <scheme val="major"/>
    </font>
    <font>
      <b/>
      <sz val="10"/>
      <name val="Calibri Light"/>
      <family val="2"/>
      <scheme val="major"/>
    </font>
    <font>
      <sz val="10"/>
      <name val="Calibri Light"/>
      <family val="2"/>
      <scheme val="major"/>
    </font>
    <font>
      <sz val="11"/>
      <name val="Calibri Light"/>
      <family val="2"/>
      <scheme val="major"/>
    </font>
    <font>
      <b/>
      <sz val="11"/>
      <color theme="1"/>
      <name val="Calibri Light"/>
      <family val="2"/>
      <scheme val="major"/>
    </font>
    <font>
      <sz val="9"/>
      <color theme="1"/>
      <name val="Calibri Light"/>
      <family val="2"/>
      <scheme val="major"/>
    </font>
    <font>
      <b/>
      <sz val="14"/>
      <color theme="1"/>
      <name val="Calibri Light"/>
      <family val="2"/>
      <scheme val="major"/>
    </font>
    <font>
      <b/>
      <sz val="12"/>
      <color theme="1"/>
      <name val="Calibri Light"/>
      <family val="2"/>
      <scheme val="major"/>
    </font>
    <font>
      <i/>
      <sz val="11"/>
      <color rgb="FF000000"/>
      <name val="Calibri Light"/>
      <family val="2"/>
      <scheme val="major"/>
    </font>
    <font>
      <b/>
      <u/>
      <sz val="11"/>
      <color theme="1"/>
      <name val="Calibri Light"/>
      <family val="2"/>
      <scheme val="major"/>
    </font>
    <font>
      <b/>
      <sz val="11"/>
      <color rgb="FF000000"/>
      <name val="Calibri Light"/>
      <family val="2"/>
      <scheme val="major"/>
    </font>
    <font>
      <sz val="6"/>
      <color theme="1"/>
      <name val="Calibri Light"/>
      <family val="2"/>
      <scheme val="major"/>
    </font>
    <font>
      <sz val="8"/>
      <color theme="1"/>
      <name val="Calibri Light"/>
      <family val="2"/>
      <scheme val="major"/>
    </font>
    <font>
      <sz val="10"/>
      <color indexed="12"/>
      <name val="Calibri Light"/>
      <family val="2"/>
      <scheme val="major"/>
    </font>
    <font>
      <b/>
      <sz val="11"/>
      <color indexed="12"/>
      <name val="Calibri Light"/>
      <family val="2"/>
      <scheme val="major"/>
    </font>
    <font>
      <sz val="6"/>
      <name val="Calibri Light"/>
      <family val="2"/>
      <scheme val="major"/>
    </font>
    <font>
      <b/>
      <sz val="10"/>
      <color indexed="12"/>
      <name val="Calibri Light"/>
      <family val="2"/>
      <scheme val="major"/>
    </font>
    <font>
      <u/>
      <sz val="10"/>
      <name val="Calibri Light"/>
      <family val="2"/>
      <scheme val="major"/>
    </font>
    <font>
      <sz val="8"/>
      <color theme="1"/>
      <name val="Calibri"/>
      <family val="2"/>
      <scheme val="minor"/>
    </font>
    <font>
      <sz val="11"/>
      <name val="Arial"/>
      <family val="2"/>
    </font>
    <font>
      <sz val="8"/>
      <name val="Calibri Light"/>
      <family val="2"/>
      <scheme val="major"/>
    </font>
    <font>
      <b/>
      <sz val="11"/>
      <name val="Calibri Light"/>
      <family val="2"/>
      <scheme val="major"/>
    </font>
    <font>
      <sz val="10"/>
      <color theme="1"/>
      <name val="Calibri"/>
      <family val="2"/>
      <scheme val="minor"/>
    </font>
    <font>
      <b/>
      <sz val="10"/>
      <color theme="1"/>
      <name val="Calibri"/>
      <family val="2"/>
      <scheme val="minor"/>
    </font>
    <font>
      <b/>
      <sz val="11"/>
      <color theme="1"/>
      <name val="Calibri "/>
    </font>
    <font>
      <sz val="11"/>
      <color theme="1"/>
      <name val="Calibri "/>
    </font>
    <font>
      <b/>
      <sz val="11"/>
      <color rgb="FF000000"/>
      <name val="Calibri "/>
    </font>
    <font>
      <sz val="11"/>
      <color rgb="FF000000"/>
      <name val="Calibri "/>
    </font>
    <font>
      <i/>
      <sz val="11"/>
      <color rgb="FF000000"/>
      <name val="Calibri "/>
    </font>
    <font>
      <i/>
      <vertAlign val="superscript"/>
      <sz val="11"/>
      <color rgb="FF000000"/>
      <name val="Calibri "/>
    </font>
    <font>
      <sz val="11"/>
      <name val="Calibri "/>
    </font>
    <font>
      <vertAlign val="superscript"/>
      <sz val="11"/>
      <color rgb="FF000000"/>
      <name val="Calibri "/>
    </font>
    <font>
      <b/>
      <sz val="11"/>
      <name val="Calibri "/>
    </font>
    <font>
      <b/>
      <sz val="16"/>
      <color theme="1"/>
      <name val="Calibri"/>
      <family val="2"/>
      <scheme val="minor"/>
    </font>
    <font>
      <b/>
      <sz val="12"/>
      <color theme="1"/>
      <name val="Calibri "/>
    </font>
    <font>
      <b/>
      <sz val="12"/>
      <color theme="0"/>
      <name val="Calibri Light"/>
      <family val="2"/>
      <scheme val="major"/>
    </font>
    <font>
      <b/>
      <sz val="16"/>
      <color theme="0"/>
      <name val="Calibri "/>
    </font>
    <font>
      <sz val="10"/>
      <name val="OPEN SANS"/>
      <family val="2"/>
    </font>
    <font>
      <b/>
      <sz val="10"/>
      <name val="OPEN SANS"/>
      <family val="2"/>
    </font>
    <font>
      <sz val="10"/>
      <color rgb="FFFF0000"/>
      <name val="OPEN SANS"/>
      <family val="2"/>
    </font>
    <font>
      <sz val="10"/>
      <color rgb="FF000000"/>
      <name val="Calibri"/>
      <family val="2"/>
      <scheme val="minor"/>
    </font>
    <font>
      <sz val="11"/>
      <color theme="0"/>
      <name val="Calibri"/>
      <family val="2"/>
      <scheme val="minor"/>
    </font>
    <font>
      <b/>
      <sz val="16"/>
      <color theme="0"/>
      <name val="Calibri Light"/>
      <family val="2"/>
      <scheme val="major"/>
    </font>
    <font>
      <sz val="10"/>
      <name val="Calibri "/>
    </font>
    <font>
      <b/>
      <i/>
      <sz val="10"/>
      <name val="Calibri "/>
    </font>
    <font>
      <b/>
      <sz val="10"/>
      <color theme="0"/>
      <name val="Calibri "/>
    </font>
    <font>
      <b/>
      <sz val="10"/>
      <color theme="3"/>
      <name val="Calibri "/>
    </font>
    <font>
      <sz val="10"/>
      <color rgb="FFFF0000"/>
      <name val="Calibri "/>
    </font>
    <font>
      <b/>
      <sz val="10"/>
      <color indexed="8"/>
      <name val="Calibri "/>
    </font>
    <font>
      <b/>
      <sz val="10"/>
      <name val="Calibri "/>
    </font>
    <font>
      <i/>
      <sz val="10"/>
      <color indexed="8"/>
      <name val="Calibri "/>
    </font>
    <font>
      <i/>
      <sz val="10"/>
      <name val="Calibri "/>
    </font>
    <font>
      <sz val="10"/>
      <color theme="6" tint="0.79998168889431442"/>
      <name val="Calibri "/>
    </font>
    <font>
      <i/>
      <sz val="10"/>
      <color rgb="FFFF0000"/>
      <name val="Calibri "/>
    </font>
    <font>
      <sz val="10"/>
      <name val="Calibri"/>
      <family val="2"/>
      <scheme val="minor"/>
    </font>
    <font>
      <b/>
      <sz val="10"/>
      <name val="Calibri"/>
      <family val="2"/>
      <scheme val="minor"/>
    </font>
    <font>
      <u/>
      <sz val="11"/>
      <color theme="1"/>
      <name val="Calibri"/>
      <family val="2"/>
      <scheme val="minor"/>
    </font>
    <font>
      <b/>
      <sz val="14"/>
      <color theme="0"/>
      <name val="Calibri "/>
    </font>
    <font>
      <b/>
      <sz val="12"/>
      <name val="OPEN SANS"/>
      <family val="2"/>
    </font>
    <font>
      <u/>
      <sz val="10"/>
      <name val="OPEN SANS"/>
      <family val="2"/>
    </font>
    <font>
      <sz val="8"/>
      <color rgb="FFFF0000"/>
      <name val="OPEN SANS"/>
      <family val="2"/>
    </font>
    <font>
      <sz val="11"/>
      <color rgb="FFFF0000"/>
      <name val="Calibri"/>
      <family val="2"/>
      <scheme val="minor"/>
    </font>
    <font>
      <sz val="8"/>
      <name val="OPEN SANS"/>
      <family val="2"/>
    </font>
    <font>
      <sz val="10"/>
      <color rgb="FFFF0000"/>
      <name val="Calibri Light"/>
      <family val="2"/>
      <scheme val="major"/>
    </font>
    <font>
      <b/>
      <sz val="10"/>
      <color rgb="FFFF0000"/>
      <name val="Calibri Light"/>
      <family val="2"/>
      <scheme val="major"/>
    </font>
    <font>
      <b/>
      <sz val="8"/>
      <color rgb="FFFF0000"/>
      <name val="Calibri Light"/>
      <family val="2"/>
      <scheme val="major"/>
    </font>
    <font>
      <b/>
      <sz val="16"/>
      <color rgb="FFFF0000"/>
      <name val="Calibri Light"/>
      <family val="2"/>
      <scheme val="major"/>
    </font>
    <font>
      <sz val="10"/>
      <color rgb="FFFF0000"/>
      <name val="Calibri"/>
      <family val="2"/>
      <scheme val="minor"/>
    </font>
    <font>
      <b/>
      <sz val="16"/>
      <color rgb="FFFF0000"/>
      <name val="Calibri"/>
      <family val="2"/>
      <scheme val="minor"/>
    </font>
    <font>
      <b/>
      <sz val="10"/>
      <color rgb="FFFF0000"/>
      <name val="Calibri"/>
      <family val="2"/>
      <scheme val="minor"/>
    </font>
    <font>
      <b/>
      <sz val="1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41"/>
        <bgColor indexed="64"/>
      </patternFill>
    </fill>
    <fill>
      <patternFill patternType="solid">
        <fgColor indexed="23"/>
        <bgColor indexed="64"/>
      </patternFill>
    </fill>
    <fill>
      <patternFill patternType="solid">
        <fgColor theme="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1F4E78"/>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3F3F3"/>
        <bgColor rgb="FFF3F3F3"/>
      </patternFill>
    </fill>
    <fill>
      <patternFill patternType="solid">
        <fgColor rgb="FFD9EAD3"/>
        <bgColor rgb="FFD9EAD3"/>
      </patternFill>
    </fill>
    <fill>
      <patternFill patternType="solid">
        <fgColor theme="9" tint="0.79998168889431442"/>
        <bgColor rgb="FFB6D7A8"/>
      </patternFill>
    </fill>
  </fills>
  <borders count="119">
    <border>
      <left/>
      <right/>
      <top/>
      <bottom/>
      <diagonal/>
    </border>
    <border>
      <left style="double">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double">
        <color auto="1"/>
      </right>
      <top style="hair">
        <color auto="1"/>
      </top>
      <bottom style="hair">
        <color auto="1"/>
      </bottom>
      <diagonal/>
    </border>
    <border>
      <left style="double">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double">
        <color auto="1"/>
      </right>
      <top/>
      <bottom style="hair">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double">
        <color auto="1"/>
      </top>
      <bottom style="hair">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
      <left style="thin">
        <color auto="1"/>
      </left>
      <right style="thin">
        <color auto="1"/>
      </right>
      <top style="hair">
        <color auto="1"/>
      </top>
      <bottom/>
      <diagonal/>
    </border>
    <border>
      <left/>
      <right/>
      <top style="hair">
        <color auto="1"/>
      </top>
      <bottom style="thin">
        <color indexed="64"/>
      </bottom>
      <diagonal/>
    </border>
    <border>
      <left/>
      <right/>
      <top/>
      <bottom style="hair">
        <color auto="1"/>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double">
        <color auto="1"/>
      </top>
      <bottom/>
      <diagonal/>
    </border>
    <border>
      <left/>
      <right style="thin">
        <color auto="1"/>
      </right>
      <top style="double">
        <color auto="1"/>
      </top>
      <bottom/>
      <diagonal/>
    </border>
    <border>
      <left/>
      <right/>
      <top style="medium">
        <color auto="1"/>
      </top>
      <bottom style="medium">
        <color auto="1"/>
      </bottom>
      <diagonal/>
    </border>
    <border>
      <left style="thin">
        <color indexed="64"/>
      </left>
      <right style="thin">
        <color indexed="64"/>
      </right>
      <top style="hair">
        <color indexed="64"/>
      </top>
      <bottom style="thin">
        <color indexed="64"/>
      </bottom>
      <diagonal/>
    </border>
    <border>
      <left style="thin">
        <color auto="1"/>
      </left>
      <right style="double">
        <color auto="1"/>
      </right>
      <top style="hair">
        <color auto="1"/>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thin">
        <color auto="1"/>
      </right>
      <top style="thin">
        <color auto="1"/>
      </top>
      <bottom style="medium">
        <color auto="1"/>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auto="1"/>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auto="1"/>
      </right>
      <top/>
      <bottom style="medium">
        <color indexed="64"/>
      </bottom>
      <diagonal/>
    </border>
    <border>
      <left style="thin">
        <color auto="1"/>
      </left>
      <right style="thin">
        <color auto="1"/>
      </right>
      <top/>
      <bottom style="medium">
        <color auto="1"/>
      </bottom>
      <diagonal/>
    </border>
    <border>
      <left style="thin">
        <color auto="1"/>
      </left>
      <right style="medium">
        <color indexed="64"/>
      </right>
      <top/>
      <bottom style="medium">
        <color indexed="64"/>
      </bottom>
      <diagonal/>
    </border>
    <border>
      <left/>
      <right/>
      <top/>
      <bottom style="thin">
        <color indexed="64"/>
      </bottom>
      <diagonal/>
    </border>
    <border>
      <left/>
      <right style="thin">
        <color auto="1"/>
      </right>
      <top style="thin">
        <color auto="1"/>
      </top>
      <bottom style="thin">
        <color auto="1"/>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indexed="64"/>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style="double">
        <color auto="1"/>
      </right>
      <top style="double">
        <color auto="1"/>
      </top>
      <bottom/>
      <diagonal/>
    </border>
    <border>
      <left style="thin">
        <color auto="1"/>
      </left>
      <right/>
      <top style="hair">
        <color auto="1"/>
      </top>
      <bottom style="thin">
        <color indexed="64"/>
      </bottom>
      <diagonal/>
    </border>
    <border>
      <left/>
      <right style="thin">
        <color auto="1"/>
      </right>
      <top style="hair">
        <color auto="1"/>
      </top>
      <bottom style="thin">
        <color indexed="64"/>
      </bottom>
      <diagonal/>
    </border>
    <border>
      <left style="double">
        <color auto="1"/>
      </left>
      <right style="thin">
        <color auto="1"/>
      </right>
      <top style="hair">
        <color auto="1"/>
      </top>
      <bottom style="thin">
        <color indexed="64"/>
      </bottom>
      <diagonal/>
    </border>
    <border>
      <left/>
      <right/>
      <top style="thin">
        <color indexed="64"/>
      </top>
      <bottom/>
      <diagonal/>
    </border>
    <border>
      <left/>
      <right/>
      <top/>
      <bottom style="double">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style="medium">
        <color auto="1"/>
      </right>
      <top style="hair">
        <color auto="1"/>
      </top>
      <bottom style="medium">
        <color auto="1"/>
      </bottom>
      <diagonal/>
    </border>
    <border>
      <left style="thin">
        <color auto="1"/>
      </left>
      <right/>
      <top style="double">
        <color auto="1"/>
      </top>
      <bottom style="thin">
        <color auto="1"/>
      </bottom>
      <diagonal/>
    </border>
    <border>
      <left style="thin">
        <color auto="1"/>
      </left>
      <right style="double">
        <color auto="1"/>
      </right>
      <top/>
      <bottom style="double">
        <color auto="1"/>
      </bottom>
      <diagonal/>
    </border>
    <border>
      <left style="thin">
        <color auto="1"/>
      </left>
      <right style="thin">
        <color auto="1"/>
      </right>
      <top style="double">
        <color auto="1"/>
      </top>
      <bottom style="hair">
        <color auto="1"/>
      </bottom>
      <diagonal/>
    </border>
    <border>
      <left/>
      <right style="thin">
        <color indexed="64"/>
      </right>
      <top style="thin">
        <color indexed="64"/>
      </top>
      <bottom/>
      <diagonal/>
    </border>
    <border>
      <left style="medium">
        <color auto="1"/>
      </left>
      <right style="thin">
        <color auto="1"/>
      </right>
      <top style="medium">
        <color auto="1"/>
      </top>
      <bottom style="hair">
        <color auto="1"/>
      </bottom>
      <diagonal/>
    </border>
    <border>
      <left style="thin">
        <color auto="1"/>
      </left>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indexed="64"/>
      </right>
      <top style="medium">
        <color auto="1"/>
      </top>
      <bottom style="hair">
        <color auto="1"/>
      </bottom>
      <diagonal/>
    </border>
    <border>
      <left style="thin">
        <color indexed="64"/>
      </left>
      <right style="thin">
        <color auto="1"/>
      </right>
      <top style="thin">
        <color indexed="64"/>
      </top>
      <bottom style="hair">
        <color auto="1"/>
      </bottom>
      <diagonal/>
    </border>
    <border>
      <left style="thin">
        <color auto="1"/>
      </left>
      <right/>
      <top style="thin">
        <color indexed="64"/>
      </top>
      <bottom/>
      <diagonal/>
    </border>
    <border>
      <left/>
      <right style="thin">
        <color auto="1"/>
      </right>
      <top/>
      <bottom/>
      <diagonal/>
    </border>
    <border>
      <left style="thin">
        <color auto="1"/>
      </left>
      <right/>
      <top/>
      <bottom style="double">
        <color indexed="64"/>
      </bottom>
      <diagonal/>
    </border>
    <border>
      <left/>
      <right style="thin">
        <color auto="1"/>
      </right>
      <top/>
      <bottom style="double">
        <color indexed="64"/>
      </bottom>
      <diagonal/>
    </border>
    <border>
      <left/>
      <right/>
      <top style="thin">
        <color indexed="64"/>
      </top>
      <bottom style="thin">
        <color indexed="64"/>
      </bottom>
      <diagonal/>
    </border>
    <border>
      <left style="thin">
        <color auto="1"/>
      </left>
      <right/>
      <top style="medium">
        <color indexed="64"/>
      </top>
      <bottom style="thin">
        <color auto="1"/>
      </bottom>
      <diagonal/>
    </border>
    <border>
      <left style="thin">
        <color auto="1"/>
      </left>
      <right style="medium">
        <color indexed="64"/>
      </right>
      <top style="medium">
        <color indexed="64"/>
      </top>
      <bottom/>
      <diagonal/>
    </border>
    <border>
      <left style="thin">
        <color auto="1"/>
      </left>
      <right/>
      <top style="thin">
        <color auto="1"/>
      </top>
      <bottom style="medium">
        <color indexed="64"/>
      </bottom>
      <diagonal/>
    </border>
    <border>
      <left style="thin">
        <color auto="1"/>
      </left>
      <right style="medium">
        <color indexed="64"/>
      </right>
      <top style="hair">
        <color auto="1"/>
      </top>
      <bottom style="thin">
        <color indexed="64"/>
      </bottom>
      <diagonal/>
    </border>
    <border>
      <left style="medium">
        <color indexed="64"/>
      </left>
      <right style="thin">
        <color auto="1"/>
      </right>
      <top style="hair">
        <color auto="1"/>
      </top>
      <bottom style="thin">
        <color indexed="64"/>
      </bottom>
      <diagonal/>
    </border>
    <border>
      <left style="medium">
        <color indexed="64"/>
      </left>
      <right/>
      <top style="hair">
        <color auto="1"/>
      </top>
      <bottom style="hair">
        <color auto="1"/>
      </bottom>
      <diagonal/>
    </border>
    <border>
      <left/>
      <right/>
      <top style="hair">
        <color auto="1"/>
      </top>
      <bottom style="medium">
        <color indexed="64"/>
      </bottom>
      <diagonal/>
    </border>
    <border>
      <left/>
      <right style="thin">
        <color auto="1"/>
      </right>
      <top style="hair">
        <color auto="1"/>
      </top>
      <bottom style="medium">
        <color indexed="64"/>
      </bottom>
      <diagonal/>
    </border>
    <border>
      <left style="thin">
        <color auto="1"/>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FF0000"/>
      </left>
      <right style="thin">
        <color rgb="FFFF0000"/>
      </right>
      <top style="thin">
        <color rgb="FFFF0000"/>
      </top>
      <bottom style="thin">
        <color rgb="FFFF0000"/>
      </bottom>
      <diagonal/>
    </border>
    <border diagonalDown="1">
      <left style="thin">
        <color auto="1"/>
      </left>
      <right style="thin">
        <color auto="1"/>
      </right>
      <top style="thin">
        <color auto="1"/>
      </top>
      <bottom style="thin">
        <color auto="1"/>
      </bottom>
      <diagonal style="thin">
        <color auto="1"/>
      </diagonal>
    </border>
    <border>
      <left style="thin">
        <color rgb="FFFF0000"/>
      </left>
      <right/>
      <top style="thin">
        <color rgb="FFFF0000"/>
      </top>
      <bottom style="thin">
        <color rgb="FFFF0000"/>
      </bottom>
      <diagonal/>
    </border>
    <border>
      <left/>
      <right style="thin">
        <color rgb="FFFF0000"/>
      </right>
      <top style="thin">
        <color rgb="FFFF0000"/>
      </top>
      <bottom style="thin">
        <color rgb="FFFF0000"/>
      </bottom>
      <diagonal/>
    </border>
  </borders>
  <cellStyleXfs count="11">
    <xf numFmtId="0" fontId="0" fillId="0" borderId="0"/>
    <xf numFmtId="41" fontId="5" fillId="0" borderId="0" applyFont="0" applyFill="0" applyBorder="0" applyAlignment="0" applyProtection="0"/>
    <xf numFmtId="43" fontId="5" fillId="0" borderId="0" applyFont="0" applyFill="0" applyBorder="0" applyAlignment="0" applyProtection="0"/>
    <xf numFmtId="164" fontId="6" fillId="0" borderId="0" applyFont="0" applyFill="0" applyBorder="0" applyAlignment="0" applyProtection="0"/>
    <xf numFmtId="9" fontId="6" fillId="0" borderId="0" applyFont="0" applyFill="0" applyBorder="0" applyAlignment="0" applyProtection="0"/>
    <xf numFmtId="0" fontId="5" fillId="0" borderId="0"/>
    <xf numFmtId="0" fontId="7" fillId="0" borderId="0"/>
    <xf numFmtId="164" fontId="8" fillId="0" borderId="0" applyFont="0" applyFill="0" applyBorder="0" applyAlignment="0" applyProtection="0"/>
    <xf numFmtId="0" fontId="7" fillId="0" borderId="0"/>
    <xf numFmtId="0" fontId="12" fillId="0" borderId="0" applyNumberFormat="0" applyFill="0" applyBorder="0" applyAlignment="0" applyProtection="0">
      <alignment vertical="top"/>
      <protection locked="0"/>
    </xf>
    <xf numFmtId="0" fontId="7" fillId="0" borderId="0"/>
  </cellStyleXfs>
  <cellXfs count="1226">
    <xf numFmtId="0" fontId="0" fillId="0" borderId="0" xfId="0"/>
    <xf numFmtId="0" fontId="16" fillId="6" borderId="0" xfId="0" applyFont="1" applyFill="1" applyAlignment="1">
      <alignment horizontal="center"/>
    </xf>
    <xf numFmtId="0" fontId="16" fillId="6" borderId="0" xfId="0" applyFont="1" applyFill="1"/>
    <xf numFmtId="41" fontId="16" fillId="6" borderId="0" xfId="1" applyFont="1" applyFill="1"/>
    <xf numFmtId="0" fontId="16" fillId="6" borderId="19" xfId="0" applyFont="1" applyFill="1" applyBorder="1"/>
    <xf numFmtId="0" fontId="16" fillId="6" borderId="20" xfId="0" applyFont="1" applyFill="1" applyBorder="1"/>
    <xf numFmtId="0" fontId="16" fillId="6" borderId="21" xfId="0" applyFont="1" applyFill="1" applyBorder="1"/>
    <xf numFmtId="0" fontId="16" fillId="6" borderId="2" xfId="0" applyFont="1" applyFill="1" applyBorder="1"/>
    <xf numFmtId="42" fontId="16" fillId="6" borderId="2" xfId="1" applyNumberFormat="1" applyFont="1" applyFill="1" applyBorder="1" applyAlignment="1"/>
    <xf numFmtId="42" fontId="16" fillId="6" borderId="2" xfId="1" applyNumberFormat="1" applyFont="1" applyFill="1" applyBorder="1"/>
    <xf numFmtId="173" fontId="18" fillId="6" borderId="2" xfId="0" applyNumberFormat="1" applyFont="1" applyFill="1" applyBorder="1"/>
    <xf numFmtId="42" fontId="19" fillId="6" borderId="20" xfId="0" applyNumberFormat="1" applyFont="1" applyFill="1" applyBorder="1"/>
    <xf numFmtId="42" fontId="16" fillId="6" borderId="20" xfId="0" applyNumberFormat="1" applyFont="1" applyFill="1" applyBorder="1"/>
    <xf numFmtId="0" fontId="20" fillId="6" borderId="19" xfId="0" applyFont="1" applyFill="1" applyBorder="1"/>
    <xf numFmtId="49" fontId="15" fillId="6" borderId="19" xfId="0" applyNumberFormat="1" applyFont="1" applyFill="1" applyBorder="1" applyAlignment="1">
      <alignment vertical="center"/>
    </xf>
    <xf numFmtId="49" fontId="15" fillId="6" borderId="20" xfId="0" applyNumberFormat="1" applyFont="1" applyFill="1" applyBorder="1" applyAlignment="1">
      <alignment vertical="center"/>
    </xf>
    <xf numFmtId="0" fontId="19" fillId="6" borderId="19" xfId="6" applyFont="1" applyFill="1" applyBorder="1"/>
    <xf numFmtId="0" fontId="13" fillId="6" borderId="19" xfId="0" applyFont="1" applyFill="1" applyBorder="1"/>
    <xf numFmtId="0" fontId="13" fillId="6" borderId="20" xfId="0" applyFont="1" applyFill="1" applyBorder="1"/>
    <xf numFmtId="0" fontId="13" fillId="6" borderId="21" xfId="0" applyFont="1" applyFill="1" applyBorder="1"/>
    <xf numFmtId="0" fontId="13" fillId="6" borderId="2" xfId="0" applyFont="1" applyFill="1" applyBorder="1"/>
    <xf numFmtId="42" fontId="13" fillId="6" borderId="2" xfId="1" applyNumberFormat="1" applyFont="1" applyFill="1" applyBorder="1"/>
    <xf numFmtId="0" fontId="19" fillId="6" borderId="20" xfId="6" applyFont="1" applyFill="1" applyBorder="1"/>
    <xf numFmtId="0" fontId="16" fillId="6" borderId="19" xfId="0" applyFont="1" applyFill="1" applyBorder="1" applyAlignment="1">
      <alignment vertical="center"/>
    </xf>
    <xf numFmtId="0" fontId="16" fillId="6" borderId="20" xfId="0" applyFont="1" applyFill="1" applyBorder="1" applyAlignment="1">
      <alignment vertical="center"/>
    </xf>
    <xf numFmtId="0" fontId="16" fillId="6" borderId="21" xfId="0" applyFont="1" applyFill="1" applyBorder="1" applyAlignment="1">
      <alignment vertical="center"/>
    </xf>
    <xf numFmtId="0" fontId="16" fillId="6" borderId="2" xfId="0" applyFont="1" applyFill="1" applyBorder="1" applyAlignment="1">
      <alignment horizontal="center" vertical="center"/>
    </xf>
    <xf numFmtId="174" fontId="16" fillId="6" borderId="2" xfId="2" applyNumberFormat="1" applyFont="1" applyFill="1" applyBorder="1" applyAlignment="1">
      <alignment vertical="center"/>
    </xf>
    <xf numFmtId="49" fontId="15" fillId="6" borderId="21" xfId="0" applyNumberFormat="1" applyFont="1" applyFill="1" applyBorder="1" applyAlignment="1">
      <alignment vertical="center"/>
    </xf>
    <xf numFmtId="0" fontId="15" fillId="6" borderId="21" xfId="0" applyFont="1" applyFill="1" applyBorder="1" applyAlignment="1">
      <alignment vertical="center"/>
    </xf>
    <xf numFmtId="0" fontId="15" fillId="6" borderId="20" xfId="0" applyFont="1" applyFill="1" applyBorder="1" applyAlignment="1">
      <alignment vertical="center"/>
    </xf>
    <xf numFmtId="0" fontId="16" fillId="6" borderId="2" xfId="0" applyFont="1" applyFill="1" applyBorder="1" applyAlignment="1">
      <alignment vertical="center"/>
    </xf>
    <xf numFmtId="175" fontId="16" fillId="6" borderId="2" xfId="1" applyNumberFormat="1" applyFont="1" applyFill="1" applyBorder="1" applyAlignment="1">
      <alignment vertical="center"/>
    </xf>
    <xf numFmtId="0" fontId="16" fillId="6" borderId="0" xfId="0" applyFont="1" applyFill="1" applyAlignment="1">
      <alignment vertical="center"/>
    </xf>
    <xf numFmtId="0" fontId="13" fillId="6" borderId="5" xfId="0" applyFont="1" applyFill="1" applyBorder="1"/>
    <xf numFmtId="0" fontId="14" fillId="6" borderId="5" xfId="0" applyFont="1" applyFill="1" applyBorder="1"/>
    <xf numFmtId="0" fontId="13" fillId="6" borderId="2" xfId="0" applyFont="1" applyFill="1" applyBorder="1" applyAlignment="1">
      <alignment horizontal="center"/>
    </xf>
    <xf numFmtId="2" fontId="13" fillId="6" borderId="2" xfId="0" applyNumberFormat="1" applyFont="1" applyFill="1" applyBorder="1"/>
    <xf numFmtId="0" fontId="13" fillId="6" borderId="33" xfId="0" applyFont="1" applyFill="1" applyBorder="1"/>
    <xf numFmtId="0" fontId="13" fillId="6" borderId="33" xfId="0" applyFont="1" applyFill="1" applyBorder="1" applyAlignment="1">
      <alignment horizontal="center"/>
    </xf>
    <xf numFmtId="2" fontId="13" fillId="6" borderId="33" xfId="0" applyNumberFormat="1" applyFont="1" applyFill="1" applyBorder="1"/>
    <xf numFmtId="0" fontId="27" fillId="6" borderId="11" xfId="0" applyFont="1" applyFill="1" applyBorder="1" applyAlignment="1">
      <alignment horizontal="center" vertical="center"/>
    </xf>
    <xf numFmtId="42" fontId="13" fillId="6" borderId="2" xfId="0" applyNumberFormat="1" applyFont="1" applyFill="1" applyBorder="1"/>
    <xf numFmtId="42" fontId="13" fillId="6" borderId="33" xfId="0" applyNumberFormat="1" applyFont="1" applyFill="1" applyBorder="1"/>
    <xf numFmtId="0" fontId="16" fillId="6" borderId="5" xfId="0" applyFont="1" applyFill="1" applyBorder="1" applyAlignment="1">
      <alignment horizontal="center"/>
    </xf>
    <xf numFmtId="0" fontId="16" fillId="6" borderId="2" xfId="0" applyFont="1" applyFill="1" applyBorder="1" applyAlignment="1">
      <alignment horizontal="center"/>
    </xf>
    <xf numFmtId="0" fontId="16" fillId="6" borderId="33" xfId="0" applyFont="1" applyFill="1" applyBorder="1" applyAlignment="1">
      <alignment horizontal="center"/>
    </xf>
    <xf numFmtId="0" fontId="16" fillId="6" borderId="90" xfId="0" applyFont="1" applyFill="1" applyBorder="1"/>
    <xf numFmtId="0" fontId="16" fillId="6" borderId="75" xfId="0" applyFont="1" applyFill="1" applyBorder="1"/>
    <xf numFmtId="0" fontId="16" fillId="6" borderId="75" xfId="0" applyFont="1" applyFill="1" applyBorder="1" applyAlignment="1">
      <alignment horizontal="center"/>
    </xf>
    <xf numFmtId="0" fontId="20" fillId="6" borderId="75" xfId="0" applyFont="1" applyFill="1" applyBorder="1"/>
    <xf numFmtId="42" fontId="20" fillId="6" borderId="84" xfId="0" applyNumberFormat="1" applyFont="1" applyFill="1" applyBorder="1"/>
    <xf numFmtId="0" fontId="16" fillId="6" borderId="66" xfId="0" applyFont="1" applyFill="1" applyBorder="1"/>
    <xf numFmtId="0" fontId="16" fillId="6" borderId="58" xfId="0" applyFont="1" applyFill="1" applyBorder="1"/>
    <xf numFmtId="0" fontId="16" fillId="6" borderId="58" xfId="0" applyFont="1" applyFill="1" applyBorder="1" applyAlignment="1">
      <alignment horizontal="center"/>
    </xf>
    <xf numFmtId="0" fontId="16" fillId="6" borderId="67" xfId="0" applyFont="1" applyFill="1" applyBorder="1"/>
    <xf numFmtId="4" fontId="18" fillId="0" borderId="89" xfId="0" applyNumberFormat="1" applyFont="1" applyBorder="1"/>
    <xf numFmtId="4" fontId="18" fillId="0" borderId="2" xfId="0" applyNumberFormat="1" applyFont="1" applyBorder="1"/>
    <xf numFmtId="4" fontId="18" fillId="0" borderId="33" xfId="0" applyNumberFormat="1" applyFont="1" applyBorder="1"/>
    <xf numFmtId="0" fontId="18" fillId="6" borderId="2" xfId="0" applyFont="1" applyFill="1" applyBorder="1"/>
    <xf numFmtId="0" fontId="18" fillId="6" borderId="2" xfId="0" applyFont="1" applyFill="1" applyBorder="1" applyAlignment="1">
      <alignment horizontal="left" indent="1"/>
    </xf>
    <xf numFmtId="2" fontId="18" fillId="6" borderId="2" xfId="0" applyNumberFormat="1" applyFont="1" applyFill="1" applyBorder="1" applyAlignment="1">
      <alignment horizontal="center" vertical="center"/>
    </xf>
    <xf numFmtId="2" fontId="18" fillId="6" borderId="2" xfId="0" applyNumberFormat="1" applyFont="1" applyFill="1" applyBorder="1" applyAlignment="1">
      <alignment horizontal="right" vertical="center" indent="1"/>
    </xf>
    <xf numFmtId="0" fontId="18" fillId="6" borderId="2" xfId="0" applyFont="1" applyFill="1" applyBorder="1" applyAlignment="1">
      <alignment horizontal="center" vertical="center"/>
    </xf>
    <xf numFmtId="4" fontId="18" fillId="6" borderId="2" xfId="0" applyNumberFormat="1" applyFont="1" applyFill="1" applyBorder="1" applyAlignment="1">
      <alignment horizontal="center" vertical="center"/>
    </xf>
    <xf numFmtId="168" fontId="18" fillId="6" borderId="2" xfId="0" applyNumberFormat="1" applyFont="1" applyFill="1" applyBorder="1" applyAlignment="1">
      <alignment horizontal="center" vertical="center"/>
    </xf>
    <xf numFmtId="4" fontId="18" fillId="6" borderId="2" xfId="0" applyNumberFormat="1" applyFont="1" applyFill="1" applyBorder="1"/>
    <xf numFmtId="172" fontId="18" fillId="6" borderId="2" xfId="0" applyNumberFormat="1" applyFont="1" applyFill="1" applyBorder="1" applyAlignment="1">
      <alignment horizontal="center" vertical="center"/>
    </xf>
    <xf numFmtId="0" fontId="18" fillId="6" borderId="33" xfId="0" applyFont="1" applyFill="1" applyBorder="1"/>
    <xf numFmtId="0" fontId="18" fillId="6" borderId="33" xfId="0" applyFont="1" applyFill="1" applyBorder="1" applyAlignment="1">
      <alignment horizontal="left" indent="1"/>
    </xf>
    <xf numFmtId="2" fontId="18" fillId="6" borderId="33" xfId="0" applyNumberFormat="1" applyFont="1" applyFill="1" applyBorder="1" applyAlignment="1">
      <alignment horizontal="center" vertical="center"/>
    </xf>
    <xf numFmtId="2" fontId="18" fillId="6" borderId="33" xfId="0" applyNumberFormat="1" applyFont="1" applyFill="1" applyBorder="1" applyAlignment="1">
      <alignment horizontal="right" vertical="center" indent="1"/>
    </xf>
    <xf numFmtId="0" fontId="18" fillId="6" borderId="33" xfId="0" applyFont="1" applyFill="1" applyBorder="1" applyAlignment="1">
      <alignment horizontal="center" vertical="center"/>
    </xf>
    <xf numFmtId="172" fontId="18" fillId="6" borderId="33" xfId="0" applyNumberFormat="1" applyFont="1" applyFill="1" applyBorder="1" applyAlignment="1">
      <alignment horizontal="center" vertical="center"/>
    </xf>
    <xf numFmtId="4" fontId="18" fillId="6" borderId="33" xfId="0" applyNumberFormat="1" applyFont="1" applyFill="1" applyBorder="1" applyAlignment="1">
      <alignment horizontal="center" vertical="center"/>
    </xf>
    <xf numFmtId="168" fontId="18" fillId="6" borderId="33" xfId="0" applyNumberFormat="1" applyFont="1" applyFill="1" applyBorder="1" applyAlignment="1">
      <alignment horizontal="center" vertical="center"/>
    </xf>
    <xf numFmtId="4" fontId="18" fillId="6" borderId="33" xfId="0" applyNumberFormat="1" applyFont="1" applyFill="1" applyBorder="1"/>
    <xf numFmtId="0" fontId="18" fillId="6" borderId="0" xfId="0" applyFont="1" applyFill="1"/>
    <xf numFmtId="0" fontId="17" fillId="6" borderId="0" xfId="0" applyFont="1" applyFill="1" applyAlignment="1">
      <alignment wrapText="1"/>
    </xf>
    <xf numFmtId="0" fontId="18" fillId="6" borderId="0" xfId="0" applyFont="1" applyFill="1" applyAlignment="1">
      <alignment horizontal="center" vertical="center"/>
    </xf>
    <xf numFmtId="0" fontId="18" fillId="6" borderId="0" xfId="0" applyFont="1" applyFill="1" applyAlignment="1">
      <alignment horizontal="right" vertical="center" indent="1"/>
    </xf>
    <xf numFmtId="168" fontId="29" fillId="6" borderId="0" xfId="0" applyNumberFormat="1" applyFont="1" applyFill="1" applyAlignment="1">
      <alignment horizontal="center" vertical="center"/>
    </xf>
    <xf numFmtId="4" fontId="18" fillId="6" borderId="0" xfId="0" applyNumberFormat="1" applyFont="1" applyFill="1" applyAlignment="1">
      <alignment horizontal="center" vertical="center"/>
    </xf>
    <xf numFmtId="168" fontId="18" fillId="6" borderId="0" xfId="0" applyNumberFormat="1" applyFont="1" applyFill="1" applyAlignment="1">
      <alignment horizontal="center" vertical="center"/>
    </xf>
    <xf numFmtId="4" fontId="18" fillId="6" borderId="0" xfId="0" applyNumberFormat="1" applyFont="1" applyFill="1"/>
    <xf numFmtId="0" fontId="17" fillId="6" borderId="0" xfId="0" applyFont="1" applyFill="1" applyAlignment="1">
      <alignment horizontal="center"/>
    </xf>
    <xf numFmtId="0" fontId="18" fillId="6" borderId="0" xfId="0" applyFont="1" applyFill="1" applyAlignment="1">
      <alignment horizontal="center"/>
    </xf>
    <xf numFmtId="2" fontId="18" fillId="6" borderId="0" xfId="0" applyNumberFormat="1" applyFont="1" applyFill="1" applyAlignment="1">
      <alignment horizontal="center" vertical="center"/>
    </xf>
    <xf numFmtId="2" fontId="18" fillId="6" borderId="0" xfId="0" applyNumberFormat="1" applyFont="1" applyFill="1" applyAlignment="1">
      <alignment horizontal="right" vertical="center" indent="1"/>
    </xf>
    <xf numFmtId="172" fontId="18" fillId="6" borderId="0" xfId="0" applyNumberFormat="1" applyFont="1" applyFill="1" applyAlignment="1">
      <alignment horizontal="center" vertical="center"/>
    </xf>
    <xf numFmtId="0" fontId="18" fillId="6" borderId="0" xfId="0" applyFont="1" applyFill="1" applyAlignment="1">
      <alignment horizontal="left" indent="1"/>
    </xf>
    <xf numFmtId="42" fontId="16" fillId="6" borderId="0" xfId="0" applyNumberFormat="1" applyFont="1" applyFill="1"/>
    <xf numFmtId="42" fontId="18" fillId="6" borderId="0" xfId="0" applyNumberFormat="1" applyFont="1" applyFill="1"/>
    <xf numFmtId="42" fontId="21" fillId="6" borderId="0" xfId="0" applyNumberFormat="1" applyFont="1" applyFill="1"/>
    <xf numFmtId="49" fontId="18" fillId="6" borderId="0" xfId="0" applyNumberFormat="1" applyFont="1" applyFill="1" applyAlignment="1">
      <alignment vertical="center"/>
    </xf>
    <xf numFmtId="42" fontId="18" fillId="6" borderId="0" xfId="1" applyNumberFormat="1" applyFont="1" applyFill="1" applyBorder="1"/>
    <xf numFmtId="49" fontId="18" fillId="6" borderId="0" xfId="0" applyNumberFormat="1" applyFont="1" applyFill="1"/>
    <xf numFmtId="41" fontId="16" fillId="6" borderId="0" xfId="0" applyNumberFormat="1" applyFont="1" applyFill="1"/>
    <xf numFmtId="0" fontId="16" fillId="6" borderId="0" xfId="0" applyFont="1" applyFill="1" applyAlignment="1">
      <alignment horizontal="centerContinuous" vertical="center"/>
    </xf>
    <xf numFmtId="0" fontId="20" fillId="6" borderId="0" xfId="0" applyFont="1" applyFill="1" applyAlignment="1">
      <alignment horizontal="centerContinuous" vertical="center"/>
    </xf>
    <xf numFmtId="0" fontId="25" fillId="6" borderId="0" xfId="0" applyFont="1" applyFill="1" applyAlignment="1">
      <alignment horizontal="centerContinuous" vertical="center"/>
    </xf>
    <xf numFmtId="0" fontId="13" fillId="6" borderId="0" xfId="0" applyFont="1" applyFill="1"/>
    <xf numFmtId="0" fontId="13" fillId="6" borderId="0" xfId="0" applyFont="1" applyFill="1" applyAlignment="1">
      <alignment horizontal="center"/>
    </xf>
    <xf numFmtId="164" fontId="16" fillId="6" borderId="0" xfId="3" applyFont="1" applyFill="1"/>
    <xf numFmtId="0" fontId="27" fillId="6" borderId="0" xfId="0" applyFont="1" applyFill="1" applyAlignment="1">
      <alignment vertical="center"/>
    </xf>
    <xf numFmtId="2" fontId="13" fillId="6" borderId="0" xfId="0" applyNumberFormat="1" applyFont="1" applyFill="1"/>
    <xf numFmtId="0" fontId="28" fillId="6" borderId="0" xfId="0" applyFont="1" applyFill="1" applyAlignment="1">
      <alignment vertical="center"/>
    </xf>
    <xf numFmtId="177" fontId="31" fillId="0" borderId="0" xfId="0" applyNumberFormat="1" applyFont="1" applyAlignment="1">
      <alignment horizontal="center" vertical="center"/>
    </xf>
    <xf numFmtId="3" fontId="31" fillId="0" borderId="0" xfId="0" applyNumberFormat="1" applyFont="1"/>
    <xf numFmtId="4" fontId="31" fillId="0" borderId="0" xfId="0" applyNumberFormat="1" applyFont="1"/>
    <xf numFmtId="4" fontId="18" fillId="0" borderId="0" xfId="0" applyNumberFormat="1" applyFont="1"/>
    <xf numFmtId="178" fontId="18" fillId="0" borderId="0" xfId="0" applyNumberFormat="1" applyFont="1" applyAlignment="1">
      <alignment horizontal="center"/>
    </xf>
    <xf numFmtId="4" fontId="18" fillId="0" borderId="0" xfId="0" applyNumberFormat="1" applyFont="1" applyAlignment="1">
      <alignment horizontal="right" indent="4"/>
    </xf>
    <xf numFmtId="4" fontId="18" fillId="0" borderId="0" xfId="0" applyNumberFormat="1" applyFont="1" applyAlignment="1">
      <alignment horizontal="center"/>
    </xf>
    <xf numFmtId="3" fontId="29" fillId="0" borderId="0" xfId="0" applyNumberFormat="1" applyFont="1" applyAlignment="1">
      <alignment horizontal="center"/>
    </xf>
    <xf numFmtId="3" fontId="31" fillId="0" borderId="0" xfId="0" applyNumberFormat="1" applyFont="1" applyAlignment="1">
      <alignment horizontal="center" vertical="center"/>
    </xf>
    <xf numFmtId="3" fontId="31" fillId="4" borderId="0" xfId="0" applyNumberFormat="1" applyFont="1" applyFill="1"/>
    <xf numFmtId="3" fontId="31" fillId="5" borderId="0" xfId="0" applyNumberFormat="1" applyFont="1" applyFill="1"/>
    <xf numFmtId="4" fontId="31" fillId="5" borderId="0" xfId="0" applyNumberFormat="1" applyFont="1" applyFill="1"/>
    <xf numFmtId="0" fontId="18" fillId="0" borderId="0" xfId="0" applyFont="1"/>
    <xf numFmtId="168" fontId="18" fillId="0" borderId="0" xfId="0" applyNumberFormat="1" applyFont="1" applyAlignment="1">
      <alignment horizontal="center"/>
    </xf>
    <xf numFmtId="178" fontId="18" fillId="0" borderId="0" xfId="0" applyNumberFormat="1" applyFont="1"/>
    <xf numFmtId="0" fontId="13" fillId="6" borderId="5" xfId="0" applyFont="1" applyFill="1" applyBorder="1" applyAlignment="1">
      <alignment horizontal="center"/>
    </xf>
    <xf numFmtId="42" fontId="13" fillId="6" borderId="19" xfId="0" applyNumberFormat="1" applyFont="1" applyFill="1" applyBorder="1"/>
    <xf numFmtId="42" fontId="13" fillId="6" borderId="72" xfId="0" applyNumberFormat="1" applyFont="1" applyFill="1" applyBorder="1"/>
    <xf numFmtId="42" fontId="14" fillId="6" borderId="28" xfId="0" applyNumberFormat="1" applyFont="1" applyFill="1" applyBorder="1"/>
    <xf numFmtId="0" fontId="14" fillId="6" borderId="44" xfId="0" applyFont="1" applyFill="1" applyBorder="1"/>
    <xf numFmtId="42" fontId="14" fillId="6" borderId="66" xfId="0" applyNumberFormat="1" applyFont="1" applyFill="1" applyBorder="1"/>
    <xf numFmtId="3" fontId="18" fillId="0" borderId="0" xfId="0" applyNumberFormat="1" applyFont="1" applyAlignment="1">
      <alignment horizontal="center"/>
    </xf>
    <xf numFmtId="4" fontId="29" fillId="0" borderId="0" xfId="0" applyNumberFormat="1" applyFont="1" applyAlignment="1">
      <alignment horizontal="center"/>
    </xf>
    <xf numFmtId="178" fontId="32" fillId="0" borderId="0" xfId="0" applyNumberFormat="1" applyFont="1" applyAlignment="1">
      <alignment horizontal="center"/>
    </xf>
    <xf numFmtId="4" fontId="18" fillId="0" borderId="0" xfId="0" applyNumberFormat="1" applyFont="1" applyAlignment="1">
      <alignment horizontal="left" vertical="center"/>
    </xf>
    <xf numFmtId="168" fontId="18" fillId="0" borderId="0" xfId="0" applyNumberFormat="1" applyFont="1" applyAlignment="1">
      <alignment horizontal="left" vertical="center"/>
    </xf>
    <xf numFmtId="4" fontId="33" fillId="0" borderId="0" xfId="0" applyNumberFormat="1" applyFont="1" applyAlignment="1">
      <alignment horizontal="left" vertical="center"/>
    </xf>
    <xf numFmtId="178" fontId="33" fillId="0" borderId="0" xfId="0" applyNumberFormat="1" applyFont="1" applyAlignment="1">
      <alignment horizontal="left" vertical="center"/>
    </xf>
    <xf numFmtId="168" fontId="33" fillId="0" borderId="0" xfId="0" applyNumberFormat="1" applyFont="1" applyAlignment="1">
      <alignment horizontal="left" vertical="center"/>
    </xf>
    <xf numFmtId="4" fontId="17" fillId="0" borderId="89" xfId="0" applyNumberFormat="1" applyFont="1" applyBorder="1"/>
    <xf numFmtId="178" fontId="18" fillId="0" borderId="89" xfId="0" applyNumberFormat="1" applyFont="1" applyBorder="1" applyAlignment="1">
      <alignment horizontal="center"/>
    </xf>
    <xf numFmtId="4" fontId="18" fillId="0" borderId="89" xfId="0" applyNumberFormat="1" applyFont="1" applyBorder="1" applyAlignment="1">
      <alignment horizontal="right" indent="4"/>
    </xf>
    <xf numFmtId="4" fontId="18" fillId="0" borderId="89" xfId="0" applyNumberFormat="1" applyFont="1" applyBorder="1" applyAlignment="1">
      <alignment horizontal="center"/>
    </xf>
    <xf numFmtId="3" fontId="29" fillId="0" borderId="89" xfId="0" applyNumberFormat="1" applyFont="1" applyBorder="1" applyAlignment="1">
      <alignment horizontal="center"/>
    </xf>
    <xf numFmtId="4" fontId="18" fillId="0" borderId="2" xfId="0" applyNumberFormat="1" applyFont="1" applyBorder="1" applyAlignment="1">
      <alignment horizontal="left"/>
    </xf>
    <xf numFmtId="178" fontId="18" fillId="0" borderId="2" xfId="0" applyNumberFormat="1" applyFont="1" applyBorder="1" applyAlignment="1">
      <alignment horizontal="center"/>
    </xf>
    <xf numFmtId="4" fontId="18" fillId="0" borderId="2" xfId="0" applyNumberFormat="1" applyFont="1" applyBorder="1" applyAlignment="1">
      <alignment horizontal="right" indent="4"/>
    </xf>
    <xf numFmtId="4" fontId="18" fillId="0" borderId="2" xfId="0" applyNumberFormat="1" applyFont="1" applyBorder="1" applyAlignment="1">
      <alignment horizontal="center"/>
    </xf>
    <xf numFmtId="4" fontId="17" fillId="0" borderId="2" xfId="0" applyNumberFormat="1" applyFont="1" applyBorder="1"/>
    <xf numFmtId="178" fontId="17" fillId="0" borderId="2" xfId="0" applyNumberFormat="1" applyFont="1" applyBorder="1"/>
    <xf numFmtId="4" fontId="17" fillId="0" borderId="2" xfId="0" applyNumberFormat="1" applyFont="1" applyBorder="1" applyAlignment="1">
      <alignment horizontal="right" indent="4"/>
    </xf>
    <xf numFmtId="178" fontId="17" fillId="0" borderId="2" xfId="0" applyNumberFormat="1" applyFont="1" applyBorder="1" applyAlignment="1">
      <alignment horizontal="center"/>
    </xf>
    <xf numFmtId="168" fontId="17" fillId="0" borderId="2" xfId="0" applyNumberFormat="1" applyFont="1" applyBorder="1" applyAlignment="1">
      <alignment horizontal="left"/>
    </xf>
    <xf numFmtId="168" fontId="17" fillId="0" borderId="2" xfId="0" applyNumberFormat="1" applyFont="1" applyBorder="1"/>
    <xf numFmtId="168" fontId="18" fillId="0" borderId="2" xfId="0" applyNumberFormat="1" applyFont="1" applyBorder="1"/>
    <xf numFmtId="178" fontId="18" fillId="0" borderId="33" xfId="0" applyNumberFormat="1" applyFont="1" applyBorder="1" applyAlignment="1">
      <alignment horizontal="center"/>
    </xf>
    <xf numFmtId="4" fontId="18" fillId="0" borderId="33" xfId="0" applyNumberFormat="1" applyFont="1" applyBorder="1" applyAlignment="1">
      <alignment horizontal="right" indent="4"/>
    </xf>
    <xf numFmtId="4" fontId="18" fillId="0" borderId="33" xfId="0" applyNumberFormat="1" applyFont="1" applyBorder="1" applyAlignment="1">
      <alignment horizontal="center"/>
    </xf>
    <xf numFmtId="3" fontId="29" fillId="2" borderId="2" xfId="0" applyNumberFormat="1" applyFont="1" applyFill="1" applyBorder="1" applyAlignment="1">
      <alignment horizontal="center"/>
    </xf>
    <xf numFmtId="178" fontId="32" fillId="2" borderId="2" xfId="0" applyNumberFormat="1" applyFont="1" applyFill="1" applyBorder="1" applyAlignment="1">
      <alignment horizontal="center"/>
    </xf>
    <xf numFmtId="4" fontId="29" fillId="2" borderId="2" xfId="0" applyNumberFormat="1" applyFont="1" applyFill="1" applyBorder="1" applyAlignment="1">
      <alignment horizontal="center"/>
    </xf>
    <xf numFmtId="3" fontId="29" fillId="2" borderId="33" xfId="0" applyNumberFormat="1" applyFont="1" applyFill="1" applyBorder="1" applyAlignment="1">
      <alignment horizontal="center"/>
    </xf>
    <xf numFmtId="2" fontId="18" fillId="0" borderId="0" xfId="0" applyNumberFormat="1" applyFont="1" applyAlignment="1">
      <alignment horizontal="center"/>
    </xf>
    <xf numFmtId="2" fontId="18" fillId="0" borderId="89" xfId="0" applyNumberFormat="1" applyFont="1" applyBorder="1" applyAlignment="1">
      <alignment horizontal="center"/>
    </xf>
    <xf numFmtId="2" fontId="18" fillId="0" borderId="2" xfId="0" applyNumberFormat="1" applyFont="1" applyBorder="1" applyAlignment="1">
      <alignment horizontal="center"/>
    </xf>
    <xf numFmtId="2" fontId="17" fillId="0" borderId="2" xfId="0" applyNumberFormat="1" applyFont="1" applyBorder="1" applyAlignment="1">
      <alignment horizontal="center"/>
    </xf>
    <xf numFmtId="168" fontId="17" fillId="0" borderId="2" xfId="0" applyNumberFormat="1" applyFont="1" applyBorder="1" applyAlignment="1">
      <alignment horizontal="center"/>
    </xf>
    <xf numFmtId="168" fontId="18" fillId="0" borderId="2" xfId="0" applyNumberFormat="1" applyFont="1" applyBorder="1" applyAlignment="1">
      <alignment horizontal="center"/>
    </xf>
    <xf numFmtId="2" fontId="18" fillId="0" borderId="33" xfId="0" applyNumberFormat="1" applyFont="1" applyBorder="1" applyAlignment="1">
      <alignment horizontal="center"/>
    </xf>
    <xf numFmtId="0" fontId="0" fillId="0" borderId="0" xfId="0" applyAlignment="1">
      <alignment horizontal="center"/>
    </xf>
    <xf numFmtId="0" fontId="1" fillId="0" borderId="0" xfId="0" applyFont="1"/>
    <xf numFmtId="0" fontId="0" fillId="0" borderId="76" xfId="0" applyBorder="1"/>
    <xf numFmtId="0" fontId="0" fillId="0" borderId="90" xfId="0" applyBorder="1"/>
    <xf numFmtId="0" fontId="1" fillId="0" borderId="84" xfId="0" applyFont="1" applyBorder="1"/>
    <xf numFmtId="0" fontId="0" fillId="0" borderId="91" xfId="0" applyBorder="1"/>
    <xf numFmtId="2" fontId="0" fillId="0" borderId="0" xfId="0" quotePrefix="1" applyNumberFormat="1"/>
    <xf numFmtId="0" fontId="35" fillId="0" borderId="0" xfId="9" quotePrefix="1" applyFont="1" applyBorder="1" applyAlignment="1" applyProtection="1"/>
    <xf numFmtId="0" fontId="0" fillId="0" borderId="66" xfId="0" applyBorder="1"/>
    <xf numFmtId="0" fontId="0" fillId="0" borderId="58" xfId="0" quotePrefix="1" applyBorder="1"/>
    <xf numFmtId="0" fontId="0" fillId="0" borderId="67" xfId="0" applyBorder="1"/>
    <xf numFmtId="0" fontId="0" fillId="0" borderId="75" xfId="0" applyBorder="1"/>
    <xf numFmtId="0" fontId="0" fillId="0" borderId="84" xfId="0" applyBorder="1"/>
    <xf numFmtId="0" fontId="0" fillId="0" borderId="58" xfId="0" applyBorder="1"/>
    <xf numFmtId="0" fontId="0" fillId="0" borderId="83" xfId="0" applyBorder="1" applyAlignment="1">
      <alignment horizontal="center"/>
    </xf>
    <xf numFmtId="0" fontId="0" fillId="0" borderId="16" xfId="0" applyBorder="1"/>
    <xf numFmtId="0" fontId="0" fillId="0" borderId="17" xfId="0" applyBorder="1"/>
    <xf numFmtId="0" fontId="0" fillId="0" borderId="17" xfId="0" applyBorder="1" applyAlignment="1">
      <alignment horizontal="center"/>
    </xf>
    <xf numFmtId="0" fontId="0" fillId="0" borderId="18" xfId="0" applyBorder="1"/>
    <xf numFmtId="42" fontId="0" fillId="0" borderId="83" xfId="0" applyNumberFormat="1" applyBorder="1"/>
    <xf numFmtId="0" fontId="0" fillId="0" borderId="2" xfId="0" applyBorder="1" applyAlignment="1">
      <alignment horizontal="center"/>
    </xf>
    <xf numFmtId="0" fontId="0" fillId="0" borderId="19" xfId="0" applyBorder="1"/>
    <xf numFmtId="0" fontId="0" fillId="0" borderId="20" xfId="0" applyBorder="1"/>
    <xf numFmtId="0" fontId="0" fillId="0" borderId="20" xfId="0" applyBorder="1" applyAlignment="1">
      <alignment horizontal="center"/>
    </xf>
    <xf numFmtId="0" fontId="0" fillId="0" borderId="21" xfId="0" applyBorder="1"/>
    <xf numFmtId="42" fontId="0" fillId="0" borderId="2" xfId="0" applyNumberFormat="1" applyBorder="1"/>
    <xf numFmtId="42" fontId="0" fillId="0" borderId="0" xfId="0" applyNumberFormat="1"/>
    <xf numFmtId="0" fontId="0" fillId="0" borderId="33" xfId="0" applyBorder="1" applyAlignment="1">
      <alignment horizontal="center"/>
    </xf>
    <xf numFmtId="0" fontId="0" fillId="0" borderId="72" xfId="0" applyBorder="1"/>
    <xf numFmtId="0" fontId="0" fillId="0" borderId="26" xfId="0" applyBorder="1"/>
    <xf numFmtId="0" fontId="0" fillId="0" borderId="26" xfId="0" applyBorder="1" applyAlignment="1">
      <alignment horizontal="center"/>
    </xf>
    <xf numFmtId="0" fontId="0" fillId="0" borderId="73" xfId="0" applyBorder="1"/>
    <xf numFmtId="42" fontId="0" fillId="0" borderId="33" xfId="0" applyNumberFormat="1" applyBorder="1"/>
    <xf numFmtId="0" fontId="0" fillId="0" borderId="75" xfId="0" applyBorder="1" applyAlignment="1">
      <alignment horizontal="center"/>
    </xf>
    <xf numFmtId="42" fontId="0" fillId="0" borderId="84" xfId="0" applyNumberFormat="1" applyBorder="1"/>
    <xf numFmtId="0" fontId="0" fillId="0" borderId="58" xfId="0" applyBorder="1" applyAlignment="1">
      <alignment horizontal="center"/>
    </xf>
    <xf numFmtId="0" fontId="0" fillId="0" borderId="14" xfId="0" applyBorder="1" applyAlignment="1">
      <alignment horizontal="center" vertical="center"/>
    </xf>
    <xf numFmtId="0" fontId="0" fillId="0" borderId="0" xfId="0" applyAlignment="1">
      <alignment vertical="center"/>
    </xf>
    <xf numFmtId="0" fontId="0" fillId="0" borderId="41" xfId="0" applyBorder="1"/>
    <xf numFmtId="0" fontId="0" fillId="0" borderId="48" xfId="0" applyBorder="1"/>
    <xf numFmtId="0" fontId="0" fillId="0" borderId="44" xfId="0" applyBorder="1"/>
    <xf numFmtId="0" fontId="0" fillId="0" borderId="58" xfId="0" applyBorder="1" applyAlignment="1">
      <alignment horizontal="left"/>
    </xf>
    <xf numFmtId="0" fontId="28" fillId="6" borderId="0" xfId="0" applyFont="1" applyFill="1" applyAlignment="1">
      <alignment horizontal="center" vertical="center"/>
    </xf>
    <xf numFmtId="164" fontId="16" fillId="6" borderId="0" xfId="3" applyFont="1" applyFill="1" applyAlignment="1"/>
    <xf numFmtId="164" fontId="16" fillId="6" borderId="5" xfId="3" applyFont="1" applyFill="1" applyBorder="1"/>
    <xf numFmtId="0" fontId="16" fillId="6" borderId="5" xfId="0" applyFont="1" applyFill="1" applyBorder="1"/>
    <xf numFmtId="0" fontId="16" fillId="6" borderId="28" xfId="0" applyFont="1" applyFill="1" applyBorder="1" applyAlignment="1">
      <alignment horizontal="center" vertical="top"/>
    </xf>
    <xf numFmtId="164" fontId="16" fillId="6" borderId="2" xfId="3" applyFont="1" applyFill="1" applyBorder="1"/>
    <xf numFmtId="0" fontId="15" fillId="6" borderId="2" xfId="0" applyFont="1" applyFill="1" applyBorder="1"/>
    <xf numFmtId="0" fontId="15" fillId="6" borderId="19" xfId="0" applyFont="1" applyFill="1" applyBorder="1" applyAlignment="1">
      <alignment horizontal="center" vertical="top"/>
    </xf>
    <xf numFmtId="49" fontId="15" fillId="6" borderId="2" xfId="0" applyNumberFormat="1" applyFont="1" applyFill="1" applyBorder="1"/>
    <xf numFmtId="0" fontId="16" fillId="6" borderId="19" xfId="0" applyFont="1" applyFill="1" applyBorder="1" applyAlignment="1">
      <alignment horizontal="center" vertical="top"/>
    </xf>
    <xf numFmtId="49" fontId="15" fillId="6" borderId="0" xfId="0" applyNumberFormat="1" applyFont="1" applyFill="1"/>
    <xf numFmtId="49" fontId="15" fillId="6" borderId="19" xfId="0" applyNumberFormat="1" applyFont="1" applyFill="1" applyBorder="1" applyAlignment="1">
      <alignment horizontal="center" vertical="top"/>
    </xf>
    <xf numFmtId="164" fontId="16" fillId="6" borderId="2" xfId="3" applyFont="1" applyFill="1" applyBorder="1" applyAlignment="1">
      <alignment vertical="top"/>
    </xf>
    <xf numFmtId="49" fontId="15" fillId="6" borderId="2" xfId="0" applyNumberFormat="1" applyFont="1" applyFill="1" applyBorder="1" applyAlignment="1">
      <alignment vertical="top"/>
    </xf>
    <xf numFmtId="0" fontId="15" fillId="6" borderId="2" xfId="0" applyFont="1" applyFill="1" applyBorder="1" applyAlignment="1">
      <alignment vertical="top" wrapText="1"/>
    </xf>
    <xf numFmtId="0" fontId="15" fillId="6" borderId="19" xfId="0" applyFont="1" applyFill="1" applyBorder="1" applyAlignment="1">
      <alignment horizontal="center" vertical="top" wrapText="1"/>
    </xf>
    <xf numFmtId="0" fontId="16" fillId="6" borderId="2" xfId="0" applyFont="1" applyFill="1" applyBorder="1" applyAlignment="1">
      <alignment vertical="top"/>
    </xf>
    <xf numFmtId="164" fontId="16" fillId="6" borderId="2" xfId="3" applyFont="1" applyFill="1" applyBorder="1" applyAlignment="1">
      <alignment vertical="center"/>
    </xf>
    <xf numFmtId="49" fontId="15" fillId="6" borderId="2" xfId="0" applyNumberFormat="1" applyFont="1" applyFill="1" applyBorder="1" applyAlignment="1">
      <alignment vertical="center"/>
    </xf>
    <xf numFmtId="0" fontId="15" fillId="6" borderId="2" xfId="0" applyFont="1" applyFill="1" applyBorder="1" applyAlignment="1">
      <alignment vertical="center" wrapText="1"/>
    </xf>
    <xf numFmtId="0" fontId="38" fillId="6" borderId="11" xfId="0" applyFont="1" applyFill="1" applyBorder="1" applyAlignment="1">
      <alignment horizontal="center" vertical="center"/>
    </xf>
    <xf numFmtId="0" fontId="38" fillId="6" borderId="14" xfId="0" applyFont="1" applyFill="1" applyBorder="1" applyAlignment="1">
      <alignment horizontal="center" vertical="center"/>
    </xf>
    <xf numFmtId="0" fontId="38" fillId="6" borderId="0" xfId="0" applyFont="1" applyFill="1" applyAlignment="1">
      <alignment vertical="center"/>
    </xf>
    <xf numFmtId="0" fontId="38" fillId="6" borderId="2" xfId="0" applyFont="1" applyFill="1" applyBorder="1" applyAlignment="1">
      <alignment vertical="center"/>
    </xf>
    <xf numFmtId="0" fontId="38" fillId="6" borderId="2" xfId="0" applyFont="1" applyFill="1" applyBorder="1" applyAlignment="1">
      <alignment horizontal="center" vertical="center"/>
    </xf>
    <xf numFmtId="172" fontId="38" fillId="6" borderId="2" xfId="0" applyNumberFormat="1" applyFont="1" applyFill="1" applyBorder="1" applyAlignment="1">
      <alignment vertical="center"/>
    </xf>
    <xf numFmtId="0" fontId="38" fillId="6" borderId="25" xfId="0" applyFont="1" applyFill="1" applyBorder="1" applyAlignment="1">
      <alignment vertical="center"/>
    </xf>
    <xf numFmtId="0" fontId="38" fillId="6" borderId="33" xfId="0" applyFont="1" applyFill="1" applyBorder="1" applyAlignment="1">
      <alignment horizontal="center" vertical="center"/>
    </xf>
    <xf numFmtId="0" fontId="38" fillId="6" borderId="0" xfId="0" applyFont="1" applyFill="1" applyAlignment="1">
      <alignment horizontal="center" vertical="center"/>
    </xf>
    <xf numFmtId="0" fontId="38" fillId="6" borderId="25" xfId="0" applyFont="1" applyFill="1" applyBorder="1" applyAlignment="1">
      <alignment horizontal="center" vertical="center"/>
    </xf>
    <xf numFmtId="0" fontId="38" fillId="6" borderId="11" xfId="0" applyFont="1" applyFill="1" applyBorder="1" applyAlignment="1">
      <alignment vertical="center"/>
    </xf>
    <xf numFmtId="0" fontId="0" fillId="6" borderId="0" xfId="0" applyFill="1" applyAlignment="1">
      <alignment vertical="center"/>
    </xf>
    <xf numFmtId="0" fontId="0" fillId="6" borderId="0" xfId="0" applyFill="1" applyAlignment="1">
      <alignment horizontal="center" vertical="center"/>
    </xf>
    <xf numFmtId="0" fontId="1" fillId="6" borderId="4" xfId="0" applyFont="1" applyFill="1" applyBorder="1" applyAlignment="1">
      <alignment horizontal="center" vertical="center"/>
    </xf>
    <xf numFmtId="0" fontId="1" fillId="6" borderId="28" xfId="0" applyFont="1" applyFill="1" applyBorder="1" applyAlignment="1">
      <alignment vertical="center"/>
    </xf>
    <xf numFmtId="0" fontId="1" fillId="6" borderId="29" xfId="0" applyFont="1" applyFill="1" applyBorder="1" applyAlignment="1">
      <alignment vertical="center"/>
    </xf>
    <xf numFmtId="0" fontId="0" fillId="6" borderId="5" xfId="0" applyFill="1" applyBorder="1" applyAlignment="1">
      <alignment horizontal="center" vertical="center"/>
    </xf>
    <xf numFmtId="0" fontId="0" fillId="6" borderId="5" xfId="0" applyFill="1" applyBorder="1" applyAlignment="1">
      <alignment vertical="center"/>
    </xf>
    <xf numFmtId="0" fontId="0" fillId="6" borderId="28" xfId="0" applyFill="1" applyBorder="1" applyAlignment="1">
      <alignment vertical="center"/>
    </xf>
    <xf numFmtId="175" fontId="0" fillId="6" borderId="6" xfId="1" applyNumberFormat="1" applyFont="1" applyFill="1" applyBorder="1" applyAlignment="1">
      <alignment vertical="center"/>
    </xf>
    <xf numFmtId="0" fontId="0" fillId="6" borderId="1" xfId="0" applyFill="1" applyBorder="1" applyAlignment="1">
      <alignment vertical="center"/>
    </xf>
    <xf numFmtId="0" fontId="0" fillId="6" borderId="19" xfId="0" applyFill="1" applyBorder="1" applyAlignment="1">
      <alignment vertical="center"/>
    </xf>
    <xf numFmtId="0" fontId="0" fillId="6" borderId="21" xfId="0" applyFill="1" applyBorder="1" applyAlignment="1">
      <alignment vertical="center"/>
    </xf>
    <xf numFmtId="0" fontId="0" fillId="6" borderId="2" xfId="0" applyFill="1" applyBorder="1" applyAlignment="1">
      <alignment horizontal="center" vertical="center"/>
    </xf>
    <xf numFmtId="0" fontId="0" fillId="6" borderId="2" xfId="0" applyFill="1" applyBorder="1" applyAlignment="1">
      <alignment vertical="center"/>
    </xf>
    <xf numFmtId="42" fontId="0" fillId="6" borderId="2" xfId="0" applyNumberFormat="1" applyFill="1" applyBorder="1" applyAlignment="1">
      <alignment vertical="center"/>
    </xf>
    <xf numFmtId="42" fontId="0" fillId="6" borderId="19" xfId="0" applyNumberFormat="1" applyFill="1" applyBorder="1" applyAlignment="1">
      <alignment vertical="center"/>
    </xf>
    <xf numFmtId="175" fontId="0" fillId="6" borderId="3" xfId="1" applyNumberFormat="1" applyFont="1" applyFill="1" applyBorder="1" applyAlignment="1">
      <alignment vertical="center"/>
    </xf>
    <xf numFmtId="175" fontId="0" fillId="6" borderId="0" xfId="0" applyNumberFormat="1" applyFill="1" applyAlignment="1">
      <alignment vertical="center"/>
    </xf>
    <xf numFmtId="165" fontId="0" fillId="6" borderId="0" xfId="0" applyNumberFormat="1" applyFill="1" applyAlignment="1">
      <alignment vertical="center"/>
    </xf>
    <xf numFmtId="0" fontId="0" fillId="6" borderId="33" xfId="0" applyFill="1" applyBorder="1" applyAlignment="1">
      <alignment vertical="center"/>
    </xf>
    <xf numFmtId="42" fontId="0" fillId="6" borderId="72" xfId="0" applyNumberFormat="1" applyFill="1" applyBorder="1" applyAlignment="1">
      <alignment vertical="center"/>
    </xf>
    <xf numFmtId="175" fontId="0" fillId="6" borderId="34" xfId="1" applyNumberFormat="1" applyFont="1" applyFill="1" applyBorder="1" applyAlignment="1">
      <alignment vertical="center"/>
    </xf>
    <xf numFmtId="0" fontId="1" fillId="6" borderId="5" xfId="0" applyFont="1" applyFill="1" applyBorder="1" applyAlignment="1">
      <alignment vertical="center"/>
    </xf>
    <xf numFmtId="42" fontId="1" fillId="6" borderId="28" xfId="0" applyNumberFormat="1" applyFont="1" applyFill="1" applyBorder="1" applyAlignment="1">
      <alignment vertical="center"/>
    </xf>
    <xf numFmtId="175" fontId="1" fillId="6" borderId="6" xfId="1" applyNumberFormat="1" applyFont="1" applyFill="1" applyBorder="1" applyAlignment="1">
      <alignment vertical="center"/>
    </xf>
    <xf numFmtId="0" fontId="1" fillId="6" borderId="1" xfId="0" applyFont="1" applyFill="1" applyBorder="1" applyAlignment="1">
      <alignment horizontal="center" vertical="center"/>
    </xf>
    <xf numFmtId="0" fontId="1" fillId="6" borderId="19" xfId="0" applyFont="1" applyFill="1" applyBorder="1" applyAlignment="1">
      <alignment vertical="center"/>
    </xf>
    <xf numFmtId="0" fontId="1" fillId="6" borderId="21" xfId="0" applyFont="1" applyFill="1" applyBorder="1" applyAlignment="1">
      <alignment vertical="center"/>
    </xf>
    <xf numFmtId="42" fontId="0" fillId="6" borderId="33" xfId="0" applyNumberFormat="1" applyFill="1" applyBorder="1" applyAlignment="1">
      <alignment vertical="center"/>
    </xf>
    <xf numFmtId="2" fontId="0" fillId="6" borderId="2" xfId="0" applyNumberFormat="1" applyFill="1" applyBorder="1" applyAlignment="1">
      <alignment vertical="center"/>
    </xf>
    <xf numFmtId="42" fontId="0" fillId="6" borderId="2" xfId="1" applyNumberFormat="1" applyFont="1" applyFill="1" applyBorder="1" applyAlignment="1">
      <alignment vertical="center"/>
    </xf>
    <xf numFmtId="0" fontId="0" fillId="6" borderId="74" xfId="0" applyFill="1" applyBorder="1" applyAlignment="1">
      <alignment vertical="center"/>
    </xf>
    <xf numFmtId="0" fontId="0" fillId="6" borderId="72" xfId="0" applyFill="1" applyBorder="1" applyAlignment="1">
      <alignment vertical="center"/>
    </xf>
    <xf numFmtId="0" fontId="0" fillId="6" borderId="73" xfId="0" applyFill="1" applyBorder="1" applyAlignment="1">
      <alignment vertical="center"/>
    </xf>
    <xf numFmtId="0" fontId="0" fillId="6" borderId="33" xfId="0" applyFill="1" applyBorder="1" applyAlignment="1">
      <alignment horizontal="center" vertical="center"/>
    </xf>
    <xf numFmtId="0" fontId="1" fillId="6" borderId="44" xfId="0" applyFont="1" applyFill="1" applyBorder="1" applyAlignment="1">
      <alignment vertical="center"/>
    </xf>
    <xf numFmtId="42" fontId="1" fillId="6" borderId="66" xfId="0" applyNumberFormat="1" applyFont="1" applyFill="1" applyBorder="1" applyAlignment="1">
      <alignment vertical="center"/>
    </xf>
    <xf numFmtId="175" fontId="1" fillId="6" borderId="12" xfId="1" applyNumberFormat="1" applyFont="1" applyFill="1" applyBorder="1" applyAlignment="1">
      <alignment vertical="center"/>
    </xf>
    <xf numFmtId="0" fontId="39" fillId="6" borderId="11" xfId="0" applyFont="1" applyFill="1" applyBorder="1" applyAlignment="1">
      <alignment vertical="center"/>
    </xf>
    <xf numFmtId="42" fontId="39" fillId="6" borderId="11" xfId="0" applyNumberFormat="1" applyFont="1" applyFill="1" applyBorder="1" applyAlignment="1">
      <alignment vertical="center"/>
    </xf>
    <xf numFmtId="2" fontId="39" fillId="6" borderId="12" xfId="0" applyNumberFormat="1" applyFont="1" applyFill="1" applyBorder="1" applyAlignment="1">
      <alignment vertical="center"/>
    </xf>
    <xf numFmtId="175" fontId="38" fillId="8" borderId="10" xfId="0" applyNumberFormat="1" applyFont="1" applyFill="1" applyBorder="1" applyAlignment="1">
      <alignment vertical="center"/>
    </xf>
    <xf numFmtId="175" fontId="38" fillId="8" borderId="11" xfId="0" applyNumberFormat="1" applyFont="1" applyFill="1" applyBorder="1" applyAlignment="1">
      <alignment vertical="center"/>
    </xf>
    <xf numFmtId="175" fontId="38" fillId="8" borderId="12" xfId="0" applyNumberFormat="1" applyFont="1" applyFill="1" applyBorder="1" applyAlignment="1">
      <alignment vertical="center"/>
    </xf>
    <xf numFmtId="0" fontId="38" fillId="6" borderId="14" xfId="0" applyFont="1" applyFill="1" applyBorder="1" applyAlignment="1">
      <alignment vertical="center"/>
    </xf>
    <xf numFmtId="1" fontId="38" fillId="6" borderId="15" xfId="1" applyNumberFormat="1" applyFont="1" applyFill="1" applyBorder="1" applyAlignment="1">
      <alignment horizontal="right" vertical="center"/>
    </xf>
    <xf numFmtId="43" fontId="38" fillId="7" borderId="13" xfId="0" applyNumberFormat="1" applyFont="1" applyFill="1" applyBorder="1" applyAlignment="1">
      <alignment vertical="center"/>
    </xf>
    <xf numFmtId="43" fontId="38" fillId="7" borderId="14" xfId="0" applyNumberFormat="1" applyFont="1" applyFill="1" applyBorder="1" applyAlignment="1">
      <alignment vertical="center"/>
    </xf>
    <xf numFmtId="43" fontId="38" fillId="7" borderId="15" xfId="0" applyNumberFormat="1" applyFont="1" applyFill="1" applyBorder="1" applyAlignment="1">
      <alignment vertical="center"/>
    </xf>
    <xf numFmtId="43" fontId="0" fillId="6" borderId="0" xfId="0" applyNumberFormat="1" applyFill="1" applyAlignment="1">
      <alignment vertical="center"/>
    </xf>
    <xf numFmtId="42" fontId="38" fillId="6" borderId="2" xfId="0" applyNumberFormat="1" applyFont="1" applyFill="1" applyBorder="1" applyAlignment="1">
      <alignment horizontal="center" vertical="center"/>
    </xf>
    <xf numFmtId="42" fontId="38" fillId="6" borderId="25" xfId="0" applyNumberFormat="1" applyFont="1" applyFill="1" applyBorder="1" applyAlignment="1">
      <alignment horizontal="center" vertical="center"/>
    </xf>
    <xf numFmtId="42" fontId="38" fillId="6" borderId="33" xfId="0" applyNumberFormat="1" applyFont="1" applyFill="1" applyBorder="1" applyAlignment="1">
      <alignment horizontal="center" vertical="center"/>
    </xf>
    <xf numFmtId="42" fontId="38" fillId="6" borderId="2" xfId="1" applyNumberFormat="1" applyFont="1" applyFill="1" applyBorder="1" applyAlignment="1">
      <alignment horizontal="center" vertical="center"/>
    </xf>
    <xf numFmtId="0" fontId="41" fillId="3" borderId="0" xfId="0" applyFont="1" applyFill="1" applyAlignment="1">
      <alignment vertical="center"/>
    </xf>
    <xf numFmtId="0" fontId="40" fillId="6" borderId="0" xfId="0" applyFont="1" applyFill="1" applyAlignment="1">
      <alignment horizontal="left" vertical="center"/>
    </xf>
    <xf numFmtId="0" fontId="41" fillId="6" borderId="0" xfId="0" applyFont="1" applyFill="1" applyAlignment="1">
      <alignment vertical="center"/>
    </xf>
    <xf numFmtId="0" fontId="41" fillId="6" borderId="0" xfId="0" applyFont="1" applyFill="1" applyAlignment="1">
      <alignment horizontal="center" vertical="center"/>
    </xf>
    <xf numFmtId="0" fontId="41" fillId="6" borderId="0" xfId="0" applyFont="1" applyFill="1" applyAlignment="1">
      <alignment horizontal="right" vertical="center"/>
    </xf>
    <xf numFmtId="49" fontId="43" fillId="6" borderId="0" xfId="0" applyNumberFormat="1" applyFont="1" applyFill="1" applyAlignment="1">
      <alignment vertical="center"/>
    </xf>
    <xf numFmtId="167" fontId="41" fillId="6" borderId="0" xfId="0" applyNumberFormat="1" applyFont="1" applyFill="1" applyAlignment="1">
      <alignment vertical="center"/>
    </xf>
    <xf numFmtId="49" fontId="43" fillId="6" borderId="38" xfId="0" applyNumberFormat="1" applyFont="1" applyFill="1" applyBorder="1" applyAlignment="1">
      <alignment vertical="center"/>
    </xf>
    <xf numFmtId="49" fontId="43" fillId="6" borderId="11" xfId="0" applyNumberFormat="1" applyFont="1" applyFill="1" applyBorder="1" applyAlignment="1">
      <alignment vertical="center"/>
    </xf>
    <xf numFmtId="0" fontId="41" fillId="6" borderId="11" xfId="0" applyFont="1" applyFill="1" applyBorder="1" applyAlignment="1">
      <alignment horizontal="center" vertical="center"/>
    </xf>
    <xf numFmtId="0" fontId="41" fillId="6" borderId="11" xfId="0" applyFont="1" applyFill="1" applyBorder="1" applyAlignment="1">
      <alignment horizontal="right" vertical="center"/>
    </xf>
    <xf numFmtId="0" fontId="41" fillId="6" borderId="11" xfId="0" applyFont="1" applyFill="1" applyBorder="1" applyAlignment="1">
      <alignment vertical="center"/>
    </xf>
    <xf numFmtId="0" fontId="41" fillId="6" borderId="39" xfId="0" applyFont="1" applyFill="1" applyBorder="1" applyAlignment="1">
      <alignment vertical="center"/>
    </xf>
    <xf numFmtId="0" fontId="41" fillId="6" borderId="38" xfId="0" applyFont="1" applyFill="1" applyBorder="1" applyAlignment="1">
      <alignment vertical="center"/>
    </xf>
    <xf numFmtId="49" fontId="43" fillId="6" borderId="11" xfId="0" applyNumberFormat="1" applyFont="1" applyFill="1" applyBorder="1" applyAlignment="1">
      <alignment horizontal="center" vertical="center"/>
    </xf>
    <xf numFmtId="168" fontId="43" fillId="6" borderId="11" xfId="0" applyNumberFormat="1" applyFont="1" applyFill="1" applyBorder="1" applyAlignment="1">
      <alignment horizontal="right" vertical="center"/>
    </xf>
    <xf numFmtId="41" fontId="41" fillId="6" borderId="11" xfId="1" applyFont="1" applyFill="1" applyBorder="1" applyAlignment="1">
      <alignment vertical="center"/>
    </xf>
    <xf numFmtId="167" fontId="41" fillId="6" borderId="39" xfId="0" applyNumberFormat="1" applyFont="1" applyFill="1" applyBorder="1" applyAlignment="1">
      <alignment vertical="center"/>
    </xf>
    <xf numFmtId="0" fontId="41" fillId="6" borderId="40" xfId="0" applyFont="1" applyFill="1" applyBorder="1" applyAlignment="1">
      <alignment vertical="center"/>
    </xf>
    <xf numFmtId="49" fontId="43" fillId="6" borderId="41" xfId="0" applyNumberFormat="1" applyFont="1" applyFill="1" applyBorder="1" applyAlignment="1">
      <alignment vertical="center"/>
    </xf>
    <xf numFmtId="49" fontId="43" fillId="6" borderId="41" xfId="0" applyNumberFormat="1" applyFont="1" applyFill="1" applyBorder="1" applyAlignment="1">
      <alignment horizontal="center" vertical="center"/>
    </xf>
    <xf numFmtId="168" fontId="43" fillId="6" borderId="41" xfId="0" applyNumberFormat="1" applyFont="1" applyFill="1" applyBorder="1" applyAlignment="1">
      <alignment horizontal="right" vertical="center"/>
    </xf>
    <xf numFmtId="41" fontId="41" fillId="6" borderId="42" xfId="1" applyFont="1" applyFill="1" applyBorder="1" applyAlignment="1">
      <alignment vertical="center"/>
    </xf>
    <xf numFmtId="0" fontId="41" fillId="6" borderId="35" xfId="0" applyFont="1" applyFill="1" applyBorder="1" applyAlignment="1">
      <alignment vertical="center"/>
    </xf>
    <xf numFmtId="0" fontId="41" fillId="6" borderId="36" xfId="0" applyFont="1" applyFill="1" applyBorder="1" applyAlignment="1">
      <alignment vertical="center"/>
    </xf>
    <xf numFmtId="0" fontId="41" fillId="6" borderId="36" xfId="0" applyFont="1" applyFill="1" applyBorder="1" applyAlignment="1">
      <alignment horizontal="center" vertical="center"/>
    </xf>
    <xf numFmtId="168" fontId="43" fillId="6" borderId="36" xfId="0" applyNumberFormat="1" applyFont="1" applyFill="1" applyBorder="1" applyAlignment="1">
      <alignment horizontal="right" vertical="center"/>
    </xf>
    <xf numFmtId="164" fontId="41" fillId="6" borderId="36" xfId="0" applyNumberFormat="1" applyFont="1" applyFill="1" applyBorder="1" applyAlignment="1">
      <alignment vertical="center"/>
    </xf>
    <xf numFmtId="167" fontId="41" fillId="6" borderId="37" xfId="0" applyNumberFormat="1" applyFont="1" applyFill="1" applyBorder="1" applyAlignment="1">
      <alignment vertical="center"/>
    </xf>
    <xf numFmtId="49" fontId="43" fillId="6" borderId="43" xfId="0" applyNumberFormat="1" applyFont="1" applyFill="1" applyBorder="1" applyAlignment="1">
      <alignment vertical="center"/>
    </xf>
    <xf numFmtId="49" fontId="43" fillId="6" borderId="44" xfId="0" applyNumberFormat="1" applyFont="1" applyFill="1" applyBorder="1" applyAlignment="1">
      <alignment vertical="center"/>
    </xf>
    <xf numFmtId="0" fontId="41" fillId="6" borderId="44" xfId="0" applyFont="1" applyFill="1" applyBorder="1" applyAlignment="1">
      <alignment horizontal="center" vertical="center"/>
    </xf>
    <xf numFmtId="168" fontId="41" fillId="6" borderId="44" xfId="0" applyNumberFormat="1" applyFont="1" applyFill="1" applyBorder="1" applyAlignment="1">
      <alignment horizontal="right" vertical="center"/>
    </xf>
    <xf numFmtId="164" fontId="41" fillId="6" borderId="44" xfId="0" applyNumberFormat="1" applyFont="1" applyFill="1" applyBorder="1" applyAlignment="1">
      <alignment vertical="center"/>
    </xf>
    <xf numFmtId="167" fontId="41" fillId="6" borderId="45" xfId="0" applyNumberFormat="1" applyFont="1" applyFill="1" applyBorder="1" applyAlignment="1">
      <alignment vertical="center"/>
    </xf>
    <xf numFmtId="164" fontId="41" fillId="6" borderId="11" xfId="0" applyNumberFormat="1" applyFont="1" applyFill="1" applyBorder="1" applyAlignment="1">
      <alignment vertical="center"/>
    </xf>
    <xf numFmtId="0" fontId="41" fillId="6" borderId="41" xfId="0" applyFont="1" applyFill="1" applyBorder="1" applyAlignment="1">
      <alignment horizontal="center" vertical="center"/>
    </xf>
    <xf numFmtId="167" fontId="41" fillId="6" borderId="46" xfId="0" applyNumberFormat="1" applyFont="1" applyFill="1" applyBorder="1" applyAlignment="1">
      <alignment vertical="center"/>
    </xf>
    <xf numFmtId="49" fontId="43" fillId="6" borderId="47" xfId="0" applyNumberFormat="1" applyFont="1" applyFill="1" applyBorder="1" applyAlignment="1">
      <alignment vertical="center"/>
    </xf>
    <xf numFmtId="49" fontId="43" fillId="6" borderId="48" xfId="0" applyNumberFormat="1" applyFont="1" applyFill="1" applyBorder="1" applyAlignment="1">
      <alignment vertical="center"/>
    </xf>
    <xf numFmtId="0" fontId="41" fillId="6" borderId="48" xfId="0" applyFont="1" applyFill="1" applyBorder="1" applyAlignment="1">
      <alignment horizontal="center" vertical="center"/>
    </xf>
    <xf numFmtId="168" fontId="41" fillId="6" borderId="48" xfId="0" applyNumberFormat="1" applyFont="1" applyFill="1" applyBorder="1" applyAlignment="1">
      <alignment horizontal="right" vertical="center"/>
    </xf>
    <xf numFmtId="164" fontId="41" fillId="6" borderId="48" xfId="0" applyNumberFormat="1" applyFont="1" applyFill="1" applyBorder="1" applyAlignment="1">
      <alignment vertical="center"/>
    </xf>
    <xf numFmtId="167" fontId="41" fillId="6" borderId="49" xfId="0" applyNumberFormat="1" applyFont="1" applyFill="1" applyBorder="1" applyAlignment="1">
      <alignment vertical="center"/>
    </xf>
    <xf numFmtId="49" fontId="43" fillId="6" borderId="40" xfId="0" applyNumberFormat="1" applyFont="1" applyFill="1" applyBorder="1" applyAlignment="1">
      <alignment vertical="center"/>
    </xf>
    <xf numFmtId="9" fontId="43" fillId="6" borderId="41" xfId="4" applyFont="1" applyFill="1" applyBorder="1" applyAlignment="1">
      <alignment horizontal="right" vertical="center"/>
    </xf>
    <xf numFmtId="164" fontId="41" fillId="6" borderId="41" xfId="0" applyNumberFormat="1" applyFont="1" applyFill="1" applyBorder="1" applyAlignment="1">
      <alignment vertical="center"/>
    </xf>
    <xf numFmtId="49" fontId="43" fillId="6" borderId="35" xfId="0" applyNumberFormat="1" applyFont="1" applyFill="1" applyBorder="1" applyAlignment="1">
      <alignment vertical="center"/>
    </xf>
    <xf numFmtId="49" fontId="43" fillId="6" borderId="36" xfId="0" applyNumberFormat="1" applyFont="1" applyFill="1" applyBorder="1" applyAlignment="1">
      <alignment vertical="center"/>
    </xf>
    <xf numFmtId="168" fontId="41" fillId="6" borderId="36" xfId="0" applyNumberFormat="1" applyFont="1" applyFill="1" applyBorder="1" applyAlignment="1">
      <alignment horizontal="right" vertical="center"/>
    </xf>
    <xf numFmtId="168" fontId="41" fillId="6" borderId="0" xfId="0" applyNumberFormat="1" applyFont="1" applyFill="1" applyAlignment="1">
      <alignment horizontal="right" vertical="center"/>
    </xf>
    <xf numFmtId="49" fontId="43" fillId="6" borderId="50" xfId="0" applyNumberFormat="1" applyFont="1" applyFill="1" applyBorder="1" applyAlignment="1">
      <alignment vertical="center"/>
    </xf>
    <xf numFmtId="49" fontId="43" fillId="6" borderId="51" xfId="0" applyNumberFormat="1" applyFont="1" applyFill="1" applyBorder="1" applyAlignment="1">
      <alignment vertical="center"/>
    </xf>
    <xf numFmtId="0" fontId="41" fillId="6" borderId="51" xfId="0" applyFont="1" applyFill="1" applyBorder="1" applyAlignment="1">
      <alignment horizontal="center" vertical="center"/>
    </xf>
    <xf numFmtId="168" fontId="41" fillId="6" borderId="51" xfId="0" applyNumberFormat="1" applyFont="1" applyFill="1" applyBorder="1" applyAlignment="1">
      <alignment horizontal="right" vertical="center"/>
    </xf>
    <xf numFmtId="164" fontId="41" fillId="6" borderId="51" xfId="0" applyNumberFormat="1" applyFont="1" applyFill="1" applyBorder="1" applyAlignment="1">
      <alignment vertical="center"/>
    </xf>
    <xf numFmtId="167" fontId="41" fillId="6" borderId="52" xfId="0" applyNumberFormat="1" applyFont="1" applyFill="1" applyBorder="1" applyAlignment="1">
      <alignment vertical="center"/>
    </xf>
    <xf numFmtId="9" fontId="43" fillId="6" borderId="48" xfId="4" applyFont="1" applyFill="1" applyBorder="1" applyAlignment="1">
      <alignment horizontal="right" vertical="center"/>
    </xf>
    <xf numFmtId="168" fontId="41" fillId="6" borderId="11" xfId="0" applyNumberFormat="1" applyFont="1" applyFill="1" applyBorder="1" applyAlignment="1">
      <alignment horizontal="right" vertical="center"/>
    </xf>
    <xf numFmtId="49" fontId="43" fillId="6" borderId="36" xfId="0" applyNumberFormat="1" applyFont="1" applyFill="1" applyBorder="1" applyAlignment="1">
      <alignment horizontal="center" vertical="center"/>
    </xf>
    <xf numFmtId="49" fontId="43" fillId="6" borderId="36" xfId="0" applyNumberFormat="1" applyFont="1" applyFill="1" applyBorder="1" applyAlignment="1">
      <alignment horizontal="right" vertical="center"/>
    </xf>
    <xf numFmtId="49" fontId="43" fillId="6" borderId="37" xfId="0" applyNumberFormat="1" applyFont="1" applyFill="1" applyBorder="1" applyAlignment="1">
      <alignment vertical="center"/>
    </xf>
    <xf numFmtId="164" fontId="41" fillId="6" borderId="0" xfId="0" applyNumberFormat="1" applyFont="1" applyFill="1" applyAlignment="1">
      <alignment vertical="center"/>
    </xf>
    <xf numFmtId="49" fontId="43" fillId="6" borderId="0" xfId="0" applyNumberFormat="1" applyFont="1" applyFill="1" applyAlignment="1">
      <alignment horizontal="right" vertical="center"/>
    </xf>
    <xf numFmtId="164" fontId="40" fillId="6" borderId="0" xfId="3" applyFont="1" applyFill="1" applyAlignment="1">
      <alignment vertical="center"/>
    </xf>
    <xf numFmtId="49" fontId="42" fillId="6" borderId="0" xfId="0" applyNumberFormat="1" applyFont="1" applyFill="1" applyAlignment="1">
      <alignment horizontal="left" vertical="center"/>
    </xf>
    <xf numFmtId="49" fontId="43" fillId="6" borderId="0" xfId="0" applyNumberFormat="1" applyFont="1" applyFill="1" applyAlignment="1">
      <alignment horizontal="center" vertical="center"/>
    </xf>
    <xf numFmtId="0" fontId="43" fillId="6" borderId="0" xfId="0" applyFont="1" applyFill="1" applyAlignment="1">
      <alignment horizontal="left" vertical="center"/>
    </xf>
    <xf numFmtId="0" fontId="44" fillId="6" borderId="0" xfId="0" applyFont="1" applyFill="1" applyAlignment="1">
      <alignment horizontal="left" vertical="center"/>
    </xf>
    <xf numFmtId="0" fontId="41" fillId="6" borderId="53" xfId="0" applyFont="1" applyFill="1" applyBorder="1" applyAlignment="1">
      <alignment vertical="center"/>
    </xf>
    <xf numFmtId="49" fontId="43" fillId="6" borderId="42" xfId="0" applyNumberFormat="1" applyFont="1" applyFill="1" applyBorder="1" applyAlignment="1">
      <alignment vertical="center"/>
    </xf>
    <xf numFmtId="0" fontId="41" fillId="6" borderId="42" xfId="0" applyFont="1" applyFill="1" applyBorder="1" applyAlignment="1">
      <alignment horizontal="center" vertical="center"/>
    </xf>
    <xf numFmtId="49" fontId="43" fillId="6" borderId="42" xfId="0" applyNumberFormat="1" applyFont="1" applyFill="1" applyBorder="1" applyAlignment="1">
      <alignment horizontal="center" vertical="center"/>
    </xf>
    <xf numFmtId="168" fontId="43" fillId="6" borderId="42" xfId="0" applyNumberFormat="1" applyFont="1" applyFill="1" applyBorder="1" applyAlignment="1">
      <alignment horizontal="right" vertical="center"/>
    </xf>
    <xf numFmtId="167" fontId="41" fillId="6" borderId="54" xfId="0" applyNumberFormat="1" applyFont="1" applyFill="1" applyBorder="1" applyAlignment="1">
      <alignment vertical="center"/>
    </xf>
    <xf numFmtId="0" fontId="43" fillId="6" borderId="38" xfId="0" applyFont="1" applyFill="1" applyBorder="1" applyAlignment="1">
      <alignment horizontal="left" vertical="center"/>
    </xf>
    <xf numFmtId="0" fontId="43" fillId="6" borderId="11" xfId="0" applyFont="1" applyFill="1" applyBorder="1" applyAlignment="1">
      <alignment vertical="center"/>
    </xf>
    <xf numFmtId="0" fontId="43" fillId="6" borderId="11" xfId="0" applyFont="1" applyFill="1" applyBorder="1" applyAlignment="1">
      <alignment horizontal="center" vertical="center"/>
    </xf>
    <xf numFmtId="0" fontId="43" fillId="6" borderId="11" xfId="0" applyFont="1" applyFill="1" applyBorder="1" applyAlignment="1">
      <alignment horizontal="right" vertical="center"/>
    </xf>
    <xf numFmtId="0" fontId="43" fillId="6" borderId="40" xfId="0" applyFont="1" applyFill="1" applyBorder="1" applyAlignment="1">
      <alignment horizontal="left" vertical="center"/>
    </xf>
    <xf numFmtId="0" fontId="43" fillId="6" borderId="41" xfId="0" applyFont="1" applyFill="1" applyBorder="1" applyAlignment="1">
      <alignment vertical="center"/>
    </xf>
    <xf numFmtId="0" fontId="43" fillId="6" borderId="41" xfId="0" applyFont="1" applyFill="1" applyBorder="1" applyAlignment="1">
      <alignment horizontal="center" vertical="center"/>
    </xf>
    <xf numFmtId="0" fontId="43" fillId="6" borderId="41" xfId="0" applyFont="1" applyFill="1" applyBorder="1" applyAlignment="1">
      <alignment horizontal="right" vertical="center"/>
    </xf>
    <xf numFmtId="0" fontId="43" fillId="6" borderId="41" xfId="0" applyFont="1" applyFill="1" applyBorder="1" applyAlignment="1">
      <alignment horizontal="left" vertical="center"/>
    </xf>
    <xf numFmtId="0" fontId="44" fillId="6" borderId="11" xfId="0" applyFont="1" applyFill="1" applyBorder="1" applyAlignment="1">
      <alignment horizontal="center" vertical="center"/>
    </xf>
    <xf numFmtId="0" fontId="44" fillId="6" borderId="41" xfId="0" applyFont="1" applyFill="1" applyBorder="1" applyAlignment="1">
      <alignment horizontal="center" vertical="center"/>
    </xf>
    <xf numFmtId="9" fontId="43" fillId="6" borderId="36" xfId="4" applyFont="1" applyFill="1" applyBorder="1" applyAlignment="1">
      <alignment horizontal="right" vertical="center"/>
    </xf>
    <xf numFmtId="49" fontId="43" fillId="6" borderId="55" xfId="0" applyNumberFormat="1" applyFont="1" applyFill="1" applyBorder="1" applyAlignment="1">
      <alignment vertical="center"/>
    </xf>
    <xf numFmtId="49" fontId="43" fillId="6" borderId="56" xfId="0" applyNumberFormat="1" applyFont="1" applyFill="1" applyBorder="1" applyAlignment="1">
      <alignment vertical="center"/>
    </xf>
    <xf numFmtId="0" fontId="41" fillId="6" borderId="56" xfId="0" applyFont="1" applyFill="1" applyBorder="1" applyAlignment="1">
      <alignment horizontal="center" vertical="center"/>
    </xf>
    <xf numFmtId="168" fontId="41" fillId="6" borderId="56" xfId="0" applyNumberFormat="1" applyFont="1" applyFill="1" applyBorder="1" applyAlignment="1">
      <alignment horizontal="right" vertical="center"/>
    </xf>
    <xf numFmtId="164" fontId="41" fillId="6" borderId="56" xfId="0" applyNumberFormat="1" applyFont="1" applyFill="1" applyBorder="1" applyAlignment="1">
      <alignment vertical="center"/>
    </xf>
    <xf numFmtId="167" fontId="41" fillId="6" borderId="57" xfId="0" applyNumberFormat="1" applyFont="1" applyFill="1" applyBorder="1" applyAlignment="1">
      <alignment vertical="center"/>
    </xf>
    <xf numFmtId="0" fontId="43" fillId="6" borderId="0" xfId="0" applyFont="1" applyFill="1" applyAlignment="1">
      <alignment horizontal="center" vertical="center"/>
    </xf>
    <xf numFmtId="0" fontId="43" fillId="6" borderId="0" xfId="0" applyFont="1" applyFill="1" applyAlignment="1">
      <alignment horizontal="right" vertical="center"/>
    </xf>
    <xf numFmtId="169" fontId="43" fillId="6" borderId="0" xfId="3" applyNumberFormat="1" applyFont="1" applyFill="1" applyBorder="1" applyAlignment="1">
      <alignment horizontal="left" vertical="center"/>
    </xf>
    <xf numFmtId="169" fontId="43" fillId="6" borderId="0" xfId="3" applyNumberFormat="1" applyFont="1" applyFill="1" applyBorder="1" applyAlignment="1">
      <alignment vertical="center"/>
    </xf>
    <xf numFmtId="169" fontId="41" fillId="6" borderId="0" xfId="3" applyNumberFormat="1" applyFont="1" applyFill="1" applyBorder="1" applyAlignment="1">
      <alignment horizontal="center" vertical="center"/>
    </xf>
    <xf numFmtId="169" fontId="41" fillId="6" borderId="0" xfId="3" applyNumberFormat="1" applyFont="1" applyFill="1" applyBorder="1" applyAlignment="1">
      <alignment vertical="center"/>
    </xf>
    <xf numFmtId="169" fontId="43" fillId="6" borderId="0" xfId="3" applyNumberFormat="1" applyFont="1" applyFill="1" applyBorder="1" applyAlignment="1">
      <alignment horizontal="right" vertical="center"/>
    </xf>
    <xf numFmtId="169" fontId="43" fillId="6" borderId="0" xfId="3" applyNumberFormat="1" applyFont="1" applyFill="1" applyBorder="1" applyAlignment="1">
      <alignment horizontal="center" vertical="center"/>
    </xf>
    <xf numFmtId="0" fontId="43" fillId="6" borderId="5" xfId="3" applyNumberFormat="1" applyFont="1" applyFill="1" applyBorder="1" applyAlignment="1">
      <alignment horizontal="center" vertical="center"/>
    </xf>
    <xf numFmtId="0" fontId="43" fillId="6" borderId="2" xfId="3" applyNumberFormat="1" applyFont="1" applyFill="1" applyBorder="1" applyAlignment="1">
      <alignment horizontal="center" vertical="center"/>
    </xf>
    <xf numFmtId="0" fontId="43" fillId="6" borderId="33" xfId="3" applyNumberFormat="1" applyFont="1" applyFill="1" applyBorder="1" applyAlignment="1">
      <alignment horizontal="center" vertical="center"/>
    </xf>
    <xf numFmtId="49" fontId="46" fillId="6" borderId="11" xfId="0" applyNumberFormat="1" applyFont="1" applyFill="1" applyBorder="1" applyAlignment="1">
      <alignment vertical="center"/>
    </xf>
    <xf numFmtId="0" fontId="46" fillId="6" borderId="11" xfId="0" applyFont="1" applyFill="1" applyBorder="1" applyAlignment="1">
      <alignment horizontal="center" vertical="center"/>
    </xf>
    <xf numFmtId="49" fontId="46" fillId="6" borderId="11" xfId="0" applyNumberFormat="1" applyFont="1" applyFill="1" applyBorder="1" applyAlignment="1">
      <alignment horizontal="center" vertical="center"/>
    </xf>
    <xf numFmtId="168" fontId="46" fillId="6" borderId="11" xfId="0" applyNumberFormat="1" applyFont="1" applyFill="1" applyBorder="1" applyAlignment="1">
      <alignment horizontal="right" vertical="center"/>
    </xf>
    <xf numFmtId="164" fontId="41" fillId="6" borderId="11" xfId="0" applyNumberFormat="1" applyFont="1" applyFill="1" applyBorder="1" applyAlignment="1">
      <alignment horizontal="center" vertical="center"/>
    </xf>
    <xf numFmtId="170" fontId="43" fillId="6" borderId="11" xfId="3" applyNumberFormat="1" applyFont="1" applyFill="1" applyBorder="1" applyAlignment="1">
      <alignment horizontal="right" vertical="center"/>
    </xf>
    <xf numFmtId="170" fontId="43" fillId="6" borderId="41" xfId="3" applyNumberFormat="1" applyFont="1" applyFill="1" applyBorder="1" applyAlignment="1">
      <alignment horizontal="right" vertical="center"/>
    </xf>
    <xf numFmtId="0" fontId="43" fillId="6" borderId="11" xfId="0" applyFont="1" applyFill="1" applyBorder="1" applyAlignment="1">
      <alignment horizontal="left" vertical="center"/>
    </xf>
    <xf numFmtId="49" fontId="42" fillId="6" borderId="35" xfId="0" applyNumberFormat="1" applyFont="1" applyFill="1" applyBorder="1" applyAlignment="1">
      <alignment horizontal="center" vertical="center"/>
    </xf>
    <xf numFmtId="49" fontId="42" fillId="6" borderId="36" xfId="0" applyNumberFormat="1" applyFont="1" applyFill="1" applyBorder="1" applyAlignment="1">
      <alignment horizontal="center" vertical="center"/>
    </xf>
    <xf numFmtId="49" fontId="42" fillId="6" borderId="36" xfId="0" applyNumberFormat="1" applyFont="1" applyFill="1" applyBorder="1" applyAlignment="1">
      <alignment horizontal="center" vertical="center" wrapText="1"/>
    </xf>
    <xf numFmtId="49" fontId="42" fillId="6" borderId="37" xfId="0" applyNumberFormat="1" applyFont="1" applyFill="1" applyBorder="1" applyAlignment="1">
      <alignment horizontal="center" vertical="center" wrapText="1"/>
    </xf>
    <xf numFmtId="0" fontId="43" fillId="6" borderId="42" xfId="0" applyFont="1" applyFill="1" applyBorder="1" applyAlignment="1">
      <alignment horizontal="left" vertical="center"/>
    </xf>
    <xf numFmtId="0" fontId="41" fillId="6" borderId="55" xfId="0" applyFont="1" applyFill="1" applyBorder="1" applyAlignment="1">
      <alignment vertical="center"/>
    </xf>
    <xf numFmtId="0" fontId="41" fillId="6" borderId="56" xfId="0" applyFont="1" applyFill="1" applyBorder="1" applyAlignment="1">
      <alignment vertical="center"/>
    </xf>
    <xf numFmtId="168" fontId="43" fillId="6" borderId="56" xfId="0" applyNumberFormat="1" applyFont="1" applyFill="1" applyBorder="1" applyAlignment="1">
      <alignment horizontal="right" vertical="center"/>
    </xf>
    <xf numFmtId="164" fontId="41" fillId="6" borderId="42" xfId="0" applyNumberFormat="1" applyFont="1" applyFill="1" applyBorder="1" applyAlignment="1">
      <alignment vertical="center"/>
    </xf>
    <xf numFmtId="49" fontId="43" fillId="6" borderId="35" xfId="0" applyNumberFormat="1" applyFont="1" applyFill="1" applyBorder="1" applyAlignment="1">
      <alignment horizontal="center" vertical="center"/>
    </xf>
    <xf numFmtId="0" fontId="41" fillId="6" borderId="0" xfId="0" applyFont="1" applyFill="1"/>
    <xf numFmtId="169" fontId="43" fillId="6" borderId="11" xfId="3" applyNumberFormat="1" applyFont="1" applyFill="1" applyBorder="1" applyAlignment="1">
      <alignment horizontal="right" vertical="center"/>
    </xf>
    <xf numFmtId="169" fontId="43" fillId="6" borderId="41" xfId="3" applyNumberFormat="1" applyFont="1" applyFill="1" applyBorder="1" applyAlignment="1">
      <alignment horizontal="right" vertical="center"/>
    </xf>
    <xf numFmtId="0" fontId="43" fillId="6" borderId="42" xfId="0" applyFont="1" applyFill="1" applyBorder="1" applyAlignment="1">
      <alignment horizontal="right" vertical="center"/>
    </xf>
    <xf numFmtId="0" fontId="40" fillId="6" borderId="0" xfId="0" applyFont="1" applyFill="1" applyAlignment="1">
      <alignment vertical="center"/>
    </xf>
    <xf numFmtId="0" fontId="40" fillId="6" borderId="0" xfId="0" applyFont="1" applyFill="1" applyAlignment="1">
      <alignment horizontal="center" vertical="center"/>
    </xf>
    <xf numFmtId="168" fontId="40" fillId="6" borderId="0" xfId="0" applyNumberFormat="1" applyFont="1" applyFill="1" applyAlignment="1">
      <alignment horizontal="right" vertical="center"/>
    </xf>
    <xf numFmtId="0" fontId="40" fillId="3" borderId="0" xfId="0" applyFont="1" applyFill="1" applyAlignment="1">
      <alignment vertical="center"/>
    </xf>
    <xf numFmtId="9" fontId="43" fillId="6" borderId="56" xfId="4" applyFont="1" applyFill="1" applyBorder="1" applyAlignment="1">
      <alignment horizontal="right" vertical="center"/>
    </xf>
    <xf numFmtId="168" fontId="43" fillId="6" borderId="0" xfId="0" applyNumberFormat="1" applyFont="1" applyFill="1" applyAlignment="1">
      <alignment horizontal="right" vertical="center"/>
    </xf>
    <xf numFmtId="168" fontId="41" fillId="6" borderId="41" xfId="0" applyNumberFormat="1" applyFont="1" applyFill="1" applyBorder="1" applyAlignment="1">
      <alignment horizontal="right" vertical="center"/>
    </xf>
    <xf numFmtId="9" fontId="43" fillId="6" borderId="11" xfId="4" applyFont="1" applyFill="1" applyBorder="1" applyAlignment="1">
      <alignment horizontal="right" vertical="center"/>
    </xf>
    <xf numFmtId="49" fontId="43" fillId="6" borderId="53" xfId="0" applyNumberFormat="1" applyFont="1" applyFill="1" applyBorder="1" applyAlignment="1">
      <alignment vertical="center"/>
    </xf>
    <xf numFmtId="168" fontId="41" fillId="6" borderId="42" xfId="0" applyNumberFormat="1" applyFont="1" applyFill="1" applyBorder="1" applyAlignment="1">
      <alignment horizontal="right" vertical="center"/>
    </xf>
    <xf numFmtId="168" fontId="43" fillId="6" borderId="11" xfId="0" applyNumberFormat="1" applyFont="1" applyFill="1" applyBorder="1" applyAlignment="1">
      <alignment horizontal="center" vertical="center"/>
    </xf>
    <xf numFmtId="171" fontId="43" fillId="6" borderId="11" xfId="0" applyNumberFormat="1" applyFont="1" applyFill="1" applyBorder="1" applyAlignment="1">
      <alignment horizontal="right" vertical="center"/>
    </xf>
    <xf numFmtId="49" fontId="43" fillId="6" borderId="11" xfId="0" applyNumberFormat="1" applyFont="1" applyFill="1" applyBorder="1" applyAlignment="1">
      <alignment horizontal="right" vertical="center"/>
    </xf>
    <xf numFmtId="172" fontId="43" fillId="6" borderId="11" xfId="0" applyNumberFormat="1" applyFont="1" applyFill="1" applyBorder="1" applyAlignment="1">
      <alignment horizontal="right" vertical="center"/>
    </xf>
    <xf numFmtId="43" fontId="41" fillId="6" borderId="11" xfId="0" applyNumberFormat="1" applyFont="1" applyFill="1" applyBorder="1" applyAlignment="1">
      <alignment vertical="center"/>
    </xf>
    <xf numFmtId="0" fontId="46" fillId="6" borderId="11" xfId="0" applyFont="1" applyFill="1" applyBorder="1" applyAlignment="1">
      <alignment vertical="center"/>
    </xf>
    <xf numFmtId="176" fontId="46" fillId="6" borderId="11" xfId="8" quotePrefix="1" applyNumberFormat="1" applyFont="1" applyFill="1" applyBorder="1" applyAlignment="1">
      <alignment horizontal="right" vertical="center"/>
    </xf>
    <xf numFmtId="0" fontId="41" fillId="6" borderId="59" xfId="0" applyFont="1" applyFill="1" applyBorder="1" applyAlignment="1">
      <alignment horizontal="center" vertical="center"/>
    </xf>
    <xf numFmtId="0" fontId="48" fillId="6" borderId="0" xfId="0" applyFont="1" applyFill="1" applyAlignment="1">
      <alignment horizontal="left" vertical="center"/>
    </xf>
    <xf numFmtId="0" fontId="41" fillId="6" borderId="0" xfId="5" applyFont="1" applyFill="1" applyAlignment="1">
      <alignment vertical="center"/>
    </xf>
    <xf numFmtId="0" fontId="41" fillId="6" borderId="0" xfId="5" applyFont="1" applyFill="1" applyAlignment="1">
      <alignment horizontal="center" vertical="center"/>
    </xf>
    <xf numFmtId="0" fontId="48" fillId="6" borderId="0" xfId="5" applyFont="1" applyFill="1" applyAlignment="1">
      <alignment horizontal="right" vertical="center"/>
    </xf>
    <xf numFmtId="165" fontId="41" fillId="6" borderId="0" xfId="5" applyNumberFormat="1" applyFont="1" applyFill="1" applyAlignment="1">
      <alignment vertical="center"/>
    </xf>
    <xf numFmtId="0" fontId="46" fillId="6" borderId="0" xfId="0" applyFont="1" applyFill="1" applyAlignment="1">
      <alignment vertical="center"/>
    </xf>
    <xf numFmtId="2" fontId="43" fillId="6" borderId="11" xfId="0" applyNumberFormat="1" applyFont="1" applyFill="1" applyBorder="1" applyAlignment="1">
      <alignment horizontal="right" vertical="center"/>
    </xf>
    <xf numFmtId="0" fontId="17" fillId="8" borderId="5" xfId="0" applyFont="1" applyFill="1" applyBorder="1" applyAlignment="1">
      <alignment horizontal="right"/>
    </xf>
    <xf numFmtId="0" fontId="17" fillId="8" borderId="5" xfId="0" applyFont="1" applyFill="1" applyBorder="1"/>
    <xf numFmtId="0" fontId="18" fillId="8" borderId="5" xfId="0" applyFont="1" applyFill="1" applyBorder="1" applyAlignment="1">
      <alignment horizontal="center" vertical="center"/>
    </xf>
    <xf numFmtId="0" fontId="18" fillId="8" borderId="5" xfId="0" applyFont="1" applyFill="1" applyBorder="1" applyAlignment="1">
      <alignment horizontal="right" vertical="center" indent="1"/>
    </xf>
    <xf numFmtId="4" fontId="18" fillId="8" borderId="5" xfId="0" applyNumberFormat="1" applyFont="1" applyFill="1" applyBorder="1" applyAlignment="1">
      <alignment horizontal="center" vertical="center"/>
    </xf>
    <xf numFmtId="168" fontId="18" fillId="8" borderId="5" xfId="0" applyNumberFormat="1" applyFont="1" applyFill="1" applyBorder="1" applyAlignment="1">
      <alignment horizontal="center" vertical="center"/>
    </xf>
    <xf numFmtId="4" fontId="18" fillId="8" borderId="5" xfId="0" applyNumberFormat="1" applyFont="1" applyFill="1" applyBorder="1"/>
    <xf numFmtId="0" fontId="13" fillId="6" borderId="62" xfId="0" applyFont="1" applyFill="1" applyBorder="1"/>
    <xf numFmtId="175" fontId="13" fillId="6" borderId="63" xfId="1" applyNumberFormat="1" applyFont="1" applyFill="1" applyBorder="1"/>
    <xf numFmtId="175" fontId="13" fillId="6" borderId="98" xfId="1" applyNumberFormat="1" applyFont="1" applyFill="1" applyBorder="1"/>
    <xf numFmtId="175" fontId="14" fillId="6" borderId="61" xfId="1" applyNumberFormat="1" applyFont="1" applyFill="1" applyBorder="1"/>
    <xf numFmtId="0" fontId="13" fillId="6" borderId="99" xfId="0" applyFont="1" applyFill="1" applyBorder="1"/>
    <xf numFmtId="175" fontId="14" fillId="6" borderId="39" xfId="1" applyNumberFormat="1" applyFont="1" applyFill="1" applyBorder="1"/>
    <xf numFmtId="0" fontId="13" fillId="6" borderId="60" xfId="0" applyFont="1" applyFill="1" applyBorder="1"/>
    <xf numFmtId="2" fontId="14" fillId="6" borderId="61" xfId="0" applyNumberFormat="1" applyFont="1" applyFill="1" applyBorder="1"/>
    <xf numFmtId="0" fontId="13" fillId="6" borderId="77" xfId="0" applyFont="1" applyFill="1" applyBorder="1"/>
    <xf numFmtId="0" fontId="13" fillId="6" borderId="78" xfId="0" applyFont="1" applyFill="1" applyBorder="1"/>
    <xf numFmtId="0" fontId="13" fillId="6" borderId="78" xfId="0" applyFont="1" applyFill="1" applyBorder="1" applyAlignment="1">
      <alignment horizontal="center"/>
    </xf>
    <xf numFmtId="0" fontId="13" fillId="6" borderId="79" xfId="0" applyFont="1" applyFill="1" applyBorder="1"/>
    <xf numFmtId="175" fontId="13" fillId="6" borderId="80" xfId="1" applyNumberFormat="1" applyFont="1" applyFill="1" applyBorder="1"/>
    <xf numFmtId="0" fontId="28" fillId="6" borderId="53" xfId="0" applyFont="1" applyFill="1" applyBorder="1" applyAlignment="1">
      <alignment horizontal="center" vertical="center"/>
    </xf>
    <xf numFmtId="0" fontId="28" fillId="6" borderId="42" xfId="0" applyFont="1" applyFill="1" applyBorder="1" applyAlignment="1">
      <alignment horizontal="center" vertical="center"/>
    </xf>
    <xf numFmtId="0" fontId="28" fillId="6" borderId="97" xfId="0" applyFont="1" applyFill="1" applyBorder="1" applyAlignment="1">
      <alignment horizontal="center" vertical="center"/>
    </xf>
    <xf numFmtId="0" fontId="28" fillId="6" borderId="54" xfId="0" applyFont="1" applyFill="1" applyBorder="1" applyAlignment="1">
      <alignment horizontal="center" vertical="center"/>
    </xf>
    <xf numFmtId="0" fontId="13" fillId="0" borderId="0" xfId="0" applyFont="1"/>
    <xf numFmtId="0" fontId="16" fillId="3" borderId="0" xfId="0" applyFont="1" applyFill="1" applyAlignment="1">
      <alignment vertical="center"/>
    </xf>
    <xf numFmtId="0" fontId="20" fillId="3" borderId="0" xfId="0" applyFont="1" applyFill="1" applyAlignment="1">
      <alignment horizontal="center" vertical="center"/>
    </xf>
    <xf numFmtId="0" fontId="20" fillId="6" borderId="2" xfId="0" applyFont="1" applyFill="1" applyBorder="1"/>
    <xf numFmtId="0" fontId="16" fillId="3" borderId="0" xfId="0" applyFont="1" applyFill="1"/>
    <xf numFmtId="0" fontId="20" fillId="3" borderId="0" xfId="0" applyFont="1" applyFill="1"/>
    <xf numFmtId="0" fontId="16" fillId="3" borderId="0" xfId="0" applyFont="1" applyFill="1" applyAlignment="1">
      <alignment vertical="top"/>
    </xf>
    <xf numFmtId="168" fontId="16" fillId="3" borderId="0" xfId="0" applyNumberFormat="1" applyFont="1" applyFill="1"/>
    <xf numFmtId="168" fontId="20" fillId="3" borderId="0" xfId="0" applyNumberFormat="1" applyFont="1" applyFill="1"/>
    <xf numFmtId="49" fontId="15" fillId="3" borderId="0" xfId="0" applyNumberFormat="1" applyFont="1" applyFill="1"/>
    <xf numFmtId="168" fontId="16" fillId="3" borderId="0" xfId="0" applyNumberFormat="1" applyFont="1" applyFill="1" applyAlignment="1">
      <alignment vertical="top"/>
    </xf>
    <xf numFmtId="164" fontId="16" fillId="3" borderId="0" xfId="0" applyNumberFormat="1" applyFont="1" applyFill="1" applyAlignment="1">
      <alignment vertical="top"/>
    </xf>
    <xf numFmtId="167" fontId="16" fillId="3" borderId="0" xfId="0" applyNumberFormat="1" applyFont="1" applyFill="1" applyAlignment="1">
      <alignment vertical="top"/>
    </xf>
    <xf numFmtId="164" fontId="16" fillId="3" borderId="0" xfId="0" applyNumberFormat="1" applyFont="1" applyFill="1"/>
    <xf numFmtId="167" fontId="16" fillId="3" borderId="0" xfId="0" applyNumberFormat="1" applyFont="1" applyFill="1"/>
    <xf numFmtId="168" fontId="15" fillId="3" borderId="0" xfId="0" applyNumberFormat="1" applyFont="1" applyFill="1"/>
    <xf numFmtId="168" fontId="15" fillId="3" borderId="0" xfId="0" applyNumberFormat="1" applyFont="1" applyFill="1" applyAlignment="1">
      <alignment vertical="top"/>
    </xf>
    <xf numFmtId="164" fontId="20" fillId="3" borderId="0" xfId="0" applyNumberFormat="1" applyFont="1" applyFill="1"/>
    <xf numFmtId="167" fontId="20" fillId="3" borderId="0" xfId="0" applyNumberFormat="1" applyFont="1" applyFill="1"/>
    <xf numFmtId="0" fontId="16" fillId="3" borderId="0" xfId="5" applyFont="1" applyFill="1"/>
    <xf numFmtId="0" fontId="37" fillId="3" borderId="0" xfId="5" applyFont="1" applyFill="1"/>
    <xf numFmtId="165" fontId="16" fillId="3" borderId="0" xfId="5" applyNumberFormat="1" applyFont="1" applyFill="1"/>
    <xf numFmtId="164" fontId="26" fillId="6" borderId="2" xfId="3" applyFont="1" applyFill="1" applyBorder="1" applyAlignment="1"/>
    <xf numFmtId="0" fontId="20" fillId="6" borderId="19" xfId="0" applyFont="1" applyFill="1" applyBorder="1" applyAlignment="1">
      <alignment horizontal="center" vertical="top"/>
    </xf>
    <xf numFmtId="164" fontId="20" fillId="6" borderId="2" xfId="3" applyFont="1" applyFill="1" applyBorder="1"/>
    <xf numFmtId="49" fontId="26" fillId="6" borderId="2" xfId="0" applyNumberFormat="1" applyFont="1" applyFill="1" applyBorder="1"/>
    <xf numFmtId="164" fontId="26" fillId="6" borderId="2" xfId="3" applyFont="1" applyFill="1" applyBorder="1" applyAlignment="1">
      <alignment horizontal="left" vertical="center"/>
    </xf>
    <xf numFmtId="49" fontId="26" fillId="6" borderId="19" xfId="0" applyNumberFormat="1" applyFont="1" applyFill="1" applyBorder="1" applyAlignment="1">
      <alignment horizontal="center" vertical="top"/>
    </xf>
    <xf numFmtId="0" fontId="39" fillId="9" borderId="2" xfId="0" applyFont="1" applyFill="1" applyBorder="1" applyAlignment="1">
      <alignment horizontal="center" vertical="center"/>
    </xf>
    <xf numFmtId="0" fontId="39" fillId="9" borderId="2" xfId="0" applyFont="1" applyFill="1" applyBorder="1" applyAlignment="1">
      <alignment vertical="center"/>
    </xf>
    <xf numFmtId="0" fontId="38" fillId="9" borderId="2" xfId="0" applyFont="1" applyFill="1" applyBorder="1" applyAlignment="1">
      <alignment horizontal="center" vertical="center"/>
    </xf>
    <xf numFmtId="172" fontId="38" fillId="9" borderId="2" xfId="0" applyNumberFormat="1" applyFont="1" applyFill="1" applyBorder="1" applyAlignment="1">
      <alignment vertical="center"/>
    </xf>
    <xf numFmtId="0" fontId="39" fillId="9" borderId="83" xfId="0" applyFont="1" applyFill="1" applyBorder="1" applyAlignment="1">
      <alignment horizontal="center" vertical="center"/>
    </xf>
    <xf numFmtId="0" fontId="39" fillId="9" borderId="83" xfId="0" applyFont="1" applyFill="1" applyBorder="1" applyAlignment="1">
      <alignment vertical="center"/>
    </xf>
    <xf numFmtId="0" fontId="38" fillId="9" borderId="83" xfId="0" applyFont="1" applyFill="1" applyBorder="1" applyAlignment="1">
      <alignment horizontal="center" vertical="center"/>
    </xf>
    <xf numFmtId="0" fontId="38" fillId="9" borderId="83" xfId="0" applyFont="1" applyFill="1" applyBorder="1" applyAlignment="1">
      <alignment vertical="center"/>
    </xf>
    <xf numFmtId="0" fontId="39" fillId="9" borderId="19" xfId="0" applyFont="1" applyFill="1" applyBorder="1" applyAlignment="1">
      <alignment vertical="center"/>
    </xf>
    <xf numFmtId="0" fontId="38" fillId="9" borderId="20" xfId="0" applyFont="1" applyFill="1" applyBorder="1" applyAlignment="1">
      <alignment horizontal="center" vertical="center"/>
    </xf>
    <xf numFmtId="172" fontId="38" fillId="9" borderId="20" xfId="0" applyNumberFormat="1" applyFont="1" applyFill="1" applyBorder="1" applyAlignment="1">
      <alignment vertical="center"/>
    </xf>
    <xf numFmtId="0" fontId="38" fillId="9" borderId="21" xfId="0" applyFont="1" applyFill="1" applyBorder="1" applyAlignment="1">
      <alignment horizontal="center" vertical="center"/>
    </xf>
    <xf numFmtId="0" fontId="39" fillId="9" borderId="20" xfId="0" applyFont="1" applyFill="1" applyBorder="1" applyAlignment="1">
      <alignment horizontal="center" vertical="center"/>
    </xf>
    <xf numFmtId="0" fontId="16" fillId="6" borderId="62" xfId="0" applyFont="1" applyFill="1" applyBorder="1" applyAlignment="1">
      <alignment horizontal="center"/>
    </xf>
    <xf numFmtId="0" fontId="16" fillId="6" borderId="63" xfId="0" applyFont="1" applyFill="1" applyBorder="1"/>
    <xf numFmtId="0" fontId="16" fillId="6" borderId="100" xfId="0" applyFont="1" applyFill="1" applyBorder="1" applyAlignment="1">
      <alignment horizontal="center"/>
    </xf>
    <xf numFmtId="0" fontId="13" fillId="6" borderId="62" xfId="0" applyFont="1" applyFill="1" applyBorder="1" applyAlignment="1">
      <alignment horizontal="center"/>
    </xf>
    <xf numFmtId="0" fontId="13" fillId="6" borderId="63" xfId="0" applyFont="1" applyFill="1" applyBorder="1"/>
    <xf numFmtId="0" fontId="16" fillId="6" borderId="77" xfId="0" applyFont="1" applyFill="1" applyBorder="1" applyAlignment="1">
      <alignment horizontal="center"/>
    </xf>
    <xf numFmtId="0" fontId="16" fillId="6" borderId="79" xfId="0" applyFont="1" applyFill="1" applyBorder="1"/>
    <xf numFmtId="0" fontId="16" fillId="6" borderId="101" xfId="0" applyFont="1" applyFill="1" applyBorder="1"/>
    <xf numFmtId="0" fontId="16" fillId="6" borderId="102" xfId="0" applyFont="1" applyFill="1" applyBorder="1"/>
    <xf numFmtId="0" fontId="16" fillId="6" borderId="78" xfId="0" applyFont="1" applyFill="1" applyBorder="1"/>
    <xf numFmtId="42" fontId="16" fillId="6" borderId="78" xfId="1" applyNumberFormat="1" applyFont="1" applyFill="1" applyBorder="1"/>
    <xf numFmtId="0" fontId="16" fillId="6" borderId="80" xfId="0" applyFont="1" applyFill="1" applyBorder="1"/>
    <xf numFmtId="0" fontId="14" fillId="6" borderId="60" xfId="0" applyFont="1" applyFill="1" applyBorder="1" applyAlignment="1">
      <alignment horizontal="center" vertical="center"/>
    </xf>
    <xf numFmtId="0" fontId="14" fillId="6" borderId="28" xfId="0" applyFont="1" applyFill="1" applyBorder="1" applyAlignment="1">
      <alignment horizontal="center" vertical="center"/>
    </xf>
    <xf numFmtId="0" fontId="14" fillId="6" borderId="27" xfId="0" applyFont="1" applyFill="1" applyBorder="1" applyAlignment="1">
      <alignment horizontal="center" vertical="center"/>
    </xf>
    <xf numFmtId="0" fontId="14" fillId="6" borderId="29" xfId="0" applyFont="1" applyFill="1" applyBorder="1" applyAlignment="1">
      <alignment horizontal="center" vertical="center"/>
    </xf>
    <xf numFmtId="0" fontId="14" fillId="6" borderId="5" xfId="0" applyFont="1" applyFill="1" applyBorder="1" applyAlignment="1">
      <alignment horizontal="center" vertical="center"/>
    </xf>
    <xf numFmtId="0" fontId="14" fillId="6" borderId="5" xfId="0" applyFont="1" applyFill="1" applyBorder="1" applyAlignment="1">
      <alignment horizontal="center" vertical="center" wrapText="1"/>
    </xf>
    <xf numFmtId="0" fontId="14" fillId="6" borderId="61" xfId="0" applyFont="1" applyFill="1" applyBorder="1" applyAlignment="1">
      <alignment horizontal="center" vertical="center"/>
    </xf>
    <xf numFmtId="0" fontId="16" fillId="6" borderId="5" xfId="0" applyFont="1" applyFill="1" applyBorder="1" applyAlignment="1">
      <alignment vertical="center"/>
    </xf>
    <xf numFmtId="0" fontId="16" fillId="6" borderId="28" xfId="0" applyFont="1" applyFill="1" applyBorder="1" applyAlignment="1">
      <alignment vertical="center"/>
    </xf>
    <xf numFmtId="0" fontId="16" fillId="6" borderId="27" xfId="0" applyFont="1" applyFill="1" applyBorder="1" applyAlignment="1">
      <alignment vertical="center"/>
    </xf>
    <xf numFmtId="0" fontId="16" fillId="6" borderId="29" xfId="0" applyFont="1" applyFill="1" applyBorder="1" applyAlignment="1">
      <alignment vertical="center"/>
    </xf>
    <xf numFmtId="0" fontId="16" fillId="6" borderId="60" xfId="0" applyFont="1" applyFill="1" applyBorder="1" applyAlignment="1">
      <alignment vertical="center"/>
    </xf>
    <xf numFmtId="0" fontId="16" fillId="6" borderId="61" xfId="0" applyFont="1" applyFill="1" applyBorder="1" applyAlignment="1">
      <alignment vertical="center"/>
    </xf>
    <xf numFmtId="0" fontId="16" fillId="6" borderId="62" xfId="0" applyFont="1" applyFill="1" applyBorder="1" applyAlignment="1">
      <alignment vertical="center"/>
    </xf>
    <xf numFmtId="0" fontId="16" fillId="6" borderId="63" xfId="0" applyFont="1" applyFill="1" applyBorder="1" applyAlignment="1">
      <alignment vertical="center"/>
    </xf>
    <xf numFmtId="44" fontId="16" fillId="6" borderId="63" xfId="0" applyNumberFormat="1" applyFont="1" applyFill="1" applyBorder="1" applyAlignment="1">
      <alignment vertical="center"/>
    </xf>
    <xf numFmtId="0" fontId="16" fillId="6" borderId="77" xfId="0" applyFont="1" applyFill="1" applyBorder="1" applyAlignment="1">
      <alignment vertical="center"/>
    </xf>
    <xf numFmtId="0" fontId="16" fillId="6" borderId="79" xfId="0" applyFont="1" applyFill="1" applyBorder="1" applyAlignment="1">
      <alignment vertical="center"/>
    </xf>
    <xf numFmtId="0" fontId="16" fillId="6" borderId="101" xfId="0" applyFont="1" applyFill="1" applyBorder="1" applyAlignment="1">
      <alignment vertical="center"/>
    </xf>
    <xf numFmtId="0" fontId="16" fillId="6" borderId="102" xfId="0" applyFont="1" applyFill="1" applyBorder="1" applyAlignment="1">
      <alignment vertical="center"/>
    </xf>
    <xf numFmtId="0" fontId="16" fillId="6" borderId="78" xfId="0" applyFont="1" applyFill="1" applyBorder="1" applyAlignment="1">
      <alignment vertical="center"/>
    </xf>
    <xf numFmtId="0" fontId="16" fillId="6" borderId="80" xfId="0" applyFont="1" applyFill="1" applyBorder="1" applyAlignment="1">
      <alignment vertical="center"/>
    </xf>
    <xf numFmtId="0" fontId="16" fillId="6" borderId="60" xfId="0" applyFont="1" applyFill="1" applyBorder="1"/>
    <xf numFmtId="42" fontId="16" fillId="6" borderId="61" xfId="3" applyNumberFormat="1" applyFont="1" applyFill="1" applyBorder="1" applyAlignment="1"/>
    <xf numFmtId="0" fontId="20" fillId="6" borderId="62" xfId="0" applyFont="1" applyFill="1" applyBorder="1"/>
    <xf numFmtId="42" fontId="20" fillId="6" borderId="63" xfId="3" applyNumberFormat="1" applyFont="1" applyFill="1" applyBorder="1" applyAlignment="1"/>
    <xf numFmtId="42" fontId="16" fillId="6" borderId="63" xfId="3" applyNumberFormat="1" applyFont="1" applyFill="1" applyBorder="1" applyAlignment="1"/>
    <xf numFmtId="0" fontId="20" fillId="6" borderId="62" xfId="0" applyFont="1" applyFill="1" applyBorder="1" applyAlignment="1">
      <alignment horizontal="center"/>
    </xf>
    <xf numFmtId="0" fontId="16" fillId="6" borderId="62" xfId="0" applyFont="1" applyFill="1" applyBorder="1" applyAlignment="1">
      <alignment horizontal="center" vertical="top"/>
    </xf>
    <xf numFmtId="42" fontId="16" fillId="6" borderId="63" xfId="3" applyNumberFormat="1" applyFont="1" applyFill="1" applyBorder="1" applyAlignment="1">
      <alignment vertical="top"/>
    </xf>
    <xf numFmtId="0" fontId="16" fillId="6" borderId="62" xfId="0" applyFont="1" applyFill="1" applyBorder="1" applyAlignment="1">
      <alignment horizontal="center" vertical="center"/>
    </xf>
    <xf numFmtId="42" fontId="16" fillId="6" borderId="63" xfId="3" applyNumberFormat="1" applyFont="1" applyFill="1" applyBorder="1" applyAlignment="1">
      <alignment vertical="center"/>
    </xf>
    <xf numFmtId="42" fontId="15" fillId="6" borderId="63" xfId="3" applyNumberFormat="1" applyFont="1" applyFill="1" applyBorder="1" applyAlignment="1"/>
    <xf numFmtId="42" fontId="26" fillId="6" borderId="63" xfId="3" applyNumberFormat="1" applyFont="1" applyFill="1" applyBorder="1" applyAlignment="1"/>
    <xf numFmtId="164" fontId="16" fillId="6" borderId="78" xfId="3" applyFont="1" applyFill="1" applyBorder="1"/>
    <xf numFmtId="49" fontId="15" fillId="6" borderId="78" xfId="0" applyNumberFormat="1" applyFont="1" applyFill="1" applyBorder="1"/>
    <xf numFmtId="0" fontId="15" fillId="6" borderId="78" xfId="0" applyFont="1" applyFill="1" applyBorder="1"/>
    <xf numFmtId="0" fontId="15" fillId="6" borderId="79" xfId="0" applyFont="1" applyFill="1" applyBorder="1" applyAlignment="1">
      <alignment horizontal="center" vertical="top"/>
    </xf>
    <xf numFmtId="42" fontId="16" fillId="6" borderId="80" xfId="3" applyNumberFormat="1" applyFont="1" applyFill="1" applyBorder="1" applyAlignment="1"/>
    <xf numFmtId="164" fontId="41" fillId="6" borderId="0" xfId="3" applyFont="1" applyFill="1" applyAlignment="1">
      <alignment vertical="center"/>
    </xf>
    <xf numFmtId="164" fontId="43" fillId="6" borderId="0" xfId="3" applyFont="1" applyFill="1" applyAlignment="1">
      <alignment vertical="center"/>
    </xf>
    <xf numFmtId="164" fontId="41" fillId="6" borderId="0" xfId="3" applyFont="1" applyFill="1" applyAlignment="1">
      <alignment horizontal="left" vertical="center"/>
    </xf>
    <xf numFmtId="164" fontId="43" fillId="6" borderId="0" xfId="3" applyFont="1" applyFill="1" applyAlignment="1">
      <alignment horizontal="left" vertical="center"/>
    </xf>
    <xf numFmtId="41" fontId="41" fillId="6" borderId="0" xfId="1" applyFont="1" applyFill="1" applyAlignment="1">
      <alignment vertical="center"/>
    </xf>
    <xf numFmtId="0" fontId="53" fillId="3" borderId="0" xfId="0" applyFont="1" applyFill="1" applyAlignment="1">
      <alignment horizontal="center" vertical="center"/>
    </xf>
    <xf numFmtId="0" fontId="53" fillId="3" borderId="0" xfId="0" applyFont="1" applyFill="1" applyAlignment="1">
      <alignment horizontal="left" vertical="center"/>
    </xf>
    <xf numFmtId="0" fontId="53" fillId="6" borderId="90" xfId="0" applyFont="1" applyFill="1" applyBorder="1" applyAlignment="1">
      <alignment horizontal="center" vertical="center"/>
    </xf>
    <xf numFmtId="0" fontId="53" fillId="6" borderId="75" xfId="0" applyFont="1" applyFill="1" applyBorder="1" applyAlignment="1">
      <alignment horizontal="center" vertical="center"/>
    </xf>
    <xf numFmtId="0" fontId="53" fillId="6" borderId="84" xfId="0" applyFont="1" applyFill="1" applyBorder="1" applyAlignment="1">
      <alignment horizontal="center" vertical="center"/>
    </xf>
    <xf numFmtId="0" fontId="53" fillId="6" borderId="64" xfId="0" applyFont="1" applyFill="1" applyBorder="1" applyAlignment="1">
      <alignment horizontal="center" vertical="center"/>
    </xf>
    <xf numFmtId="0" fontId="53" fillId="6" borderId="0" xfId="0" applyFont="1" applyFill="1" applyAlignment="1">
      <alignment horizontal="left" vertical="center"/>
    </xf>
    <xf numFmtId="2" fontId="53" fillId="6" borderId="0" xfId="0" applyNumberFormat="1" applyFont="1" applyFill="1" applyAlignment="1">
      <alignment horizontal="center" vertical="center"/>
    </xf>
    <xf numFmtId="2" fontId="53" fillId="6" borderId="91" xfId="0" applyNumberFormat="1" applyFont="1" applyFill="1" applyBorder="1" applyAlignment="1">
      <alignment horizontal="center" vertical="center"/>
    </xf>
    <xf numFmtId="0" fontId="53" fillId="6" borderId="0" xfId="0" applyFont="1" applyFill="1" applyAlignment="1">
      <alignment horizontal="center" vertical="center"/>
    </xf>
    <xf numFmtId="0" fontId="53" fillId="6" borderId="91" xfId="0" applyFont="1" applyFill="1" applyBorder="1" applyAlignment="1">
      <alignment horizontal="center" vertical="center"/>
    </xf>
    <xf numFmtId="0" fontId="53" fillId="6" borderId="66" xfId="0" applyFont="1" applyFill="1" applyBorder="1" applyAlignment="1">
      <alignment horizontal="center" vertical="center"/>
    </xf>
    <xf numFmtId="0" fontId="53" fillId="6" borderId="58" xfId="0" applyFont="1" applyFill="1" applyBorder="1" applyAlignment="1">
      <alignment horizontal="center" vertical="center"/>
    </xf>
    <xf numFmtId="2" fontId="53" fillId="6" borderId="58" xfId="0" applyNumberFormat="1" applyFont="1" applyFill="1" applyBorder="1" applyAlignment="1">
      <alignment horizontal="center" vertical="center"/>
    </xf>
    <xf numFmtId="2" fontId="54" fillId="6" borderId="67" xfId="0" applyNumberFormat="1" applyFont="1" applyFill="1" applyBorder="1" applyAlignment="1">
      <alignment horizontal="center" vertical="center"/>
    </xf>
    <xf numFmtId="0" fontId="53" fillId="6" borderId="67" xfId="0" applyFont="1" applyFill="1" applyBorder="1" applyAlignment="1">
      <alignment horizontal="center" vertical="center"/>
    </xf>
    <xf numFmtId="0" fontId="53" fillId="6" borderId="64" xfId="0" applyFont="1" applyFill="1" applyBorder="1" applyAlignment="1">
      <alignment horizontal="left" vertical="center"/>
    </xf>
    <xf numFmtId="0" fontId="53" fillId="6" borderId="58" xfId="0" applyFont="1" applyFill="1" applyBorder="1" applyAlignment="1">
      <alignment horizontal="left" vertical="center"/>
    </xf>
    <xf numFmtId="2" fontId="53" fillId="8" borderId="91" xfId="0" applyNumberFormat="1" applyFont="1" applyFill="1" applyBorder="1" applyAlignment="1">
      <alignment horizontal="center" vertical="center"/>
    </xf>
    <xf numFmtId="0" fontId="53" fillId="9" borderId="90" xfId="0" applyFont="1" applyFill="1" applyBorder="1" applyAlignment="1">
      <alignment horizontal="center" vertical="center"/>
    </xf>
    <xf numFmtId="0" fontId="53" fillId="9" borderId="75" xfId="0" applyFont="1" applyFill="1" applyBorder="1" applyAlignment="1">
      <alignment horizontal="left" vertical="center"/>
    </xf>
    <xf numFmtId="2" fontId="53" fillId="9" borderId="75" xfId="0" applyNumberFormat="1" applyFont="1" applyFill="1" applyBorder="1" applyAlignment="1">
      <alignment horizontal="center" vertical="center"/>
    </xf>
    <xf numFmtId="2" fontId="53" fillId="9" borderId="84" xfId="0" applyNumberFormat="1" applyFont="1" applyFill="1" applyBorder="1" applyAlignment="1">
      <alignment horizontal="center" vertical="center"/>
    </xf>
    <xf numFmtId="2" fontId="55" fillId="6" borderId="0" xfId="0" applyNumberFormat="1" applyFont="1" applyFill="1" applyAlignment="1">
      <alignment horizontal="center" vertical="center"/>
    </xf>
    <xf numFmtId="0" fontId="1" fillId="10" borderId="11" xfId="0" applyFont="1" applyFill="1" applyBorder="1" applyAlignment="1">
      <alignment horizontal="center" vertical="center"/>
    </xf>
    <xf numFmtId="0" fontId="20" fillId="10" borderId="35" xfId="0" applyFont="1" applyFill="1" applyBorder="1" applyAlignment="1">
      <alignment horizontal="center" vertical="center"/>
    </xf>
    <xf numFmtId="0" fontId="20" fillId="10" borderId="36" xfId="0" applyFont="1" applyFill="1" applyBorder="1" applyAlignment="1">
      <alignment horizontal="center" vertical="center"/>
    </xf>
    <xf numFmtId="0" fontId="20" fillId="10" borderId="103" xfId="0" applyFont="1" applyFill="1" applyBorder="1" applyAlignment="1">
      <alignment horizontal="center" vertical="center"/>
    </xf>
    <xf numFmtId="164" fontId="20" fillId="10" borderId="37" xfId="3" applyFont="1" applyFill="1" applyBorder="1" applyAlignment="1">
      <alignment horizontal="center" vertical="center"/>
    </xf>
    <xf numFmtId="0" fontId="16" fillId="10" borderId="35" xfId="0" applyFont="1" applyFill="1" applyBorder="1" applyAlignment="1">
      <alignment horizontal="center" vertical="center"/>
    </xf>
    <xf numFmtId="0" fontId="16" fillId="10" borderId="103" xfId="0" applyFont="1" applyFill="1" applyBorder="1" applyAlignment="1">
      <alignment horizontal="center" vertical="center"/>
    </xf>
    <xf numFmtId="0" fontId="16" fillId="10" borderId="32" xfId="0" applyFont="1" applyFill="1" applyBorder="1" applyAlignment="1">
      <alignment horizontal="center" vertical="center"/>
    </xf>
    <xf numFmtId="0" fontId="16" fillId="10" borderId="104" xfId="0" applyFont="1" applyFill="1" applyBorder="1" applyAlignment="1">
      <alignment horizontal="center" vertical="center"/>
    </xf>
    <xf numFmtId="0" fontId="16" fillId="10" borderId="36" xfId="0" applyFont="1" applyFill="1" applyBorder="1" applyAlignment="1">
      <alignment horizontal="center" vertical="center"/>
    </xf>
    <xf numFmtId="0" fontId="16" fillId="10" borderId="36" xfId="0" applyFont="1" applyFill="1" applyBorder="1" applyAlignment="1">
      <alignment horizontal="center" vertical="center" wrapText="1"/>
    </xf>
    <xf numFmtId="0" fontId="16" fillId="10" borderId="37" xfId="0" applyFont="1" applyFill="1" applyBorder="1" applyAlignment="1">
      <alignment horizontal="center" vertical="center"/>
    </xf>
    <xf numFmtId="49" fontId="43" fillId="10" borderId="35" xfId="0" applyNumberFormat="1" applyFont="1" applyFill="1" applyBorder="1" applyAlignment="1">
      <alignment vertical="center"/>
    </xf>
    <xf numFmtId="49" fontId="43" fillId="10" borderId="36" xfId="0" applyNumberFormat="1" applyFont="1" applyFill="1" applyBorder="1" applyAlignment="1">
      <alignment vertical="center"/>
    </xf>
    <xf numFmtId="49" fontId="43" fillId="10" borderId="36" xfId="0" applyNumberFormat="1" applyFont="1" applyFill="1" applyBorder="1" applyAlignment="1">
      <alignment horizontal="center" vertical="center"/>
    </xf>
    <xf numFmtId="49" fontId="43" fillId="10" borderId="36" xfId="0" applyNumberFormat="1" applyFont="1" applyFill="1" applyBorder="1" applyAlignment="1">
      <alignment horizontal="right" vertical="center"/>
    </xf>
    <xf numFmtId="49" fontId="43" fillId="10" borderId="37" xfId="0" applyNumberFormat="1" applyFont="1" applyFill="1" applyBorder="1" applyAlignment="1">
      <alignment vertical="center"/>
    </xf>
    <xf numFmtId="0" fontId="41" fillId="10" borderId="35" xfId="0" applyFont="1" applyFill="1" applyBorder="1" applyAlignment="1">
      <alignment vertical="center"/>
    </xf>
    <xf numFmtId="0" fontId="41" fillId="10" borderId="36" xfId="0" applyFont="1" applyFill="1" applyBorder="1" applyAlignment="1">
      <alignment vertical="center"/>
    </xf>
    <xf numFmtId="0" fontId="41" fillId="10" borderId="36" xfId="0" applyFont="1" applyFill="1" applyBorder="1" applyAlignment="1">
      <alignment horizontal="center" vertical="center"/>
    </xf>
    <xf numFmtId="168" fontId="43" fillId="10" borderId="36" xfId="0" applyNumberFormat="1" applyFont="1" applyFill="1" applyBorder="1" applyAlignment="1">
      <alignment horizontal="right" vertical="center"/>
    </xf>
    <xf numFmtId="164" fontId="41" fillId="10" borderId="36" xfId="0" applyNumberFormat="1" applyFont="1" applyFill="1" applyBorder="1" applyAlignment="1">
      <alignment vertical="center"/>
    </xf>
    <xf numFmtId="167" fontId="41" fillId="10" borderId="37" xfId="0" applyNumberFormat="1" applyFont="1" applyFill="1" applyBorder="1" applyAlignment="1">
      <alignment vertical="center"/>
    </xf>
    <xf numFmtId="0" fontId="0" fillId="11" borderId="0" xfId="0" applyFill="1"/>
    <xf numFmtId="0" fontId="16" fillId="10" borderId="41" xfId="0" applyFont="1" applyFill="1" applyBorder="1" applyAlignment="1">
      <alignment horizontal="center" vertical="center"/>
    </xf>
    <xf numFmtId="0" fontId="16" fillId="10" borderId="90" xfId="0" applyFont="1" applyFill="1" applyBorder="1" applyAlignment="1">
      <alignment horizontal="center" vertical="center" wrapText="1"/>
    </xf>
    <xf numFmtId="0" fontId="20" fillId="10" borderId="50" xfId="0" applyFont="1" applyFill="1" applyBorder="1" applyAlignment="1">
      <alignment horizontal="center" vertical="center"/>
    </xf>
    <xf numFmtId="0" fontId="20" fillId="10" borderId="51" xfId="0" applyFont="1" applyFill="1" applyBorder="1" applyAlignment="1">
      <alignment horizontal="center" vertical="center"/>
    </xf>
    <xf numFmtId="0" fontId="20" fillId="10" borderId="52" xfId="0" applyFont="1" applyFill="1" applyBorder="1" applyAlignment="1">
      <alignment horizontal="center" vertical="center"/>
    </xf>
    <xf numFmtId="0" fontId="41" fillId="11" borderId="0" xfId="0" applyFont="1" applyFill="1" applyAlignment="1">
      <alignment vertical="center"/>
    </xf>
    <xf numFmtId="0" fontId="40" fillId="11" borderId="0" xfId="0" applyFont="1" applyFill="1" applyAlignment="1">
      <alignment vertical="center"/>
    </xf>
    <xf numFmtId="164" fontId="41" fillId="11" borderId="0" xfId="3" applyFont="1" applyFill="1" applyAlignment="1">
      <alignment vertical="center"/>
    </xf>
    <xf numFmtId="0" fontId="41" fillId="11" borderId="0" xfId="0" applyFont="1" applyFill="1" applyAlignment="1">
      <alignment horizontal="right" vertical="center"/>
    </xf>
    <xf numFmtId="0" fontId="41" fillId="11" borderId="0" xfId="0" applyFont="1" applyFill="1" applyAlignment="1">
      <alignment horizontal="center" vertical="center"/>
    </xf>
    <xf numFmtId="0" fontId="16" fillId="11" borderId="0" xfId="0" applyFont="1" applyFill="1"/>
    <xf numFmtId="0" fontId="20" fillId="11" borderId="0" xfId="0" applyFont="1" applyFill="1"/>
    <xf numFmtId="0" fontId="16" fillId="11" borderId="0" xfId="0" applyFont="1" applyFill="1" applyAlignment="1">
      <alignment vertical="top"/>
    </xf>
    <xf numFmtId="0" fontId="23" fillId="11" borderId="0" xfId="0" applyFont="1" applyFill="1" applyAlignment="1">
      <alignment vertical="center"/>
    </xf>
    <xf numFmtId="0" fontId="52" fillId="11" borderId="0" xfId="0" applyFont="1" applyFill="1" applyAlignment="1">
      <alignment vertical="center"/>
    </xf>
    <xf numFmtId="0" fontId="16" fillId="11" borderId="0" xfId="0" applyFont="1" applyFill="1" applyAlignment="1">
      <alignment horizontal="center"/>
    </xf>
    <xf numFmtId="41" fontId="16" fillId="11" borderId="0" xfId="1" applyFont="1" applyFill="1"/>
    <xf numFmtId="0" fontId="16" fillId="11" borderId="0" xfId="0" applyFont="1" applyFill="1" applyAlignment="1">
      <alignment vertical="center"/>
    </xf>
    <xf numFmtId="0" fontId="51" fillId="11" borderId="0" xfId="0" applyFont="1" applyFill="1" applyAlignment="1">
      <alignment vertical="center"/>
    </xf>
    <xf numFmtId="0" fontId="20" fillId="11" borderId="0" xfId="0" applyFont="1" applyFill="1" applyAlignment="1">
      <alignment horizontal="center" vertical="center"/>
    </xf>
    <xf numFmtId="0" fontId="53" fillId="11" borderId="0" xfId="0" applyFont="1" applyFill="1" applyAlignment="1">
      <alignment horizontal="center" vertical="center"/>
    </xf>
    <xf numFmtId="0" fontId="53" fillId="11" borderId="0" xfId="0" applyFont="1" applyFill="1" applyAlignment="1">
      <alignment horizontal="left" vertical="center"/>
    </xf>
    <xf numFmtId="0" fontId="38" fillId="11" borderId="0" xfId="0" applyFont="1" applyFill="1" applyAlignment="1">
      <alignment vertical="center"/>
    </xf>
    <xf numFmtId="0" fontId="38" fillId="11" borderId="0" xfId="0" applyFont="1" applyFill="1" applyAlignment="1">
      <alignment horizontal="center" vertical="center"/>
    </xf>
    <xf numFmtId="0" fontId="49" fillId="11" borderId="0" xfId="0" applyFont="1" applyFill="1" applyAlignment="1">
      <alignment vertical="center"/>
    </xf>
    <xf numFmtId="0" fontId="49" fillId="11" borderId="58" xfId="0" applyFont="1" applyFill="1" applyBorder="1" applyAlignment="1">
      <alignment vertical="center"/>
    </xf>
    <xf numFmtId="0" fontId="13" fillId="11" borderId="0" xfId="0" applyFont="1" applyFill="1"/>
    <xf numFmtId="0" fontId="27" fillId="11" borderId="0" xfId="0" applyFont="1" applyFill="1" applyAlignment="1">
      <alignment vertical="center"/>
    </xf>
    <xf numFmtId="0" fontId="50" fillId="11" borderId="0" xfId="0" applyFont="1" applyFill="1" applyAlignment="1">
      <alignment vertical="center"/>
    </xf>
    <xf numFmtId="0" fontId="50" fillId="11" borderId="58" xfId="0" applyFont="1" applyFill="1" applyBorder="1" applyAlignment="1">
      <alignment vertical="center"/>
    </xf>
    <xf numFmtId="0" fontId="28" fillId="11" borderId="0" xfId="0" applyFont="1" applyFill="1" applyAlignment="1">
      <alignment horizontal="center" vertical="center"/>
    </xf>
    <xf numFmtId="0" fontId="22" fillId="11" borderId="0" xfId="0" applyFont="1" applyFill="1"/>
    <xf numFmtId="4" fontId="18" fillId="11" borderId="0" xfId="0" applyNumberFormat="1" applyFont="1" applyFill="1"/>
    <xf numFmtId="3" fontId="29" fillId="11" borderId="0" xfId="0" applyNumberFormat="1" applyFont="1" applyFill="1" applyAlignment="1">
      <alignment horizontal="center"/>
    </xf>
    <xf numFmtId="4" fontId="18" fillId="11" borderId="0" xfId="0" applyNumberFormat="1" applyFont="1" applyFill="1" applyAlignment="1">
      <alignment horizontal="left" vertical="center"/>
    </xf>
    <xf numFmtId="177" fontId="31" fillId="11" borderId="0" xfId="0" applyNumberFormat="1" applyFont="1" applyFill="1" applyAlignment="1">
      <alignment horizontal="center" vertical="center"/>
    </xf>
    <xf numFmtId="3" fontId="31" fillId="11" borderId="0" xfId="0" applyNumberFormat="1" applyFont="1" applyFill="1"/>
    <xf numFmtId="4" fontId="31" fillId="11" borderId="0" xfId="0" applyNumberFormat="1" applyFont="1" applyFill="1"/>
    <xf numFmtId="0" fontId="18" fillId="11" borderId="0" xfId="0" applyFont="1" applyFill="1"/>
    <xf numFmtId="0" fontId="18" fillId="11" borderId="0" xfId="0" applyFont="1" applyFill="1" applyAlignment="1">
      <alignment horizontal="center" vertical="center"/>
    </xf>
    <xf numFmtId="0" fontId="18" fillId="11" borderId="0" xfId="0" applyFont="1" applyFill="1" applyAlignment="1">
      <alignment horizontal="right" vertical="center" indent="1"/>
    </xf>
    <xf numFmtId="4" fontId="18" fillId="11" borderId="0" xfId="0" applyNumberFormat="1" applyFont="1" applyFill="1" applyAlignment="1">
      <alignment horizontal="center" vertical="center"/>
    </xf>
    <xf numFmtId="168" fontId="18" fillId="11" borderId="0" xfId="0" applyNumberFormat="1" applyFont="1" applyFill="1" applyAlignment="1">
      <alignment horizontal="center" vertical="center"/>
    </xf>
    <xf numFmtId="0" fontId="17" fillId="11" borderId="0" xfId="0" applyFont="1" applyFill="1" applyAlignment="1">
      <alignment wrapText="1"/>
    </xf>
    <xf numFmtId="4" fontId="30" fillId="11" borderId="0" xfId="0" applyNumberFormat="1" applyFont="1" applyFill="1" applyAlignment="1">
      <alignment horizontal="center" vertical="center"/>
    </xf>
    <xf numFmtId="0" fontId="17" fillId="11" borderId="0" xfId="0" applyFont="1" applyFill="1" applyAlignment="1">
      <alignment horizontal="center"/>
    </xf>
    <xf numFmtId="0" fontId="13" fillId="11" borderId="0" xfId="0" applyFont="1" applyFill="1" applyAlignment="1">
      <alignment horizontal="center"/>
    </xf>
    <xf numFmtId="0" fontId="14" fillId="11" borderId="0" xfId="0" applyFont="1" applyFill="1"/>
    <xf numFmtId="0" fontId="28" fillId="11" borderId="0" xfId="0" applyFont="1" applyFill="1" applyAlignment="1">
      <alignment vertical="center"/>
    </xf>
    <xf numFmtId="0" fontId="0" fillId="11" borderId="0" xfId="0" applyFill="1" applyAlignment="1">
      <alignment vertical="center"/>
    </xf>
    <xf numFmtId="0" fontId="0" fillId="11" borderId="0" xfId="0" applyFill="1" applyAlignment="1">
      <alignment horizontal="center" vertical="center"/>
    </xf>
    <xf numFmtId="0" fontId="16" fillId="0" borderId="0" xfId="0" applyFont="1"/>
    <xf numFmtId="0" fontId="16" fillId="0" borderId="0" xfId="0" applyFont="1" applyAlignment="1">
      <alignment vertical="center"/>
    </xf>
    <xf numFmtId="0" fontId="20" fillId="0" borderId="0" xfId="0" applyFont="1" applyAlignment="1">
      <alignment horizontal="center" vertical="center"/>
    </xf>
    <xf numFmtId="0" fontId="20" fillId="0" borderId="0" xfId="0" applyFont="1"/>
    <xf numFmtId="0" fontId="16" fillId="0" borderId="0" xfId="0" applyFont="1" applyAlignment="1">
      <alignment vertical="top"/>
    </xf>
    <xf numFmtId="0" fontId="38" fillId="0" borderId="0" xfId="0" applyFont="1" applyAlignment="1">
      <alignment vertical="center"/>
    </xf>
    <xf numFmtId="0" fontId="27" fillId="0" borderId="0" xfId="0" applyFont="1" applyAlignment="1">
      <alignment vertical="center"/>
    </xf>
    <xf numFmtId="0" fontId="59" fillId="11" borderId="0" xfId="0" applyFont="1" applyFill="1" applyAlignment="1">
      <alignment vertical="top"/>
    </xf>
    <xf numFmtId="0" fontId="59" fillId="11" borderId="0" xfId="0" applyFont="1" applyFill="1" applyAlignment="1">
      <alignment horizontal="right" vertical="top"/>
    </xf>
    <xf numFmtId="0" fontId="59" fillId="11" borderId="0" xfId="0" applyFont="1" applyFill="1" applyAlignment="1">
      <alignment horizontal="left" vertical="top"/>
    </xf>
    <xf numFmtId="0" fontId="59" fillId="11" borderId="0" xfId="0" applyFont="1" applyFill="1" applyAlignment="1">
      <alignment horizontal="centerContinuous" vertical="top"/>
    </xf>
    <xf numFmtId="0" fontId="59" fillId="11" borderId="0" xfId="0" applyFont="1" applyFill="1" applyAlignment="1">
      <alignment horizontal="center" vertical="top"/>
    </xf>
    <xf numFmtId="0" fontId="59" fillId="11" borderId="0" xfId="2" applyNumberFormat="1" applyFont="1" applyFill="1" applyBorder="1" applyAlignment="1">
      <alignment vertical="top"/>
    </xf>
    <xf numFmtId="2" fontId="59" fillId="11" borderId="0" xfId="0" applyNumberFormat="1" applyFont="1" applyFill="1" applyAlignment="1">
      <alignment horizontal="center" vertical="top"/>
    </xf>
    <xf numFmtId="43" fontId="59" fillId="11" borderId="0" xfId="2" applyFont="1" applyFill="1" applyBorder="1" applyAlignment="1">
      <alignment horizontal="centerContinuous" vertical="top"/>
    </xf>
    <xf numFmtId="43" fontId="59" fillId="11" borderId="0" xfId="2" applyFont="1" applyFill="1" applyBorder="1" applyAlignment="1">
      <alignment vertical="top"/>
    </xf>
    <xf numFmtId="0" fontId="62" fillId="11" borderId="0" xfId="0" applyFont="1" applyFill="1" applyAlignment="1">
      <alignment vertical="top"/>
    </xf>
    <xf numFmtId="0" fontId="59" fillId="11" borderId="58" xfId="0" applyFont="1" applyFill="1" applyBorder="1" applyAlignment="1">
      <alignment horizontal="left" vertical="top"/>
    </xf>
    <xf numFmtId="0" fontId="59" fillId="11" borderId="58" xfId="0" applyFont="1" applyFill="1" applyBorder="1" applyAlignment="1">
      <alignment horizontal="centerContinuous" vertical="top"/>
    </xf>
    <xf numFmtId="0" fontId="59" fillId="11" borderId="58" xfId="0" applyFont="1" applyFill="1" applyBorder="1" applyAlignment="1">
      <alignment horizontal="center" vertical="top"/>
    </xf>
    <xf numFmtId="0" fontId="59" fillId="11" borderId="58" xfId="2" applyNumberFormat="1" applyFont="1" applyFill="1" applyBorder="1" applyAlignment="1">
      <alignment vertical="top"/>
    </xf>
    <xf numFmtId="2" fontId="59" fillId="11" borderId="58" xfId="0" applyNumberFormat="1" applyFont="1" applyFill="1" applyBorder="1" applyAlignment="1">
      <alignment horizontal="center" vertical="top"/>
    </xf>
    <xf numFmtId="43" fontId="59" fillId="11" borderId="58" xfId="2" applyFont="1" applyFill="1" applyBorder="1" applyAlignment="1">
      <alignment horizontal="centerContinuous" vertical="top"/>
    </xf>
    <xf numFmtId="43" fontId="63" fillId="11" borderId="58" xfId="2" applyFont="1" applyFill="1" applyBorder="1" applyAlignment="1">
      <alignment horizontal="centerContinuous" vertical="top"/>
    </xf>
    <xf numFmtId="0" fontId="62" fillId="11" borderId="0" xfId="0" applyFont="1" applyFill="1" applyAlignment="1">
      <alignment horizontal="center" vertical="top"/>
    </xf>
    <xf numFmtId="0" fontId="59" fillId="0" borderId="0" xfId="0" applyFont="1" applyAlignment="1">
      <alignment horizontal="center" vertical="top"/>
    </xf>
    <xf numFmtId="43" fontId="59" fillId="0" borderId="0" xfId="2" applyFont="1" applyFill="1" applyBorder="1" applyAlignment="1">
      <alignment horizontal="center" vertical="top"/>
    </xf>
    <xf numFmtId="0" fontId="59" fillId="0" borderId="0" xfId="0" applyFont="1" applyAlignment="1">
      <alignment horizontal="right" vertical="top"/>
    </xf>
    <xf numFmtId="0" fontId="66" fillId="0" borderId="89" xfId="0" applyFont="1" applyBorder="1" applyAlignment="1">
      <alignment horizontal="centerContinuous" vertical="top"/>
    </xf>
    <xf numFmtId="1" fontId="66" fillId="0" borderId="89" xfId="0" applyNumberFormat="1" applyFont="1" applyBorder="1" applyAlignment="1">
      <alignment horizontal="center" vertical="top"/>
    </xf>
    <xf numFmtId="0" fontId="67" fillId="0" borderId="105" xfId="2" applyNumberFormat="1" applyFont="1" applyFill="1" applyBorder="1" applyAlignment="1">
      <alignment horizontal="center" vertical="top"/>
    </xf>
    <xf numFmtId="3" fontId="67" fillId="0" borderId="89" xfId="0" applyNumberFormat="1" applyFont="1" applyBorder="1" applyAlignment="1">
      <alignment horizontal="center" vertical="top"/>
    </xf>
    <xf numFmtId="43" fontId="59" fillId="0" borderId="0" xfId="2" applyFont="1" applyFill="1" applyBorder="1" applyAlignment="1">
      <alignment vertical="top"/>
    </xf>
    <xf numFmtId="0" fontId="59" fillId="0" borderId="0" xfId="0" applyFont="1" applyAlignment="1">
      <alignment vertical="top"/>
    </xf>
    <xf numFmtId="0" fontId="60" fillId="0" borderId="0" xfId="0" applyFont="1" applyAlignment="1">
      <alignment horizontal="right" vertical="top"/>
    </xf>
    <xf numFmtId="0" fontId="65" fillId="13" borderId="2" xfId="0" applyFont="1" applyFill="1" applyBorder="1" applyAlignment="1">
      <alignment horizontal="center" vertical="top"/>
    </xf>
    <xf numFmtId="0" fontId="65" fillId="13" borderId="19" xfId="0" applyFont="1" applyFill="1" applyBorder="1" applyAlignment="1">
      <alignment horizontal="left" vertical="top"/>
    </xf>
    <xf numFmtId="0" fontId="59" fillId="13" borderId="20" xfId="0" applyFont="1" applyFill="1" applyBorder="1" applyAlignment="1">
      <alignment horizontal="left" vertical="top"/>
    </xf>
    <xf numFmtId="0" fontId="59" fillId="13" borderId="2" xfId="2" applyNumberFormat="1" applyFont="1" applyFill="1" applyBorder="1" applyAlignment="1">
      <alignment vertical="top"/>
    </xf>
    <xf numFmtId="2" fontId="59" fillId="13" borderId="2" xfId="0" applyNumberFormat="1" applyFont="1" applyFill="1" applyBorder="1" applyAlignment="1">
      <alignment horizontal="center" vertical="top"/>
    </xf>
    <xf numFmtId="43" fontId="59" fillId="13" borderId="20" xfId="2" applyFont="1" applyFill="1" applyBorder="1" applyAlignment="1">
      <alignment vertical="top"/>
    </xf>
    <xf numFmtId="166" fontId="68" fillId="13" borderId="2" xfId="0" applyNumberFormat="1" applyFont="1" applyFill="1" applyBorder="1" applyAlignment="1">
      <alignment vertical="top"/>
    </xf>
    <xf numFmtId="43" fontId="59" fillId="0" borderId="0" xfId="2" applyFont="1" applyFill="1" applyAlignment="1">
      <alignment vertical="top"/>
    </xf>
    <xf numFmtId="0" fontId="59" fillId="0" borderId="2" xfId="0" applyFont="1" applyBorder="1" applyAlignment="1">
      <alignment horizontal="center" vertical="top"/>
    </xf>
    <xf numFmtId="0" fontId="59" fillId="0" borderId="19" xfId="0" applyFont="1" applyBorder="1" applyAlignment="1">
      <alignment horizontal="left" vertical="top"/>
    </xf>
    <xf numFmtId="0" fontId="59" fillId="0" borderId="20" xfId="0" applyFont="1" applyBorder="1" applyAlignment="1">
      <alignment horizontal="left" vertical="top"/>
    </xf>
    <xf numFmtId="0" fontId="59" fillId="0" borderId="2" xfId="2" applyNumberFormat="1" applyFont="1" applyFill="1" applyBorder="1" applyAlignment="1">
      <alignment horizontal="center" vertical="top"/>
    </xf>
    <xf numFmtId="2" fontId="59" fillId="0" borderId="2" xfId="0" applyNumberFormat="1" applyFont="1" applyBorder="1" applyAlignment="1">
      <alignment horizontal="center" vertical="top"/>
    </xf>
    <xf numFmtId="43" fontId="59" fillId="0" borderId="19" xfId="2" applyFont="1" applyFill="1" applyBorder="1" applyAlignment="1">
      <alignment horizontal="center" vertical="top"/>
    </xf>
    <xf numFmtId="166" fontId="59" fillId="0" borderId="2" xfId="1" applyNumberFormat="1" applyFont="1" applyFill="1" applyBorder="1" applyAlignment="1">
      <alignment horizontal="right" vertical="top"/>
    </xf>
    <xf numFmtId="0" fontId="65" fillId="11" borderId="0" xfId="0" applyFont="1" applyFill="1" applyAlignment="1">
      <alignment vertical="top"/>
    </xf>
    <xf numFmtId="0" fontId="65" fillId="0" borderId="2" xfId="0" applyFont="1" applyBorder="1" applyAlignment="1">
      <alignment horizontal="center" vertical="top"/>
    </xf>
    <xf numFmtId="0" fontId="65" fillId="0" borderId="19" xfId="0" applyFont="1" applyBorder="1" applyAlignment="1">
      <alignment horizontal="left" vertical="top"/>
    </xf>
    <xf numFmtId="0" fontId="65" fillId="0" borderId="20" xfId="0" applyFont="1" applyBorder="1" applyAlignment="1">
      <alignment horizontal="left" vertical="top"/>
    </xf>
    <xf numFmtId="2" fontId="65" fillId="0" borderId="2" xfId="0" applyNumberFormat="1" applyFont="1" applyBorder="1" applyAlignment="1">
      <alignment horizontal="center" vertical="top"/>
    </xf>
    <xf numFmtId="43" fontId="65" fillId="6" borderId="19" xfId="2" applyFont="1" applyFill="1" applyBorder="1" applyAlignment="1">
      <alignment horizontal="right" vertical="top"/>
    </xf>
    <xf numFmtId="166" fontId="65" fillId="6" borderId="2" xfId="1" applyNumberFormat="1" applyFont="1" applyFill="1" applyBorder="1" applyAlignment="1">
      <alignment horizontal="right" vertical="top"/>
    </xf>
    <xf numFmtId="43" fontId="65" fillId="0" borderId="0" xfId="2" applyFont="1" applyFill="1" applyAlignment="1">
      <alignment vertical="top"/>
    </xf>
    <xf numFmtId="0" fontId="65" fillId="0" borderId="0" xfId="0" applyFont="1" applyAlignment="1">
      <alignment vertical="top"/>
    </xf>
    <xf numFmtId="0" fontId="63" fillId="13" borderId="20" xfId="0" applyFont="1" applyFill="1" applyBorder="1" applyAlignment="1">
      <alignment horizontal="left" vertical="top"/>
    </xf>
    <xf numFmtId="0" fontId="63" fillId="13" borderId="2" xfId="0" applyFont="1" applyFill="1" applyBorder="1" applyAlignment="1">
      <alignment horizontal="center" vertical="top"/>
    </xf>
    <xf numFmtId="0" fontId="63" fillId="0" borderId="20" xfId="0" applyFont="1" applyBorder="1" applyAlignment="1">
      <alignment horizontal="left" vertical="top"/>
    </xf>
    <xf numFmtId="43" fontId="59" fillId="0" borderId="20" xfId="2" applyFont="1" applyFill="1" applyBorder="1" applyAlignment="1">
      <alignment vertical="top"/>
    </xf>
    <xf numFmtId="0" fontId="59" fillId="0" borderId="2" xfId="0" applyFont="1" applyBorder="1" applyAlignment="1">
      <alignment horizontal="right" vertical="top"/>
    </xf>
    <xf numFmtId="0" fontId="65" fillId="0" borderId="19" xfId="10" applyFont="1" applyBorder="1" applyAlignment="1">
      <alignment horizontal="left" vertical="top"/>
    </xf>
    <xf numFmtId="2" fontId="63" fillId="13" borderId="2" xfId="0" applyNumberFormat="1" applyFont="1" applyFill="1" applyBorder="1" applyAlignment="1">
      <alignment horizontal="center" vertical="top"/>
    </xf>
    <xf numFmtId="166" fontId="59" fillId="0" borderId="0" xfId="2" applyNumberFormat="1" applyFont="1" applyFill="1" applyAlignment="1">
      <alignment vertical="top"/>
    </xf>
    <xf numFmtId="0" fontId="65" fillId="0" borderId="2" xfId="0" quotePrefix="1" applyFont="1" applyBorder="1" applyAlignment="1">
      <alignment horizontal="center" vertical="top"/>
    </xf>
    <xf numFmtId="0" fontId="59" fillId="0" borderId="2" xfId="0" quotePrefix="1" applyFont="1" applyBorder="1" applyAlignment="1">
      <alignment horizontal="center" vertical="top"/>
    </xf>
    <xf numFmtId="0" fontId="59" fillId="0" borderId="2" xfId="0" quotePrefix="1" applyFont="1" applyBorder="1" applyAlignment="1">
      <alignment horizontal="right" vertical="top"/>
    </xf>
    <xf numFmtId="0" fontId="69" fillId="13" borderId="20" xfId="0" applyFont="1" applyFill="1" applyBorder="1" applyAlignment="1">
      <alignment horizontal="left" vertical="top"/>
    </xf>
    <xf numFmtId="0" fontId="63" fillId="13" borderId="20" xfId="0" applyFont="1" applyFill="1" applyBorder="1" applyAlignment="1">
      <alignment vertical="top"/>
    </xf>
    <xf numFmtId="166" fontId="59" fillId="13" borderId="2" xfId="0" applyNumberFormat="1" applyFont="1" applyFill="1" applyBorder="1" applyAlignment="1">
      <alignment vertical="top"/>
    </xf>
    <xf numFmtId="0" fontId="59" fillId="0" borderId="19" xfId="0" applyFont="1" applyBorder="1" applyAlignment="1">
      <alignment horizontal="center" vertical="top"/>
    </xf>
    <xf numFmtId="0" fontId="63" fillId="0" borderId="20" xfId="0" applyFont="1" applyBorder="1" applyAlignment="1">
      <alignment vertical="top"/>
    </xf>
    <xf numFmtId="0" fontId="59" fillId="0" borderId="20" xfId="0" applyFont="1" applyBorder="1" applyAlignment="1">
      <alignment vertical="top"/>
    </xf>
    <xf numFmtId="0" fontId="59" fillId="13" borderId="20" xfId="0" applyFont="1" applyFill="1" applyBorder="1" applyAlignment="1">
      <alignment vertical="top"/>
    </xf>
    <xf numFmtId="0" fontId="59" fillId="13" borderId="2" xfId="0" applyFont="1" applyFill="1" applyBorder="1" applyAlignment="1">
      <alignment horizontal="left" vertical="top"/>
    </xf>
    <xf numFmtId="0" fontId="65" fillId="0" borderId="19" xfId="0" applyFont="1" applyBorder="1" applyAlignment="1">
      <alignment horizontal="center" vertical="top"/>
    </xf>
    <xf numFmtId="2" fontId="63" fillId="13" borderId="20" xfId="0" applyNumberFormat="1" applyFont="1" applyFill="1" applyBorder="1" applyAlignment="1">
      <alignment vertical="top"/>
    </xf>
    <xf numFmtId="0" fontId="59" fillId="0" borderId="33" xfId="0" applyFont="1" applyBorder="1" applyAlignment="1">
      <alignment horizontal="center" vertical="top"/>
    </xf>
    <xf numFmtId="0" fontId="59" fillId="0" borderId="72" xfId="0" applyFont="1" applyBorder="1" applyAlignment="1">
      <alignment horizontal="left" vertical="top"/>
    </xf>
    <xf numFmtId="0" fontId="59" fillId="0" borderId="26" xfId="0" applyFont="1" applyBorder="1" applyAlignment="1">
      <alignment vertical="top"/>
    </xf>
    <xf numFmtId="0" fontId="59" fillId="0" borderId="33" xfId="2" applyNumberFormat="1" applyFont="1" applyFill="1" applyBorder="1" applyAlignment="1">
      <alignment horizontal="center" vertical="top"/>
    </xf>
    <xf numFmtId="2" fontId="59" fillId="0" borderId="33" xfId="0" applyNumberFormat="1" applyFont="1" applyBorder="1" applyAlignment="1">
      <alignment horizontal="center" vertical="top"/>
    </xf>
    <xf numFmtId="43" fontId="65" fillId="6" borderId="72" xfId="2" applyFont="1" applyFill="1" applyBorder="1" applyAlignment="1">
      <alignment horizontal="right" vertical="top"/>
    </xf>
    <xf numFmtId="166" fontId="65" fillId="6" borderId="33" xfId="1" applyNumberFormat="1" applyFont="1" applyFill="1" applyBorder="1" applyAlignment="1">
      <alignment horizontal="right" vertical="top"/>
    </xf>
    <xf numFmtId="0" fontId="59" fillId="0" borderId="0" xfId="2" applyNumberFormat="1" applyFont="1" applyFill="1" applyAlignment="1">
      <alignment vertical="top"/>
    </xf>
    <xf numFmtId="2" fontId="59" fillId="0" borderId="0" xfId="0" applyNumberFormat="1" applyFont="1" applyAlignment="1">
      <alignment horizontal="center" vertical="top"/>
    </xf>
    <xf numFmtId="0" fontId="0" fillId="11" borderId="0" xfId="0" applyFill="1" applyAlignment="1">
      <alignment horizontal="center"/>
    </xf>
    <xf numFmtId="0" fontId="1" fillId="11" borderId="0" xfId="0" applyFont="1" applyFill="1"/>
    <xf numFmtId="0" fontId="0" fillId="0" borderId="64" xfId="0" applyBorder="1"/>
    <xf numFmtId="0" fontId="0" fillId="0" borderId="0" xfId="0" applyAlignment="1">
      <alignment horizontal="right"/>
    </xf>
    <xf numFmtId="42" fontId="0" fillId="0" borderId="91" xfId="0" applyNumberFormat="1" applyBorder="1"/>
    <xf numFmtId="0" fontId="70" fillId="11" borderId="0" xfId="0" applyFont="1" applyFill="1" applyAlignment="1">
      <alignment vertical="center"/>
    </xf>
    <xf numFmtId="0" fontId="70" fillId="11" borderId="0" xfId="0" applyFont="1" applyFill="1" applyAlignment="1">
      <alignment horizontal="right" vertical="center"/>
    </xf>
    <xf numFmtId="0" fontId="71" fillId="11" borderId="0" xfId="0" applyFont="1" applyFill="1" applyAlignment="1">
      <alignment horizontal="centerContinuous" vertical="center"/>
    </xf>
    <xf numFmtId="43" fontId="70" fillId="11" borderId="0" xfId="2" applyFont="1" applyFill="1" applyAlignment="1">
      <alignment vertical="center"/>
    </xf>
    <xf numFmtId="0" fontId="71" fillId="11" borderId="0" xfId="2" applyNumberFormat="1" applyFont="1" applyFill="1" applyAlignment="1">
      <alignment vertical="center"/>
    </xf>
    <xf numFmtId="0" fontId="71" fillId="11" borderId="0" xfId="0" applyFont="1" applyFill="1" applyAlignment="1">
      <alignment horizontal="center" vertical="center"/>
    </xf>
    <xf numFmtId="43" fontId="71" fillId="11" borderId="0" xfId="2" applyFont="1" applyFill="1" applyAlignment="1">
      <alignment horizontal="center" vertical="center"/>
    </xf>
    <xf numFmtId="0" fontId="70" fillId="11" borderId="0" xfId="0" applyFont="1" applyFill="1" applyAlignment="1">
      <alignment horizontal="center" vertical="center"/>
    </xf>
    <xf numFmtId="0" fontId="70" fillId="0" borderId="0" xfId="0" applyFont="1" applyAlignment="1">
      <alignment horizontal="center" vertical="center"/>
    </xf>
    <xf numFmtId="0" fontId="71" fillId="10" borderId="11" xfId="0" applyFont="1" applyFill="1" applyBorder="1" applyAlignment="1">
      <alignment horizontal="centerContinuous" vertical="center"/>
    </xf>
    <xf numFmtId="43" fontId="70" fillId="0" borderId="0" xfId="2" applyFont="1" applyAlignment="1">
      <alignment horizontal="center" vertical="center"/>
    </xf>
    <xf numFmtId="0" fontId="71" fillId="0" borderId="0" xfId="0" applyFont="1" applyAlignment="1">
      <alignment horizontal="right" vertical="center"/>
    </xf>
    <xf numFmtId="0" fontId="70" fillId="0" borderId="89" xfId="0" applyFont="1" applyBorder="1" applyAlignment="1">
      <alignment horizontal="center" vertical="center"/>
    </xf>
    <xf numFmtId="0" fontId="70" fillId="0" borderId="105" xfId="0" applyFont="1" applyBorder="1" applyAlignment="1">
      <alignment horizontal="left" vertical="center"/>
    </xf>
    <xf numFmtId="0" fontId="70" fillId="0" borderId="106" xfId="0" applyFont="1" applyBorder="1" applyAlignment="1">
      <alignment horizontal="left" vertical="center"/>
    </xf>
    <xf numFmtId="0" fontId="70" fillId="0" borderId="107" xfId="0" applyFont="1" applyBorder="1" applyAlignment="1">
      <alignment horizontal="left" vertical="center"/>
    </xf>
    <xf numFmtId="0" fontId="70" fillId="0" borderId="89" xfId="2" applyNumberFormat="1" applyFont="1" applyFill="1" applyBorder="1" applyAlignment="1">
      <alignment vertical="center"/>
    </xf>
    <xf numFmtId="43" fontId="70" fillId="0" borderId="89" xfId="2" applyFont="1" applyFill="1" applyBorder="1" applyAlignment="1">
      <alignment vertical="center"/>
    </xf>
    <xf numFmtId="166" fontId="71" fillId="0" borderId="89" xfId="0" applyNumberFormat="1" applyFont="1" applyBorder="1" applyAlignment="1">
      <alignment vertical="center"/>
    </xf>
    <xf numFmtId="166" fontId="71" fillId="0" borderId="89" xfId="0" applyNumberFormat="1" applyFont="1" applyBorder="1" applyAlignment="1">
      <alignment horizontal="center" vertical="center"/>
    </xf>
    <xf numFmtId="43" fontId="70" fillId="0" borderId="0" xfId="2" applyFont="1" applyAlignment="1">
      <alignment vertical="center"/>
    </xf>
    <xf numFmtId="0" fontId="70" fillId="0" borderId="0" xfId="0" applyFont="1" applyAlignment="1">
      <alignment vertical="center"/>
    </xf>
    <xf numFmtId="0" fontId="70" fillId="0" borderId="0" xfId="0" applyFont="1" applyAlignment="1">
      <alignment horizontal="left" vertical="center"/>
    </xf>
    <xf numFmtId="0" fontId="71" fillId="13" borderId="2" xfId="0" applyFont="1" applyFill="1" applyBorder="1" applyAlignment="1">
      <alignment horizontal="center" vertical="center"/>
    </xf>
    <xf numFmtId="0" fontId="71" fillId="13" borderId="19" xfId="0" applyFont="1" applyFill="1" applyBorder="1" applyAlignment="1">
      <alignment horizontal="left" indent="1"/>
    </xf>
    <xf numFmtId="0" fontId="70" fillId="13" borderId="20" xfId="0" applyFont="1" applyFill="1" applyBorder="1" applyAlignment="1">
      <alignment horizontal="left" vertical="center"/>
    </xf>
    <xf numFmtId="0" fontId="70" fillId="13" borderId="21" xfId="0" applyFont="1" applyFill="1" applyBorder="1" applyAlignment="1">
      <alignment horizontal="left" vertical="center"/>
    </xf>
    <xf numFmtId="0" fontId="70" fillId="13" borderId="2" xfId="2" applyNumberFormat="1" applyFont="1" applyFill="1" applyBorder="1" applyAlignment="1">
      <alignment vertical="center"/>
    </xf>
    <xf numFmtId="0" fontId="70" fillId="13" borderId="2" xfId="0" applyFont="1" applyFill="1" applyBorder="1" applyAlignment="1">
      <alignment horizontal="center" vertical="center"/>
    </xf>
    <xf numFmtId="43" fontId="70" fillId="13" borderId="2" xfId="2" applyFont="1" applyFill="1" applyBorder="1" applyAlignment="1">
      <alignment vertical="center"/>
    </xf>
    <xf numFmtId="166" fontId="71" fillId="13" borderId="2" xfId="0" applyNumberFormat="1" applyFont="1" applyFill="1" applyBorder="1" applyAlignment="1">
      <alignment vertical="center"/>
    </xf>
    <xf numFmtId="166" fontId="70" fillId="13" borderId="2" xfId="0" applyNumberFormat="1" applyFont="1" applyFill="1" applyBorder="1" applyAlignment="1">
      <alignment horizontal="center" vertical="center"/>
    </xf>
    <xf numFmtId="43" fontId="70" fillId="0" borderId="0" xfId="0" applyNumberFormat="1" applyFont="1" applyAlignment="1">
      <alignment vertical="center"/>
    </xf>
    <xf numFmtId="0" fontId="70" fillId="0" borderId="0" xfId="0" applyFont="1" applyAlignment="1">
      <alignment horizontal="right" vertical="center"/>
    </xf>
    <xf numFmtId="0" fontId="70" fillId="0" borderId="2" xfId="0" applyFont="1" applyBorder="1" applyAlignment="1">
      <alignment horizontal="center" vertical="center"/>
    </xf>
    <xf numFmtId="0" fontId="70" fillId="0" borderId="19" xfId="0" applyFont="1" applyBorder="1" applyAlignment="1">
      <alignment horizontal="left" vertical="center" indent="1"/>
    </xf>
    <xf numFmtId="0" fontId="70" fillId="0" borderId="20" xfId="0" applyFont="1" applyBorder="1" applyAlignment="1">
      <alignment horizontal="left" vertical="center"/>
    </xf>
    <xf numFmtId="0" fontId="70" fillId="0" borderId="21" xfId="0" applyFont="1" applyBorder="1" applyAlignment="1">
      <alignment horizontal="left" vertical="center"/>
    </xf>
    <xf numFmtId="2" fontId="70" fillId="0" borderId="2" xfId="2" applyNumberFormat="1" applyFont="1" applyFill="1" applyBorder="1" applyAlignment="1">
      <alignment horizontal="center" vertical="center"/>
    </xf>
    <xf numFmtId="43" fontId="70" fillId="0" borderId="2" xfId="2" applyFont="1" applyFill="1" applyBorder="1" applyAlignment="1">
      <alignment horizontal="center" vertical="center"/>
    </xf>
    <xf numFmtId="166" fontId="70" fillId="0" borderId="2" xfId="1" applyNumberFormat="1" applyFont="1" applyFill="1" applyBorder="1" applyAlignment="1">
      <alignment horizontal="right" vertical="center"/>
    </xf>
    <xf numFmtId="166" fontId="70" fillId="0" borderId="2" xfId="1" applyNumberFormat="1" applyFont="1" applyFill="1" applyBorder="1" applyAlignment="1">
      <alignment horizontal="center" vertical="center"/>
    </xf>
    <xf numFmtId="43" fontId="70" fillId="0" borderId="2" xfId="2" applyFont="1" applyFill="1" applyBorder="1" applyAlignment="1">
      <alignment vertical="center"/>
    </xf>
    <xf numFmtId="43" fontId="71" fillId="6" borderId="2" xfId="2" applyFont="1" applyFill="1" applyBorder="1" applyAlignment="1">
      <alignment horizontal="right" vertical="center"/>
    </xf>
    <xf numFmtId="166" fontId="71" fillId="6" borderId="2" xfId="1" applyNumberFormat="1" applyFont="1" applyFill="1" applyBorder="1" applyAlignment="1">
      <alignment horizontal="right" vertical="center"/>
    </xf>
    <xf numFmtId="166" fontId="71" fillId="6" borderId="2" xfId="1" applyNumberFormat="1" applyFont="1" applyFill="1" applyBorder="1" applyAlignment="1">
      <alignment horizontal="center" vertical="center"/>
    </xf>
    <xf numFmtId="0" fontId="71" fillId="13" borderId="19" xfId="0" applyFont="1" applyFill="1" applyBorder="1" applyAlignment="1">
      <alignment horizontal="left" vertical="center" indent="1"/>
    </xf>
    <xf numFmtId="2" fontId="70" fillId="13" borderId="2" xfId="2" applyNumberFormat="1" applyFont="1" applyFill="1" applyBorder="1" applyAlignment="1">
      <alignment horizontal="center" vertical="center"/>
    </xf>
    <xf numFmtId="0" fontId="70" fillId="0" borderId="19" xfId="10" applyFont="1" applyBorder="1" applyAlignment="1">
      <alignment horizontal="left" vertical="center" indent="1"/>
    </xf>
    <xf numFmtId="0" fontId="70" fillId="0" borderId="2" xfId="0" quotePrefix="1" applyFont="1" applyBorder="1" applyAlignment="1">
      <alignment horizontal="center" vertical="center"/>
    </xf>
    <xf numFmtId="0" fontId="70" fillId="0" borderId="2" xfId="0" quotePrefix="1" applyFont="1" applyBorder="1" applyAlignment="1">
      <alignment horizontal="right" vertical="center"/>
    </xf>
    <xf numFmtId="0" fontId="70" fillId="0" borderId="19" xfId="0" applyFont="1" applyBorder="1" applyAlignment="1">
      <alignment horizontal="left" vertical="center" indent="2"/>
    </xf>
    <xf numFmtId="0" fontId="71" fillId="0" borderId="19" xfId="0" applyFont="1" applyBorder="1" applyAlignment="1">
      <alignment horizontal="left" vertical="center" indent="1"/>
    </xf>
    <xf numFmtId="0" fontId="70" fillId="0" borderId="20" xfId="0" applyFont="1" applyBorder="1" applyAlignment="1">
      <alignment vertical="center"/>
    </xf>
    <xf numFmtId="0" fontId="70" fillId="0" borderId="21" xfId="0" applyFont="1" applyBorder="1" applyAlignment="1">
      <alignment vertical="center"/>
    </xf>
    <xf numFmtId="0" fontId="70" fillId="13" borderId="20" xfId="0" applyFont="1" applyFill="1" applyBorder="1" applyAlignment="1">
      <alignment vertical="center"/>
    </xf>
    <xf numFmtId="0" fontId="70" fillId="13" borderId="21" xfId="0" applyFont="1" applyFill="1" applyBorder="1" applyAlignment="1">
      <alignment vertical="center"/>
    </xf>
    <xf numFmtId="0" fontId="70" fillId="0" borderId="2" xfId="0" applyFont="1" applyBorder="1" applyAlignment="1">
      <alignment vertical="center"/>
    </xf>
    <xf numFmtId="0" fontId="71" fillId="13" borderId="20" xfId="0" applyFont="1" applyFill="1" applyBorder="1" applyAlignment="1">
      <alignment vertical="center"/>
    </xf>
    <xf numFmtId="0" fontId="71" fillId="13" borderId="21" xfId="0" applyFont="1" applyFill="1" applyBorder="1" applyAlignment="1">
      <alignment vertical="center"/>
    </xf>
    <xf numFmtId="2" fontId="71" fillId="13" borderId="2" xfId="2" applyNumberFormat="1" applyFont="1" applyFill="1" applyBorder="1" applyAlignment="1">
      <alignment horizontal="center" vertical="center"/>
    </xf>
    <xf numFmtId="43" fontId="71" fillId="13" borderId="2" xfId="2" applyFont="1" applyFill="1" applyBorder="1" applyAlignment="1">
      <alignment horizontal="right" vertical="center"/>
    </xf>
    <xf numFmtId="0" fontId="71" fillId="0" borderId="2" xfId="0" applyFont="1" applyBorder="1" applyAlignment="1">
      <alignment horizontal="center" vertical="center"/>
    </xf>
    <xf numFmtId="2" fontId="70" fillId="0" borderId="0" xfId="0" applyNumberFormat="1" applyFont="1" applyAlignment="1">
      <alignment horizontal="right" vertical="center"/>
    </xf>
    <xf numFmtId="43" fontId="71" fillId="13" borderId="2" xfId="2" applyFont="1" applyFill="1" applyBorder="1" applyAlignment="1">
      <alignment horizontal="center" vertical="center"/>
    </xf>
    <xf numFmtId="43" fontId="71" fillId="13" borderId="2" xfId="2" applyFont="1" applyFill="1" applyBorder="1" applyAlignment="1">
      <alignment vertical="center"/>
    </xf>
    <xf numFmtId="43" fontId="70" fillId="6" borderId="2" xfId="2" applyFont="1" applyFill="1" applyBorder="1" applyAlignment="1">
      <alignment horizontal="right" vertical="center"/>
    </xf>
    <xf numFmtId="0" fontId="70" fillId="6" borderId="20" xfId="0" applyFont="1" applyFill="1" applyBorder="1" applyAlignment="1">
      <alignment vertical="center"/>
    </xf>
    <xf numFmtId="0" fontId="70" fillId="6" borderId="21" xfId="0" applyFont="1" applyFill="1" applyBorder="1" applyAlignment="1">
      <alignment vertical="center"/>
    </xf>
    <xf numFmtId="166" fontId="70" fillId="0" borderId="25" xfId="1" applyNumberFormat="1" applyFont="1" applyFill="1" applyBorder="1" applyAlignment="1">
      <alignment horizontal="right" vertical="center"/>
    </xf>
    <xf numFmtId="166" fontId="70" fillId="0" borderId="25" xfId="1" applyNumberFormat="1" applyFont="1" applyFill="1" applyBorder="1" applyAlignment="1">
      <alignment horizontal="center" vertical="center"/>
    </xf>
    <xf numFmtId="0" fontId="70" fillId="0" borderId="25" xfId="0" applyFont="1" applyBorder="1" applyAlignment="1">
      <alignment horizontal="center" vertical="center"/>
    </xf>
    <xf numFmtId="0" fontId="70" fillId="0" borderId="22" xfId="0" applyFont="1" applyBorder="1" applyAlignment="1">
      <alignment horizontal="left" vertical="center" indent="1"/>
    </xf>
    <xf numFmtId="0" fontId="70" fillId="0" borderId="23" xfId="0" applyFont="1" applyBorder="1" applyAlignment="1">
      <alignment vertical="center"/>
    </xf>
    <xf numFmtId="0" fontId="70" fillId="0" borderId="24" xfId="0" applyFont="1" applyBorder="1" applyAlignment="1">
      <alignment vertical="center"/>
    </xf>
    <xf numFmtId="2" fontId="70" fillId="0" borderId="25" xfId="2" applyNumberFormat="1" applyFont="1" applyFill="1" applyBorder="1" applyAlignment="1">
      <alignment horizontal="center" vertical="center"/>
    </xf>
    <xf numFmtId="43" fontId="70" fillId="6" borderId="25" xfId="2" applyFont="1" applyFill="1" applyBorder="1" applyAlignment="1">
      <alignment horizontal="right" vertical="center"/>
    </xf>
    <xf numFmtId="0" fontId="70" fillId="0" borderId="33" xfId="0" applyFont="1" applyBorder="1" applyAlignment="1">
      <alignment vertical="center"/>
    </xf>
    <xf numFmtId="0" fontId="70" fillId="0" borderId="33" xfId="0" applyFont="1" applyBorder="1" applyAlignment="1">
      <alignment horizontal="center" vertical="center"/>
    </xf>
    <xf numFmtId="0" fontId="71" fillId="0" borderId="0" xfId="0" applyFont="1" applyAlignment="1">
      <alignment horizontal="center" vertical="center"/>
    </xf>
    <xf numFmtId="0" fontId="71" fillId="12" borderId="11" xfId="0" applyFont="1" applyFill="1" applyBorder="1" applyAlignment="1">
      <alignment horizontal="center" vertical="center"/>
    </xf>
    <xf numFmtId="0" fontId="71" fillId="12" borderId="11" xfId="0" applyFont="1" applyFill="1" applyBorder="1" applyAlignment="1">
      <alignment horizontal="centerContinuous" vertical="center"/>
    </xf>
    <xf numFmtId="0" fontId="71" fillId="12" borderId="11" xfId="2" applyNumberFormat="1" applyFont="1" applyFill="1" applyBorder="1" applyAlignment="1">
      <alignment horizontal="center" vertical="center"/>
    </xf>
    <xf numFmtId="43" fontId="71" fillId="12" borderId="11" xfId="2" applyFont="1" applyFill="1" applyBorder="1" applyAlignment="1">
      <alignment horizontal="center" vertical="center"/>
    </xf>
    <xf numFmtId="43" fontId="71" fillId="0" borderId="0" xfId="2" applyFont="1" applyAlignment="1">
      <alignment horizontal="center" vertical="center"/>
    </xf>
    <xf numFmtId="0" fontId="70" fillId="0" borderId="0" xfId="2" applyNumberFormat="1" applyFont="1" applyFill="1" applyAlignment="1">
      <alignment vertical="center"/>
    </xf>
    <xf numFmtId="43" fontId="70" fillId="0" borderId="0" xfId="2" applyFont="1" applyFill="1" applyAlignment="1">
      <alignment vertical="center"/>
    </xf>
    <xf numFmtId="43" fontId="70" fillId="0" borderId="0" xfId="0" applyNumberFormat="1" applyFont="1" applyAlignment="1">
      <alignment horizontal="center" vertical="center"/>
    </xf>
    <xf numFmtId="43" fontId="71" fillId="0" borderId="0" xfId="0" applyNumberFormat="1" applyFont="1" applyAlignment="1">
      <alignment vertical="center"/>
    </xf>
    <xf numFmtId="0" fontId="38" fillId="11" borderId="0" xfId="0" applyFont="1" applyFill="1"/>
    <xf numFmtId="0" fontId="38" fillId="0" borderId="0" xfId="0" applyFont="1"/>
    <xf numFmtId="0" fontId="39" fillId="0" borderId="0" xfId="0" applyFont="1" applyAlignment="1">
      <alignment horizontal="left" vertical="center"/>
    </xf>
    <xf numFmtId="0" fontId="39" fillId="0" borderId="0" xfId="0" applyFont="1" applyAlignment="1">
      <alignment horizontal="left"/>
    </xf>
    <xf numFmtId="0" fontId="38" fillId="0" borderId="113" xfId="0" applyFont="1" applyBorder="1" applyAlignment="1">
      <alignment horizontal="center" vertical="center"/>
    </xf>
    <xf numFmtId="0" fontId="38" fillId="0" borderId="113" xfId="0" applyFont="1" applyBorder="1"/>
    <xf numFmtId="182" fontId="38" fillId="0" borderId="113" xfId="0" applyNumberFormat="1" applyFont="1" applyBorder="1"/>
    <xf numFmtId="0" fontId="38" fillId="14" borderId="113" xfId="0" applyFont="1" applyFill="1" applyBorder="1" applyAlignment="1">
      <alignment horizontal="center" vertical="center"/>
    </xf>
    <xf numFmtId="182" fontId="38" fillId="0" borderId="113" xfId="0" applyNumberFormat="1" applyFont="1" applyBorder="1" applyAlignment="1">
      <alignment horizontal="center" vertical="center"/>
    </xf>
    <xf numFmtId="0" fontId="38" fillId="0" borderId="108" xfId="0" applyFont="1" applyBorder="1"/>
    <xf numFmtId="182" fontId="38" fillId="0" borderId="108" xfId="0" applyNumberFormat="1" applyFont="1" applyBorder="1"/>
    <xf numFmtId="0" fontId="38" fillId="15" borderId="109" xfId="0" applyFont="1" applyFill="1" applyBorder="1" applyAlignment="1">
      <alignment horizontal="center" vertical="center"/>
    </xf>
    <xf numFmtId="0" fontId="38" fillId="0" borderId="114" xfId="0" applyFont="1" applyBorder="1"/>
    <xf numFmtId="182" fontId="38" fillId="0" borderId="114" xfId="0" applyNumberFormat="1" applyFont="1" applyBorder="1"/>
    <xf numFmtId="0" fontId="38" fillId="0" borderId="114" xfId="0" applyFont="1" applyBorder="1" applyAlignment="1">
      <alignment horizontal="center" vertical="center"/>
    </xf>
    <xf numFmtId="0" fontId="39" fillId="0" borderId="114" xfId="0" applyFont="1" applyBorder="1" applyAlignment="1">
      <alignment horizontal="center"/>
    </xf>
    <xf numFmtId="0" fontId="39" fillId="0" borderId="113" xfId="0" applyFont="1" applyBorder="1" applyAlignment="1">
      <alignment horizontal="center"/>
    </xf>
    <xf numFmtId="0" fontId="39" fillId="0" borderId="110" xfId="0" applyFont="1" applyBorder="1" applyAlignment="1">
      <alignment horizontal="center"/>
    </xf>
    <xf numFmtId="182" fontId="39" fillId="0" borderId="110" xfId="0" applyNumberFormat="1" applyFont="1" applyBorder="1"/>
    <xf numFmtId="182" fontId="39" fillId="0" borderId="113" xfId="0" applyNumberFormat="1" applyFont="1" applyBorder="1"/>
    <xf numFmtId="0" fontId="39" fillId="0" borderId="0" xfId="0" applyFont="1"/>
    <xf numFmtId="180" fontId="38" fillId="0" borderId="0" xfId="0" applyNumberFormat="1" applyFont="1"/>
    <xf numFmtId="0" fontId="39" fillId="0" borderId="0" xfId="0" applyFont="1" applyAlignment="1">
      <alignment horizontal="right"/>
    </xf>
    <xf numFmtId="167" fontId="41" fillId="8" borderId="37" xfId="0" applyNumberFormat="1" applyFont="1" applyFill="1" applyBorder="1" applyAlignment="1">
      <alignment vertical="center"/>
    </xf>
    <xf numFmtId="0" fontId="14" fillId="10" borderId="41" xfId="0" applyFont="1" applyFill="1" applyBorder="1" applyAlignment="1">
      <alignment horizontal="center" vertical="center"/>
    </xf>
    <xf numFmtId="2" fontId="14" fillId="10" borderId="41" xfId="0" applyNumberFormat="1" applyFont="1" applyFill="1" applyBorder="1" applyAlignment="1">
      <alignment horizontal="center" vertical="center"/>
    </xf>
    <xf numFmtId="0" fontId="14" fillId="9" borderId="89" xfId="0" applyFont="1" applyFill="1" applyBorder="1" applyAlignment="1">
      <alignment horizontal="center"/>
    </xf>
    <xf numFmtId="0" fontId="14" fillId="9" borderId="89" xfId="0" applyFont="1" applyFill="1" applyBorder="1"/>
    <xf numFmtId="0" fontId="13" fillId="9" borderId="89" xfId="0" applyFont="1" applyFill="1" applyBorder="1" applyAlignment="1">
      <alignment horizontal="center"/>
    </xf>
    <xf numFmtId="2" fontId="13" fillId="9" borderId="89" xfId="0" applyNumberFormat="1" applyFont="1" applyFill="1" applyBorder="1"/>
    <xf numFmtId="0" fontId="14" fillId="9" borderId="2" xfId="0" applyFont="1" applyFill="1" applyBorder="1" applyAlignment="1">
      <alignment horizontal="center"/>
    </xf>
    <xf numFmtId="0" fontId="14" fillId="9" borderId="2" xfId="0" applyFont="1" applyFill="1" applyBorder="1"/>
    <xf numFmtId="0" fontId="13" fillId="9" borderId="2" xfId="0" applyFont="1" applyFill="1" applyBorder="1" applyAlignment="1">
      <alignment horizontal="center"/>
    </xf>
    <xf numFmtId="2" fontId="13" fillId="9" borderId="2" xfId="0" applyNumberFormat="1" applyFont="1" applyFill="1" applyBorder="1"/>
    <xf numFmtId="0" fontId="13" fillId="9" borderId="2" xfId="0" applyFont="1" applyFill="1" applyBorder="1"/>
    <xf numFmtId="0" fontId="28" fillId="9" borderId="14" xfId="0" applyFont="1" applyFill="1" applyBorder="1" applyAlignment="1">
      <alignment horizontal="center" vertical="center"/>
    </xf>
    <xf numFmtId="178" fontId="18" fillId="10" borderId="41" xfId="0" applyNumberFormat="1" applyFont="1" applyFill="1" applyBorder="1" applyAlignment="1">
      <alignment horizontal="center"/>
    </xf>
    <xf numFmtId="4" fontId="18" fillId="10" borderId="41" xfId="0" applyNumberFormat="1" applyFont="1" applyFill="1" applyBorder="1" applyAlignment="1">
      <alignment horizontal="center"/>
    </xf>
    <xf numFmtId="2" fontId="18" fillId="10" borderId="41" xfId="0" applyNumberFormat="1" applyFont="1" applyFill="1" applyBorder="1" applyAlignment="1">
      <alignment horizontal="center"/>
    </xf>
    <xf numFmtId="178" fontId="18" fillId="10" borderId="48" xfId="0" applyNumberFormat="1" applyFont="1" applyFill="1" applyBorder="1" applyAlignment="1">
      <alignment horizontal="center"/>
    </xf>
    <xf numFmtId="4" fontId="18" fillId="10" borderId="48" xfId="0" applyNumberFormat="1" applyFont="1" applyFill="1" applyBorder="1" applyAlignment="1">
      <alignment horizontal="center"/>
    </xf>
    <xf numFmtId="2" fontId="18" fillId="10" borderId="48" xfId="0" applyNumberFormat="1" applyFont="1" applyFill="1" applyBorder="1" applyAlignment="1">
      <alignment horizontal="center"/>
    </xf>
    <xf numFmtId="3" fontId="18" fillId="10" borderId="41" xfId="0" applyNumberFormat="1" applyFont="1" applyFill="1" applyBorder="1" applyAlignment="1">
      <alignment horizontal="center"/>
    </xf>
    <xf numFmtId="178" fontId="18" fillId="10" borderId="44" xfId="0" applyNumberFormat="1" applyFont="1" applyFill="1" applyBorder="1" applyAlignment="1">
      <alignment horizontal="center"/>
    </xf>
    <xf numFmtId="4" fontId="18" fillId="10" borderId="44" xfId="0" applyNumberFormat="1" applyFont="1" applyFill="1" applyBorder="1" applyAlignment="1">
      <alignment horizontal="center"/>
    </xf>
    <xf numFmtId="2" fontId="18" fillId="10" borderId="44" xfId="0" applyNumberFormat="1" applyFont="1" applyFill="1" applyBorder="1" applyAlignment="1">
      <alignment horizontal="center"/>
    </xf>
    <xf numFmtId="4" fontId="29" fillId="10" borderId="44" xfId="0" applyNumberFormat="1" applyFont="1" applyFill="1" applyBorder="1" applyAlignment="1">
      <alignment horizontal="center"/>
    </xf>
    <xf numFmtId="168" fontId="18" fillId="10" borderId="11" xfId="0" applyNumberFormat="1" applyFont="1" applyFill="1" applyBorder="1" applyAlignment="1">
      <alignment horizontal="center"/>
    </xf>
    <xf numFmtId="0" fontId="18" fillId="10" borderId="11" xfId="0" applyFont="1" applyFill="1" applyBorder="1" applyAlignment="1">
      <alignment horizontal="center" vertical="center" wrapText="1"/>
    </xf>
    <xf numFmtId="4" fontId="18" fillId="10" borderId="11" xfId="0" applyNumberFormat="1" applyFont="1" applyFill="1" applyBorder="1" applyAlignment="1">
      <alignment horizontal="center" vertical="center"/>
    </xf>
    <xf numFmtId="168" fontId="18" fillId="10" borderId="11" xfId="0" applyNumberFormat="1" applyFont="1" applyFill="1" applyBorder="1" applyAlignment="1">
      <alignment horizontal="center" vertical="center" wrapText="1"/>
    </xf>
    <xf numFmtId="0" fontId="36" fillId="10" borderId="14" xfId="0" applyFont="1" applyFill="1" applyBorder="1" applyAlignment="1">
      <alignment horizontal="center" vertical="center"/>
    </xf>
    <xf numFmtId="0" fontId="36" fillId="10" borderId="14" xfId="0" applyFont="1" applyFill="1" applyBorder="1" applyAlignment="1">
      <alignment horizontal="right" vertical="center" indent="1"/>
    </xf>
    <xf numFmtId="168" fontId="36" fillId="10" borderId="14" xfId="0" applyNumberFormat="1" applyFont="1" applyFill="1" applyBorder="1" applyAlignment="1">
      <alignment horizontal="center" vertical="center"/>
    </xf>
    <xf numFmtId="4" fontId="36" fillId="10" borderId="14" xfId="0" applyNumberFormat="1" applyFont="1" applyFill="1" applyBorder="1" applyAlignment="1">
      <alignment horizontal="center" vertical="center"/>
    </xf>
    <xf numFmtId="0" fontId="14" fillId="10" borderId="11" xfId="0" applyFont="1" applyFill="1" applyBorder="1" applyAlignment="1">
      <alignment horizontal="center" vertical="center"/>
    </xf>
    <xf numFmtId="0" fontId="14" fillId="10" borderId="65" xfId="0" applyFont="1" applyFill="1" applyBorder="1" applyAlignment="1">
      <alignment horizontal="center" vertical="center"/>
    </xf>
    <xf numFmtId="0" fontId="14" fillId="9" borderId="85" xfId="0" applyFont="1" applyFill="1" applyBorder="1" applyAlignment="1">
      <alignment horizontal="center"/>
    </xf>
    <xf numFmtId="0" fontId="14" fillId="9" borderId="87" xfId="0" applyFont="1" applyFill="1" applyBorder="1"/>
    <xf numFmtId="0" fontId="13" fillId="9" borderId="87" xfId="0" applyFont="1" applyFill="1" applyBorder="1" applyAlignment="1">
      <alignment horizontal="center"/>
    </xf>
    <xf numFmtId="0" fontId="13" fillId="9" borderId="87" xfId="0" applyFont="1" applyFill="1" applyBorder="1"/>
    <xf numFmtId="0" fontId="13" fillId="9" borderId="86" xfId="0" applyFont="1" applyFill="1" applyBorder="1"/>
    <xf numFmtId="175" fontId="13" fillId="9" borderId="88" xfId="1" applyNumberFormat="1" applyFont="1" applyFill="1" applyBorder="1"/>
    <xf numFmtId="0" fontId="14" fillId="9" borderId="62" xfId="0" applyFont="1" applyFill="1" applyBorder="1" applyAlignment="1">
      <alignment horizontal="center"/>
    </xf>
    <xf numFmtId="0" fontId="13" fillId="9" borderId="19" xfId="0" applyFont="1" applyFill="1" applyBorder="1"/>
    <xf numFmtId="175" fontId="13" fillId="9" borderId="63" xfId="1" applyNumberFormat="1" applyFont="1" applyFill="1" applyBorder="1"/>
    <xf numFmtId="0" fontId="1" fillId="10" borderId="14" xfId="0" applyFont="1" applyFill="1" applyBorder="1" applyAlignment="1">
      <alignment horizontal="center" vertical="center"/>
    </xf>
    <xf numFmtId="0" fontId="1" fillId="10" borderId="68" xfId="0" applyFont="1" applyFill="1" applyBorder="1" applyAlignment="1">
      <alignment horizontal="center" vertical="center"/>
    </xf>
    <xf numFmtId="0" fontId="34" fillId="10" borderId="13" xfId="0" applyFont="1" applyFill="1" applyBorder="1" applyAlignment="1">
      <alignment horizontal="center" vertical="center"/>
    </xf>
    <xf numFmtId="0" fontId="34" fillId="10" borderId="14" xfId="0" applyFont="1" applyFill="1" applyBorder="1" applyAlignment="1">
      <alignment horizontal="center" vertical="center"/>
    </xf>
    <xf numFmtId="0" fontId="34" fillId="10" borderId="15" xfId="0" applyFont="1" applyFill="1" applyBorder="1" applyAlignment="1">
      <alignment horizontal="center" vertical="center"/>
    </xf>
    <xf numFmtId="0" fontId="64" fillId="10" borderId="41" xfId="0" applyFont="1" applyFill="1" applyBorder="1" applyAlignment="1">
      <alignment horizontal="center" vertical="top"/>
    </xf>
    <xf numFmtId="0" fontId="64" fillId="10" borderId="65" xfId="0" applyFont="1" applyFill="1" applyBorder="1" applyAlignment="1">
      <alignment horizontal="centerContinuous" vertical="top" wrapText="1"/>
    </xf>
    <xf numFmtId="0" fontId="64" fillId="10" borderId="94" xfId="0" applyFont="1" applyFill="1" applyBorder="1" applyAlignment="1">
      <alignment horizontal="centerContinuous" vertical="top"/>
    </xf>
    <xf numFmtId="0" fontId="64" fillId="10" borderId="41" xfId="2" applyNumberFormat="1" applyFont="1" applyFill="1" applyBorder="1" applyAlignment="1">
      <alignment horizontal="center" vertical="top"/>
    </xf>
    <xf numFmtId="2" fontId="64" fillId="10" borderId="41" xfId="0" applyNumberFormat="1" applyFont="1" applyFill="1" applyBorder="1" applyAlignment="1">
      <alignment horizontal="center" vertical="top"/>
    </xf>
    <xf numFmtId="43" fontId="65" fillId="10" borderId="90" xfId="2" applyFont="1" applyFill="1" applyBorder="1" applyAlignment="1">
      <alignment horizontal="center" vertical="top"/>
    </xf>
    <xf numFmtId="4" fontId="65" fillId="10" borderId="41" xfId="0" applyNumberFormat="1" applyFont="1" applyFill="1" applyBorder="1" applyAlignment="1">
      <alignment horizontal="center" vertical="top"/>
    </xf>
    <xf numFmtId="0" fontId="65" fillId="8" borderId="11" xfId="0" applyFont="1" applyFill="1" applyBorder="1" applyAlignment="1">
      <alignment horizontal="center" vertical="top"/>
    </xf>
    <xf numFmtId="0" fontId="65" fillId="8" borderId="65" xfId="0" applyFont="1" applyFill="1" applyBorder="1" applyAlignment="1">
      <alignment horizontal="left" vertical="top"/>
    </xf>
    <xf numFmtId="0" fontId="63" fillId="8" borderId="94" xfId="0" applyFont="1" applyFill="1" applyBorder="1" applyAlignment="1">
      <alignment vertical="top"/>
    </xf>
    <xf numFmtId="2" fontId="63" fillId="8" borderId="94" xfId="0" applyNumberFormat="1" applyFont="1" applyFill="1" applyBorder="1" applyAlignment="1">
      <alignment vertical="top"/>
    </xf>
    <xf numFmtId="43" fontId="65" fillId="8" borderId="94" xfId="2" applyFont="1" applyFill="1" applyBorder="1" applyAlignment="1">
      <alignment horizontal="center" vertical="top"/>
    </xf>
    <xf numFmtId="166" fontId="65" fillId="8" borderId="11" xfId="0" applyNumberFormat="1" applyFont="1" applyFill="1" applyBorder="1" applyAlignment="1">
      <alignment vertical="top"/>
    </xf>
    <xf numFmtId="4" fontId="71" fillId="10" borderId="11" xfId="0" applyNumberFormat="1" applyFont="1" applyFill="1" applyBorder="1" applyAlignment="1">
      <alignment horizontal="centerContinuous" vertical="center"/>
    </xf>
    <xf numFmtId="4" fontId="71" fillId="8" borderId="11" xfId="0" applyNumberFormat="1" applyFont="1" applyFill="1" applyBorder="1" applyAlignment="1">
      <alignment horizontal="centerContinuous" vertical="center"/>
    </xf>
    <xf numFmtId="4" fontId="71" fillId="8" borderId="11" xfId="0" applyNumberFormat="1" applyFont="1" applyFill="1" applyBorder="1" applyAlignment="1">
      <alignment horizontal="center" vertical="center"/>
    </xf>
    <xf numFmtId="0" fontId="38" fillId="8" borderId="113" xfId="0" applyFont="1" applyFill="1" applyBorder="1" applyAlignment="1">
      <alignment horizontal="center" vertical="center"/>
    </xf>
    <xf numFmtId="0" fontId="72" fillId="0" borderId="0" xfId="0" applyFont="1"/>
    <xf numFmtId="0" fontId="0" fillId="0" borderId="0" xfId="0" quotePrefix="1"/>
    <xf numFmtId="0" fontId="73" fillId="11" borderId="0" xfId="0" applyFont="1" applyFill="1" applyAlignment="1">
      <alignment vertical="center"/>
    </xf>
    <xf numFmtId="4" fontId="58" fillId="11" borderId="0" xfId="0" applyNumberFormat="1" applyFont="1" applyFill="1" applyAlignment="1">
      <alignment vertical="center"/>
    </xf>
    <xf numFmtId="0" fontId="73" fillId="11" borderId="0" xfId="0" applyFont="1" applyFill="1" applyAlignment="1">
      <alignment vertical="top"/>
    </xf>
    <xf numFmtId="0" fontId="61" fillId="11" borderId="0" xfId="0" applyFont="1" applyFill="1" applyAlignment="1">
      <alignment vertical="center"/>
    </xf>
    <xf numFmtId="0" fontId="61" fillId="11" borderId="58" xfId="0" applyFont="1" applyFill="1" applyBorder="1" applyAlignment="1">
      <alignment vertical="center"/>
    </xf>
    <xf numFmtId="0" fontId="53" fillId="6" borderId="0" xfId="0" applyFont="1" applyFill="1" applyAlignment="1">
      <alignment vertical="center"/>
    </xf>
    <xf numFmtId="2" fontId="53" fillId="0" borderId="91" xfId="0" applyNumberFormat="1" applyFont="1" applyBorder="1" applyAlignment="1">
      <alignment horizontal="center" vertical="center"/>
    </xf>
    <xf numFmtId="0" fontId="53" fillId="9" borderId="75" xfId="0" applyFont="1" applyFill="1" applyBorder="1" applyAlignment="1">
      <alignment horizontal="center" vertical="center"/>
    </xf>
    <xf numFmtId="2" fontId="13" fillId="0" borderId="2" xfId="0" applyNumberFormat="1" applyFont="1" applyBorder="1"/>
    <xf numFmtId="0" fontId="53" fillId="3" borderId="0" xfId="0" applyFont="1" applyFill="1" applyAlignment="1">
      <alignment vertical="center"/>
    </xf>
    <xf numFmtId="0" fontId="53" fillId="0" borderId="64" xfId="0" applyFont="1" applyBorder="1" applyAlignment="1">
      <alignment horizontal="center" vertical="center"/>
    </xf>
    <xf numFmtId="0" fontId="53" fillId="0" borderId="0" xfId="0" applyFont="1" applyAlignment="1">
      <alignment horizontal="left" vertical="center"/>
    </xf>
    <xf numFmtId="2" fontId="53" fillId="0" borderId="0" xfId="0" applyNumberFormat="1" applyFont="1" applyAlignment="1">
      <alignment horizontal="center" vertical="center"/>
    </xf>
    <xf numFmtId="2" fontId="55" fillId="0" borderId="0" xfId="0" applyNumberFormat="1" applyFont="1" applyAlignment="1">
      <alignment horizontal="center" vertical="center"/>
    </xf>
    <xf numFmtId="0" fontId="53" fillId="0" borderId="0" xfId="0" applyFont="1" applyAlignment="1">
      <alignment horizontal="center" vertical="center"/>
    </xf>
    <xf numFmtId="0" fontId="75" fillId="6" borderId="0" xfId="0" applyFont="1" applyFill="1" applyAlignment="1">
      <alignment horizontal="left" vertical="center"/>
    </xf>
    <xf numFmtId="2" fontId="53" fillId="0" borderId="0" xfId="0" applyNumberFormat="1" applyFont="1" applyAlignment="1">
      <alignment horizontal="left" vertical="center"/>
    </xf>
    <xf numFmtId="0" fontId="75" fillId="0" borderId="0" xfId="0" applyFont="1" applyAlignment="1">
      <alignment horizontal="left" vertical="center"/>
    </xf>
    <xf numFmtId="2" fontId="76" fillId="6" borderId="115" xfId="0" applyNumberFormat="1" applyFont="1" applyFill="1" applyBorder="1" applyAlignment="1">
      <alignment horizontal="center" vertical="center"/>
    </xf>
    <xf numFmtId="2" fontId="53" fillId="11" borderId="0" xfId="0" applyNumberFormat="1" applyFont="1" applyFill="1" applyAlignment="1">
      <alignment horizontal="center" vertical="center"/>
    </xf>
    <xf numFmtId="2" fontId="53" fillId="3" borderId="0" xfId="0" applyNumberFormat="1" applyFont="1" applyFill="1" applyAlignment="1">
      <alignment horizontal="center" vertical="center"/>
    </xf>
    <xf numFmtId="0" fontId="55" fillId="6" borderId="0" xfId="0" applyFont="1" applyFill="1" applyAlignment="1">
      <alignment horizontal="center" vertical="center"/>
    </xf>
    <xf numFmtId="0" fontId="55" fillId="3" borderId="0" xfId="0" applyFont="1" applyFill="1" applyAlignment="1">
      <alignment vertical="center"/>
    </xf>
    <xf numFmtId="0" fontId="55" fillId="6" borderId="115" xfId="0" applyFont="1" applyFill="1" applyBorder="1" applyAlignment="1">
      <alignment horizontal="center" vertical="center"/>
    </xf>
    <xf numFmtId="0" fontId="76" fillId="6" borderId="115" xfId="0" applyFont="1" applyFill="1" applyBorder="1" applyAlignment="1">
      <alignment horizontal="center" vertical="center"/>
    </xf>
    <xf numFmtId="2" fontId="53" fillId="9" borderId="75" xfId="0" applyNumberFormat="1" applyFont="1" applyFill="1" applyBorder="1" applyAlignment="1">
      <alignment horizontal="left" vertical="center"/>
    </xf>
    <xf numFmtId="1" fontId="53" fillId="6" borderId="0" xfId="0" applyNumberFormat="1" applyFont="1" applyFill="1" applyAlignment="1">
      <alignment horizontal="center" vertical="center"/>
    </xf>
    <xf numFmtId="172" fontId="53" fillId="6" borderId="0" xfId="0" applyNumberFormat="1" applyFont="1" applyFill="1" applyAlignment="1">
      <alignment horizontal="center" vertical="center"/>
    </xf>
    <xf numFmtId="1" fontId="55" fillId="6" borderId="0" xfId="0" applyNumberFormat="1" applyFont="1" applyFill="1" applyAlignment="1">
      <alignment horizontal="center" vertical="center"/>
    </xf>
    <xf numFmtId="172" fontId="55" fillId="6" borderId="0" xfId="0" applyNumberFormat="1" applyFont="1" applyFill="1" applyAlignment="1">
      <alignment horizontal="center" vertical="center"/>
    </xf>
    <xf numFmtId="2" fontId="55" fillId="3" borderId="0" xfId="0" applyNumberFormat="1" applyFont="1" applyFill="1" applyAlignment="1">
      <alignment horizontal="center" vertical="center"/>
    </xf>
    <xf numFmtId="2" fontId="55" fillId="6" borderId="58" xfId="0" applyNumberFormat="1" applyFont="1" applyFill="1" applyBorder="1" applyAlignment="1">
      <alignment horizontal="center" vertical="center"/>
    </xf>
    <xf numFmtId="2" fontId="53" fillId="0" borderId="67" xfId="0" applyNumberFormat="1" applyFont="1" applyBorder="1" applyAlignment="1">
      <alignment horizontal="center" vertical="center"/>
    </xf>
    <xf numFmtId="172" fontId="53" fillId="0" borderId="91" xfId="0" applyNumberFormat="1" applyFont="1" applyBorder="1" applyAlignment="1">
      <alignment horizontal="center" vertical="center"/>
    </xf>
    <xf numFmtId="0" fontId="55" fillId="6" borderId="58" xfId="0" applyFont="1" applyFill="1" applyBorder="1" applyAlignment="1">
      <alignment horizontal="center" vertical="center"/>
    </xf>
    <xf numFmtId="177" fontId="76" fillId="6" borderId="115" xfId="0" applyNumberFormat="1" applyFont="1" applyFill="1" applyBorder="1" applyAlignment="1">
      <alignment horizontal="center" vertical="center"/>
    </xf>
    <xf numFmtId="0" fontId="53" fillId="9" borderId="90" xfId="0" applyFont="1" applyFill="1" applyBorder="1" applyAlignment="1">
      <alignment horizontal="left" vertical="center"/>
    </xf>
    <xf numFmtId="1" fontId="55" fillId="6" borderId="58" xfId="0" applyNumberFormat="1" applyFont="1" applyFill="1" applyBorder="1" applyAlignment="1">
      <alignment horizontal="center" vertical="center"/>
    </xf>
    <xf numFmtId="172" fontId="55" fillId="6" borderId="58" xfId="0" applyNumberFormat="1" applyFont="1" applyFill="1" applyBorder="1" applyAlignment="1">
      <alignment horizontal="center" vertical="center"/>
    </xf>
    <xf numFmtId="2" fontId="53" fillId="6" borderId="0" xfId="0" applyNumberFormat="1" applyFont="1" applyFill="1" applyAlignment="1">
      <alignment horizontal="left" vertical="center"/>
    </xf>
    <xf numFmtId="2" fontId="76" fillId="6" borderId="0" xfId="0" applyNumberFormat="1" applyFont="1" applyFill="1" applyAlignment="1">
      <alignment horizontal="center" vertical="center"/>
    </xf>
    <xf numFmtId="177" fontId="76" fillId="6" borderId="0" xfId="0" applyNumberFormat="1" applyFont="1" applyFill="1" applyAlignment="1">
      <alignment horizontal="center" vertical="center"/>
    </xf>
    <xf numFmtId="172" fontId="53" fillId="0" borderId="0" xfId="0" applyNumberFormat="1" applyFont="1" applyAlignment="1">
      <alignment horizontal="center" vertical="center"/>
    </xf>
    <xf numFmtId="172" fontId="53" fillId="3" borderId="0" xfId="0" applyNumberFormat="1" applyFont="1" applyFill="1" applyAlignment="1">
      <alignment horizontal="center" vertical="center"/>
    </xf>
    <xf numFmtId="172" fontId="53" fillId="6" borderId="0" xfId="0" applyNumberFormat="1" applyFont="1" applyFill="1" applyAlignment="1">
      <alignment horizontal="right" vertical="center"/>
    </xf>
    <xf numFmtId="172" fontId="53" fillId="8" borderId="91" xfId="0" applyNumberFormat="1" applyFont="1" applyFill="1" applyBorder="1" applyAlignment="1">
      <alignment horizontal="center" vertical="center"/>
    </xf>
    <xf numFmtId="0" fontId="53" fillId="0" borderId="64" xfId="0" applyFont="1" applyBorder="1" applyAlignment="1">
      <alignment horizontal="left" vertical="center"/>
    </xf>
    <xf numFmtId="1" fontId="53" fillId="0" borderId="0" xfId="0" applyNumberFormat="1" applyFont="1" applyAlignment="1">
      <alignment horizontal="center" vertical="center"/>
    </xf>
    <xf numFmtId="0" fontId="76" fillId="6" borderId="0" xfId="0" applyFont="1" applyFill="1" applyAlignment="1">
      <alignment horizontal="center" vertical="center"/>
    </xf>
    <xf numFmtId="0" fontId="76" fillId="6" borderId="66" xfId="0" applyFont="1" applyFill="1" applyBorder="1" applyAlignment="1">
      <alignment horizontal="center" vertical="center"/>
    </xf>
    <xf numFmtId="2" fontId="55" fillId="0" borderId="91" xfId="0" applyNumberFormat="1" applyFont="1" applyBorder="1" applyAlignment="1">
      <alignment horizontal="center" vertical="center"/>
    </xf>
    <xf numFmtId="1" fontId="55" fillId="0" borderId="0" xfId="0" applyNumberFormat="1" applyFont="1" applyAlignment="1">
      <alignment horizontal="center" vertical="center"/>
    </xf>
    <xf numFmtId="172" fontId="55" fillId="0" borderId="0" xfId="0" applyNumberFormat="1" applyFont="1" applyAlignment="1">
      <alignment horizontal="center" vertical="center"/>
    </xf>
    <xf numFmtId="0" fontId="76" fillId="6" borderId="64" xfId="0" applyFont="1" applyFill="1" applyBorder="1" applyAlignment="1">
      <alignment horizontal="center" vertical="center"/>
    </xf>
    <xf numFmtId="2" fontId="55" fillId="0" borderId="58" xfId="0" applyNumberFormat="1" applyFont="1" applyBorder="1" applyAlignment="1">
      <alignment horizontal="center" vertical="center"/>
    </xf>
    <xf numFmtId="2" fontId="76" fillId="6" borderId="75" xfId="0" applyNumberFormat="1" applyFont="1" applyFill="1" applyBorder="1" applyAlignment="1">
      <alignment horizontal="center" vertical="center"/>
    </xf>
    <xf numFmtId="172" fontId="55" fillId="8" borderId="91" xfId="0" applyNumberFormat="1" applyFont="1" applyFill="1" applyBorder="1" applyAlignment="1">
      <alignment horizontal="center" vertical="center"/>
    </xf>
    <xf numFmtId="2" fontId="76" fillId="6" borderId="58" xfId="0" applyNumberFormat="1" applyFont="1" applyFill="1" applyBorder="1" applyAlignment="1">
      <alignment horizontal="center" vertical="center"/>
    </xf>
    <xf numFmtId="177" fontId="53" fillId="6" borderId="0" xfId="0" applyNumberFormat="1" applyFont="1" applyFill="1" applyAlignment="1">
      <alignment horizontal="center" vertical="center"/>
    </xf>
    <xf numFmtId="0" fontId="53" fillId="0" borderId="58" xfId="0" applyFont="1" applyBorder="1" applyAlignment="1">
      <alignment horizontal="center" vertical="center"/>
    </xf>
    <xf numFmtId="0" fontId="53" fillId="0" borderId="91" xfId="0" applyFont="1" applyBorder="1" applyAlignment="1">
      <alignment horizontal="center" vertical="center"/>
    </xf>
    <xf numFmtId="0" fontId="53" fillId="0" borderId="58" xfId="0" applyFont="1" applyBorder="1" applyAlignment="1">
      <alignment horizontal="left" vertical="center"/>
    </xf>
    <xf numFmtId="0" fontId="78" fillId="6" borderId="0" xfId="0" applyFont="1" applyFill="1" applyAlignment="1">
      <alignment horizontal="left" vertical="center"/>
    </xf>
    <xf numFmtId="0" fontId="78" fillId="6" borderId="0" xfId="0" applyFont="1" applyFill="1" applyAlignment="1">
      <alignment horizontal="center" vertical="center"/>
    </xf>
    <xf numFmtId="0" fontId="78" fillId="6" borderId="0" xfId="0" applyFont="1" applyFill="1" applyAlignment="1">
      <alignment vertical="center"/>
    </xf>
    <xf numFmtId="177" fontId="76" fillId="6" borderId="115" xfId="0" applyNumberFormat="1" applyFont="1" applyFill="1" applyBorder="1" applyAlignment="1">
      <alignment horizontal="left" vertical="center"/>
    </xf>
    <xf numFmtId="2" fontId="76" fillId="0" borderId="115" xfId="0" applyNumberFormat="1" applyFont="1" applyBorder="1" applyAlignment="1">
      <alignment horizontal="center" vertical="center"/>
    </xf>
    <xf numFmtId="177" fontId="76" fillId="0" borderId="115" xfId="0" applyNumberFormat="1" applyFont="1" applyBorder="1" applyAlignment="1">
      <alignment horizontal="center" vertical="center"/>
    </xf>
    <xf numFmtId="0" fontId="78" fillId="6" borderId="90" xfId="0" applyFont="1" applyFill="1" applyBorder="1" applyAlignment="1">
      <alignment horizontal="right" vertical="center"/>
    </xf>
    <xf numFmtId="0" fontId="78" fillId="6" borderId="75" xfId="0" applyFont="1" applyFill="1" applyBorder="1" applyAlignment="1">
      <alignment horizontal="left" vertical="center"/>
    </xf>
    <xf numFmtId="0" fontId="78" fillId="6" borderId="75" xfId="0" applyFont="1" applyFill="1" applyBorder="1" applyAlignment="1">
      <alignment horizontal="center" vertical="center"/>
    </xf>
    <xf numFmtId="0" fontId="78" fillId="6" borderId="75" xfId="0" applyFont="1" applyFill="1" applyBorder="1" applyAlignment="1">
      <alignment vertical="center"/>
    </xf>
    <xf numFmtId="0" fontId="78" fillId="6" borderId="84" xfId="0" applyFont="1" applyFill="1" applyBorder="1" applyAlignment="1">
      <alignment horizontal="center" vertical="center"/>
    </xf>
    <xf numFmtId="0" fontId="78" fillId="6" borderId="64" xfId="0" applyFont="1" applyFill="1" applyBorder="1" applyAlignment="1">
      <alignment horizontal="center" vertical="center"/>
    </xf>
    <xf numFmtId="0" fontId="78" fillId="6" borderId="91" xfId="0" applyFont="1" applyFill="1" applyBorder="1" applyAlignment="1">
      <alignment horizontal="center" vertical="center"/>
    </xf>
    <xf numFmtId="0" fontId="78" fillId="6" borderId="64" xfId="0" applyFont="1" applyFill="1" applyBorder="1" applyAlignment="1">
      <alignment horizontal="right" vertical="center"/>
    </xf>
    <xf numFmtId="0" fontId="78" fillId="6" borderId="90" xfId="0" applyFont="1" applyFill="1" applyBorder="1" applyAlignment="1">
      <alignment horizontal="center" vertical="center"/>
    </xf>
    <xf numFmtId="0" fontId="78" fillId="0" borderId="0" xfId="0" applyFont="1" applyAlignment="1">
      <alignment horizontal="center" vertical="center"/>
    </xf>
    <xf numFmtId="0" fontId="78" fillId="0" borderId="64" xfId="0" applyFont="1" applyBorder="1" applyAlignment="1">
      <alignment horizontal="center" vertical="center"/>
    </xf>
    <xf numFmtId="0" fontId="78" fillId="6" borderId="66" xfId="0" applyFont="1" applyFill="1" applyBorder="1" applyAlignment="1">
      <alignment horizontal="center" vertical="center"/>
    </xf>
    <xf numFmtId="0" fontId="78" fillId="6" borderId="58" xfId="0" applyFont="1" applyFill="1" applyBorder="1" applyAlignment="1">
      <alignment horizontal="center" vertical="center"/>
    </xf>
    <xf numFmtId="0" fontId="78" fillId="6" borderId="67" xfId="0" applyFont="1" applyFill="1" applyBorder="1" applyAlignment="1">
      <alignment horizontal="center" vertical="center"/>
    </xf>
    <xf numFmtId="0" fontId="39" fillId="8" borderId="89" xfId="0" applyFont="1" applyFill="1" applyBorder="1" applyAlignment="1">
      <alignment horizontal="center" vertical="center"/>
    </xf>
    <xf numFmtId="42" fontId="39" fillId="8" borderId="89" xfId="0" applyNumberFormat="1" applyFont="1" applyFill="1" applyBorder="1" applyAlignment="1">
      <alignment horizontal="center" vertical="center"/>
    </xf>
    <xf numFmtId="42" fontId="39" fillId="8" borderId="11" xfId="0" applyNumberFormat="1" applyFont="1" applyFill="1" applyBorder="1" applyAlignment="1">
      <alignment horizontal="center" vertical="center"/>
    </xf>
    <xf numFmtId="0" fontId="16" fillId="6" borderId="16" xfId="0" applyFont="1" applyFill="1" applyBorder="1" applyAlignment="1">
      <alignment horizontal="left" vertical="center"/>
    </xf>
    <xf numFmtId="0" fontId="16" fillId="6" borderId="17" xfId="0" applyFont="1" applyFill="1" applyBorder="1" applyAlignment="1">
      <alignment horizontal="left" vertical="center"/>
    </xf>
    <xf numFmtId="0" fontId="16" fillId="6" borderId="18" xfId="0" applyFont="1" applyFill="1" applyBorder="1" applyAlignment="1">
      <alignment horizontal="left" vertical="center"/>
    </xf>
    <xf numFmtId="42" fontId="16" fillId="6" borderId="5" xfId="0" applyNumberFormat="1" applyFont="1" applyFill="1" applyBorder="1" applyAlignment="1">
      <alignment horizontal="left" vertical="center"/>
    </xf>
    <xf numFmtId="0" fontId="16" fillId="6" borderId="19" xfId="0" applyFont="1" applyFill="1" applyBorder="1" applyAlignment="1">
      <alignment horizontal="left" vertical="center"/>
    </xf>
    <xf numFmtId="0" fontId="16" fillId="6" borderId="20" xfId="0" applyFont="1" applyFill="1" applyBorder="1" applyAlignment="1">
      <alignment horizontal="left" vertical="center"/>
    </xf>
    <xf numFmtId="0" fontId="16" fillId="6" borderId="21" xfId="0" applyFont="1" applyFill="1" applyBorder="1" applyAlignment="1">
      <alignment horizontal="left" vertical="center"/>
    </xf>
    <xf numFmtId="42" fontId="16" fillId="6" borderId="2" xfId="0" applyNumberFormat="1" applyFont="1" applyFill="1" applyBorder="1" applyAlignment="1">
      <alignment horizontal="left" vertical="center"/>
    </xf>
    <xf numFmtId="0" fontId="16" fillId="6" borderId="72" xfId="0" applyFont="1" applyFill="1" applyBorder="1" applyAlignment="1">
      <alignment horizontal="left" vertical="center"/>
    </xf>
    <xf numFmtId="0" fontId="16" fillId="6" borderId="26" xfId="0" applyFont="1" applyFill="1" applyBorder="1" applyAlignment="1">
      <alignment horizontal="left" vertical="center"/>
    </xf>
    <xf numFmtId="0" fontId="16" fillId="6" borderId="73" xfId="0" applyFont="1" applyFill="1" applyBorder="1" applyAlignment="1">
      <alignment horizontal="left" vertical="center"/>
    </xf>
    <xf numFmtId="42" fontId="16" fillId="6" borderId="33" xfId="0" applyNumberFormat="1" applyFont="1" applyFill="1" applyBorder="1" applyAlignment="1">
      <alignment horizontal="left" vertical="center"/>
    </xf>
    <xf numFmtId="172" fontId="18" fillId="6" borderId="2" xfId="0" applyNumberFormat="1" applyFont="1" applyFill="1" applyBorder="1"/>
    <xf numFmtId="172" fontId="18" fillId="6" borderId="33" xfId="0" applyNumberFormat="1" applyFont="1" applyFill="1" applyBorder="1"/>
    <xf numFmtId="0" fontId="18" fillId="6" borderId="5" xfId="0" applyFont="1" applyFill="1" applyBorder="1"/>
    <xf numFmtId="2" fontId="18" fillId="6" borderId="5" xfId="0" applyNumberFormat="1" applyFont="1" applyFill="1" applyBorder="1" applyAlignment="1">
      <alignment horizontal="center" vertical="center"/>
    </xf>
    <xf numFmtId="1" fontId="79" fillId="6" borderId="2" xfId="0" applyNumberFormat="1" applyFont="1" applyFill="1" applyBorder="1" applyAlignment="1">
      <alignment horizontal="center"/>
    </xf>
    <xf numFmtId="1" fontId="79" fillId="6" borderId="33" xfId="0" applyNumberFormat="1" applyFont="1" applyFill="1" applyBorder="1" applyAlignment="1">
      <alignment horizontal="center"/>
    </xf>
    <xf numFmtId="168" fontId="18" fillId="6" borderId="2" xfId="0" applyNumberFormat="1" applyFont="1" applyFill="1" applyBorder="1" applyAlignment="1">
      <alignment horizontal="center"/>
    </xf>
    <xf numFmtId="168" fontId="18" fillId="6" borderId="33" xfId="0" applyNumberFormat="1" applyFont="1" applyFill="1" applyBorder="1" applyAlignment="1">
      <alignment horizontal="center"/>
    </xf>
    <xf numFmtId="1" fontId="79" fillId="11" borderId="0" xfId="0" applyNumberFormat="1" applyFont="1" applyFill="1" applyAlignment="1">
      <alignment horizontal="center"/>
    </xf>
    <xf numFmtId="0" fontId="80" fillId="11" borderId="0" xfId="0" applyFont="1" applyFill="1" applyAlignment="1">
      <alignment wrapText="1"/>
    </xf>
    <xf numFmtId="1" fontId="79" fillId="8" borderId="5" xfId="0" applyNumberFormat="1" applyFont="1" applyFill="1" applyBorder="1" applyAlignment="1">
      <alignment horizontal="center"/>
    </xf>
    <xf numFmtId="1" fontId="79" fillId="6" borderId="0" xfId="0" applyNumberFormat="1" applyFont="1" applyFill="1" applyAlignment="1">
      <alignment horizontal="center"/>
    </xf>
    <xf numFmtId="0" fontId="79" fillId="11" borderId="0" xfId="0" applyFont="1" applyFill="1" applyAlignment="1">
      <alignment horizontal="center" vertical="center"/>
    </xf>
    <xf numFmtId="0" fontId="79" fillId="8" borderId="5" xfId="0" applyFont="1" applyFill="1" applyBorder="1" applyAlignment="1">
      <alignment horizontal="center" vertical="center"/>
    </xf>
    <xf numFmtId="177" fontId="79" fillId="6" borderId="2" xfId="0" applyNumberFormat="1" applyFont="1" applyFill="1" applyBorder="1" applyAlignment="1">
      <alignment horizontal="center" vertical="center"/>
    </xf>
    <xf numFmtId="177" fontId="79" fillId="6" borderId="33" xfId="0" applyNumberFormat="1" applyFont="1" applyFill="1" applyBorder="1" applyAlignment="1">
      <alignment horizontal="center" vertical="center"/>
    </xf>
    <xf numFmtId="177" fontId="79" fillId="6" borderId="0" xfId="0" applyNumberFormat="1" applyFont="1" applyFill="1" applyAlignment="1">
      <alignment horizontal="center" vertical="center"/>
    </xf>
    <xf numFmtId="0" fontId="79" fillId="6" borderId="0" xfId="0" applyFont="1" applyFill="1" applyAlignment="1">
      <alignment horizontal="center" vertical="center"/>
    </xf>
    <xf numFmtId="4" fontId="82" fillId="11" borderId="0" xfId="0" applyNumberFormat="1" applyFont="1" applyFill="1" applyAlignment="1">
      <alignment vertical="center"/>
    </xf>
    <xf numFmtId="179" fontId="79" fillId="0" borderId="89" xfId="0" applyNumberFormat="1" applyFont="1" applyBorder="1" applyAlignment="1">
      <alignment horizontal="center"/>
    </xf>
    <xf numFmtId="179" fontId="79" fillId="0" borderId="2" xfId="0" applyNumberFormat="1" applyFont="1" applyBorder="1" applyAlignment="1">
      <alignment horizontal="center"/>
    </xf>
    <xf numFmtId="179" fontId="79" fillId="0" borderId="2" xfId="9" quotePrefix="1" applyNumberFormat="1" applyFont="1" applyFill="1" applyBorder="1" applyAlignment="1" applyProtection="1">
      <alignment horizontal="center"/>
    </xf>
    <xf numFmtId="179" fontId="80" fillId="0" borderId="2" xfId="0" applyNumberFormat="1" applyFont="1" applyBorder="1"/>
    <xf numFmtId="179" fontId="79" fillId="0" borderId="33" xfId="0" applyNumberFormat="1" applyFont="1" applyBorder="1" applyAlignment="1">
      <alignment horizontal="center"/>
    </xf>
    <xf numFmtId="168" fontId="79" fillId="0" borderId="0" xfId="0" applyNumberFormat="1" applyFont="1" applyAlignment="1">
      <alignment vertical="center"/>
    </xf>
    <xf numFmtId="179" fontId="79" fillId="0" borderId="0" xfId="0" applyNumberFormat="1" applyFont="1" applyAlignment="1">
      <alignment horizontal="center"/>
    </xf>
    <xf numFmtId="4" fontId="79" fillId="0" borderId="0" xfId="0" applyNumberFormat="1" applyFont="1"/>
    <xf numFmtId="179" fontId="80" fillId="10" borderId="41" xfId="0" applyNumberFormat="1" applyFont="1" applyFill="1" applyBorder="1" applyAlignment="1">
      <alignment horizontal="center"/>
    </xf>
    <xf numFmtId="179" fontId="80" fillId="10" borderId="48" xfId="0" applyNumberFormat="1" applyFont="1" applyFill="1" applyBorder="1" applyAlignment="1">
      <alignment horizontal="center"/>
    </xf>
    <xf numFmtId="179" fontId="80" fillId="10" borderId="44" xfId="0" applyNumberFormat="1" applyFont="1" applyFill="1" applyBorder="1" applyAlignment="1">
      <alignment horizontal="center"/>
    </xf>
    <xf numFmtId="0" fontId="77" fillId="6" borderId="4" xfId="0" applyFont="1" applyFill="1" applyBorder="1" applyAlignment="1">
      <alignment vertical="center"/>
    </xf>
    <xf numFmtId="0" fontId="77" fillId="6" borderId="5" xfId="0" applyFont="1" applyFill="1" applyBorder="1" applyAlignment="1">
      <alignment vertical="center"/>
    </xf>
    <xf numFmtId="0" fontId="77" fillId="6" borderId="6" xfId="0" applyFont="1" applyFill="1" applyBorder="1" applyAlignment="1">
      <alignment vertical="center"/>
    </xf>
    <xf numFmtId="175" fontId="77" fillId="8" borderId="1" xfId="0" applyNumberFormat="1" applyFont="1" applyFill="1" applyBorder="1" applyAlignment="1">
      <alignment vertical="center"/>
    </xf>
    <xf numFmtId="0" fontId="77" fillId="6" borderId="2" xfId="0" applyFont="1" applyFill="1" applyBorder="1" applyAlignment="1">
      <alignment vertical="center"/>
    </xf>
    <xf numFmtId="0" fontId="77" fillId="6" borderId="3" xfId="0" applyFont="1" applyFill="1" applyBorder="1" applyAlignment="1">
      <alignment vertical="center"/>
    </xf>
    <xf numFmtId="43" fontId="77" fillId="8" borderId="1" xfId="0" applyNumberFormat="1" applyFont="1" applyFill="1" applyBorder="1" applyAlignment="1">
      <alignment vertical="center"/>
    </xf>
    <xf numFmtId="43" fontId="77" fillId="8" borderId="2" xfId="0" applyNumberFormat="1" applyFont="1" applyFill="1" applyBorder="1" applyAlignment="1">
      <alignment vertical="center"/>
    </xf>
    <xf numFmtId="43" fontId="77" fillId="6" borderId="2" xfId="0" applyNumberFormat="1" applyFont="1" applyFill="1" applyBorder="1" applyAlignment="1">
      <alignment vertical="center"/>
    </xf>
    <xf numFmtId="43" fontId="77" fillId="8" borderId="3" xfId="0" applyNumberFormat="1" applyFont="1" applyFill="1" applyBorder="1" applyAlignment="1">
      <alignment vertical="center"/>
    </xf>
    <xf numFmtId="0" fontId="77" fillId="6" borderId="1" xfId="0" applyFont="1" applyFill="1" applyBorder="1" applyAlignment="1">
      <alignment vertical="center"/>
    </xf>
    <xf numFmtId="175" fontId="77" fillId="8" borderId="2" xfId="0" applyNumberFormat="1" applyFont="1" applyFill="1" applyBorder="1" applyAlignment="1">
      <alignment vertical="center"/>
    </xf>
    <xf numFmtId="0" fontId="77" fillId="8" borderId="2" xfId="0" applyFont="1" applyFill="1" applyBorder="1" applyAlignment="1">
      <alignment vertical="center"/>
    </xf>
    <xf numFmtId="175" fontId="77" fillId="8" borderId="3" xfId="0" applyNumberFormat="1" applyFont="1" applyFill="1" applyBorder="1" applyAlignment="1">
      <alignment vertical="center"/>
    </xf>
    <xf numFmtId="175" fontId="77" fillId="6" borderId="2" xfId="0" applyNumberFormat="1" applyFont="1" applyFill="1" applyBorder="1" applyAlignment="1">
      <alignment vertical="center"/>
    </xf>
    <xf numFmtId="0" fontId="77" fillId="6" borderId="74" xfId="0" applyFont="1" applyFill="1" applyBorder="1" applyAlignment="1">
      <alignment vertical="center"/>
    </xf>
    <xf numFmtId="0" fontId="77" fillId="6" borderId="33" xfId="0" applyFont="1" applyFill="1" applyBorder="1" applyAlignment="1">
      <alignment vertical="center"/>
    </xf>
    <xf numFmtId="0" fontId="77" fillId="6" borderId="34" xfId="0" applyFont="1" applyFill="1" applyBorder="1" applyAlignment="1">
      <alignment vertical="center"/>
    </xf>
    <xf numFmtId="0" fontId="83" fillId="11" borderId="0" xfId="0" applyFont="1" applyFill="1" applyAlignment="1">
      <alignment vertical="center"/>
    </xf>
    <xf numFmtId="0" fontId="84" fillId="11" borderId="0" xfId="0" applyFont="1" applyFill="1" applyAlignment="1">
      <alignment vertical="center"/>
    </xf>
    <xf numFmtId="0" fontId="84" fillId="11" borderId="58" xfId="0" applyFont="1" applyFill="1" applyBorder="1" applyAlignment="1">
      <alignment vertical="center"/>
    </xf>
    <xf numFmtId="0" fontId="83" fillId="6" borderId="14" xfId="0" applyFont="1" applyFill="1" applyBorder="1" applyAlignment="1">
      <alignment horizontal="center" vertical="center"/>
    </xf>
    <xf numFmtId="0" fontId="85" fillId="9" borderId="83" xfId="0" applyFont="1" applyFill="1" applyBorder="1" applyAlignment="1">
      <alignment vertical="center"/>
    </xf>
    <xf numFmtId="0" fontId="83" fillId="6" borderId="2" xfId="0" applyFont="1" applyFill="1" applyBorder="1" applyAlignment="1">
      <alignment vertical="center"/>
    </xf>
    <xf numFmtId="0" fontId="85" fillId="9" borderId="20" xfId="0" applyFont="1" applyFill="1" applyBorder="1" applyAlignment="1">
      <alignment vertical="center"/>
    </xf>
    <xf numFmtId="0" fontId="85" fillId="9" borderId="2" xfId="0" applyFont="1" applyFill="1" applyBorder="1" applyAlignment="1">
      <alignment vertical="center"/>
    </xf>
    <xf numFmtId="0" fontId="83" fillId="6" borderId="25" xfId="0" applyFont="1" applyFill="1" applyBorder="1" applyAlignment="1">
      <alignment vertical="center"/>
    </xf>
    <xf numFmtId="0" fontId="83" fillId="6" borderId="0" xfId="0" applyFont="1" applyFill="1" applyAlignment="1">
      <alignment vertical="center"/>
    </xf>
    <xf numFmtId="0" fontId="0" fillId="0" borderId="64" xfId="0" applyBorder="1" applyAlignment="1">
      <alignment horizontal="center"/>
    </xf>
    <xf numFmtId="0" fontId="0" fillId="0" borderId="64" xfId="0" applyBorder="1" applyAlignment="1">
      <alignment horizontal="right"/>
    </xf>
    <xf numFmtId="0" fontId="0" fillId="11" borderId="64" xfId="0" applyFill="1" applyBorder="1" applyAlignment="1">
      <alignment horizontal="center"/>
    </xf>
    <xf numFmtId="0" fontId="1" fillId="0" borderId="64" xfId="0" applyFont="1" applyBorder="1" applyAlignment="1">
      <alignment horizontal="center"/>
    </xf>
    <xf numFmtId="0" fontId="57" fillId="11" borderId="0" xfId="0" applyFont="1" applyFill="1" applyAlignment="1">
      <alignment horizontal="center"/>
    </xf>
    <xf numFmtId="164" fontId="2" fillId="6" borderId="0" xfId="3" applyFont="1" applyFill="1" applyAlignment="1">
      <alignment horizontal="center" vertical="center"/>
    </xf>
    <xf numFmtId="0" fontId="43" fillId="6" borderId="2" xfId="3" applyNumberFormat="1" applyFont="1" applyFill="1" applyBorder="1" applyAlignment="1">
      <alignment horizontal="center" vertical="center"/>
    </xf>
    <xf numFmtId="169" fontId="42" fillId="6" borderId="41" xfId="3" applyNumberFormat="1" applyFont="1" applyFill="1" applyBorder="1" applyAlignment="1">
      <alignment horizontal="center" vertical="center"/>
    </xf>
    <xf numFmtId="169" fontId="42" fillId="6" borderId="44" xfId="3" applyNumberFormat="1" applyFont="1" applyFill="1" applyBorder="1" applyAlignment="1">
      <alignment horizontal="center" vertical="center"/>
    </xf>
    <xf numFmtId="169" fontId="42" fillId="6" borderId="41" xfId="3" applyNumberFormat="1" applyFont="1" applyFill="1" applyBorder="1" applyAlignment="1">
      <alignment horizontal="center" vertical="center" wrapText="1"/>
    </xf>
    <xf numFmtId="169" fontId="42" fillId="6" borderId="44" xfId="3" applyNumberFormat="1" applyFont="1" applyFill="1" applyBorder="1" applyAlignment="1">
      <alignment horizontal="center" vertical="center" wrapText="1"/>
    </xf>
    <xf numFmtId="0" fontId="43" fillId="6" borderId="5" xfId="3" applyNumberFormat="1" applyFont="1" applyFill="1" applyBorder="1" applyAlignment="1">
      <alignment horizontal="center" vertical="center"/>
    </xf>
    <xf numFmtId="0" fontId="43" fillId="6" borderId="33" xfId="3" applyNumberFormat="1" applyFont="1" applyFill="1" applyBorder="1" applyAlignment="1">
      <alignment horizontal="center" vertical="center"/>
    </xf>
    <xf numFmtId="164" fontId="20" fillId="10" borderId="36" xfId="3" applyFont="1" applyFill="1" applyBorder="1" applyAlignment="1">
      <alignment horizontal="center" vertical="center"/>
    </xf>
    <xf numFmtId="0" fontId="20" fillId="10" borderId="51" xfId="0" applyFont="1" applyFill="1" applyBorder="1" applyAlignment="1">
      <alignment horizontal="center" vertical="center"/>
    </xf>
    <xf numFmtId="2" fontId="76" fillId="6" borderId="117" xfId="0" applyNumberFormat="1" applyFont="1" applyFill="1" applyBorder="1" applyAlignment="1">
      <alignment horizontal="center" vertical="center"/>
    </xf>
    <xf numFmtId="2" fontId="76" fillId="6" borderId="118" xfId="0" applyNumberFormat="1" applyFont="1" applyFill="1" applyBorder="1" applyAlignment="1">
      <alignment horizontal="center" vertical="center"/>
    </xf>
    <xf numFmtId="172" fontId="76" fillId="6" borderId="117" xfId="0" applyNumberFormat="1" applyFont="1" applyFill="1" applyBorder="1" applyAlignment="1">
      <alignment horizontal="center" vertical="center"/>
    </xf>
    <xf numFmtId="172" fontId="76" fillId="6" borderId="118" xfId="0" applyNumberFormat="1" applyFont="1" applyFill="1" applyBorder="1" applyAlignment="1">
      <alignment horizontal="center" vertical="center"/>
    </xf>
    <xf numFmtId="0" fontId="78" fillId="0" borderId="116" xfId="0" applyFont="1" applyBorder="1" applyAlignment="1">
      <alignment horizontal="center" vertical="center"/>
    </xf>
    <xf numFmtId="0" fontId="78" fillId="0" borderId="11" xfId="0" applyFont="1" applyBorder="1" applyAlignment="1">
      <alignment horizontal="center" vertical="center"/>
    </xf>
    <xf numFmtId="0" fontId="74" fillId="10" borderId="90" xfId="0" applyFont="1" applyFill="1" applyBorder="1" applyAlignment="1">
      <alignment horizontal="left" vertical="center"/>
    </xf>
    <xf numFmtId="0" fontId="74" fillId="10" borderId="75" xfId="0" applyFont="1" applyFill="1" applyBorder="1" applyAlignment="1">
      <alignment horizontal="left" vertical="center"/>
    </xf>
    <xf numFmtId="0" fontId="74" fillId="10" borderId="84" xfId="0" applyFont="1" applyFill="1" applyBorder="1" applyAlignment="1">
      <alignment horizontal="left" vertical="center"/>
    </xf>
    <xf numFmtId="0" fontId="74" fillId="10" borderId="66" xfId="0" applyFont="1" applyFill="1" applyBorder="1" applyAlignment="1">
      <alignment horizontal="left" vertical="center"/>
    </xf>
    <xf numFmtId="0" fontId="74" fillId="10" borderId="58" xfId="0" applyFont="1" applyFill="1" applyBorder="1" applyAlignment="1">
      <alignment horizontal="left" vertical="center"/>
    </xf>
    <xf numFmtId="0" fontId="74" fillId="10" borderId="67" xfId="0" applyFont="1" applyFill="1" applyBorder="1" applyAlignment="1">
      <alignment horizontal="left" vertical="center"/>
    </xf>
    <xf numFmtId="2" fontId="78" fillId="0" borderId="11" xfId="0" applyNumberFormat="1" applyFont="1" applyBorder="1" applyAlignment="1">
      <alignment horizontal="center" vertical="center"/>
    </xf>
    <xf numFmtId="0" fontId="78" fillId="0" borderId="65" xfId="0" applyFont="1" applyBorder="1" applyAlignment="1">
      <alignment horizontal="center" vertical="center"/>
    </xf>
    <xf numFmtId="0" fontId="78" fillId="0" borderId="94" xfId="0" applyFont="1" applyBorder="1" applyAlignment="1">
      <alignment horizontal="center" vertical="center"/>
    </xf>
    <xf numFmtId="0" fontId="78" fillId="0" borderId="59" xfId="0" applyFont="1" applyBorder="1" applyAlignment="1">
      <alignment horizontal="center" vertical="center"/>
    </xf>
    <xf numFmtId="2" fontId="78" fillId="0" borderId="65" xfId="0" applyNumberFormat="1" applyFont="1" applyBorder="1" applyAlignment="1">
      <alignment horizontal="center" vertical="center"/>
    </xf>
    <xf numFmtId="2" fontId="78" fillId="0" borderId="94" xfId="0" applyNumberFormat="1" applyFont="1" applyBorder="1" applyAlignment="1">
      <alignment horizontal="center" vertical="center"/>
    </xf>
    <xf numFmtId="2" fontId="78" fillId="0" borderId="59" xfId="0" applyNumberFormat="1" applyFont="1" applyBorder="1" applyAlignment="1">
      <alignment horizontal="center" vertical="center"/>
    </xf>
    <xf numFmtId="0" fontId="74" fillId="10" borderId="64" xfId="0" applyFont="1" applyFill="1" applyBorder="1" applyAlignment="1">
      <alignment horizontal="left" vertical="center"/>
    </xf>
    <xf numFmtId="0" fontId="74" fillId="10" borderId="0" xfId="0" applyFont="1" applyFill="1" applyAlignment="1">
      <alignment horizontal="left" vertical="center"/>
    </xf>
    <xf numFmtId="0" fontId="74" fillId="10" borderId="91" xfId="0" applyFont="1" applyFill="1" applyBorder="1" applyAlignment="1">
      <alignment horizontal="left" vertical="center"/>
    </xf>
    <xf numFmtId="0" fontId="39" fillId="8" borderId="65" xfId="0" applyFont="1" applyFill="1" applyBorder="1" applyAlignment="1">
      <alignment horizontal="right" vertical="center"/>
    </xf>
    <xf numFmtId="0" fontId="39" fillId="8" borderId="94" xfId="0" applyFont="1" applyFill="1" applyBorder="1" applyAlignment="1">
      <alignment horizontal="right" vertical="center"/>
    </xf>
    <xf numFmtId="0" fontId="39" fillId="8" borderId="59" xfId="0" applyFont="1" applyFill="1" applyBorder="1" applyAlignment="1">
      <alignment horizontal="right" vertical="center"/>
    </xf>
    <xf numFmtId="0" fontId="1" fillId="10" borderId="11" xfId="0" applyFont="1" applyFill="1" applyBorder="1" applyAlignment="1">
      <alignment horizontal="center" vertical="center"/>
    </xf>
    <xf numFmtId="0" fontId="86" fillId="10" borderId="41" xfId="0" applyFont="1" applyFill="1" applyBorder="1" applyAlignment="1">
      <alignment horizontal="center" vertical="center"/>
    </xf>
    <xf numFmtId="0" fontId="86" fillId="10" borderId="44" xfId="0" applyFont="1" applyFill="1" applyBorder="1" applyAlignment="1">
      <alignment horizontal="center" vertical="center"/>
    </xf>
    <xf numFmtId="0" fontId="1" fillId="10" borderId="41" xfId="0" applyFont="1" applyFill="1" applyBorder="1" applyAlignment="1">
      <alignment horizontal="center" vertical="center" wrapText="1"/>
    </xf>
    <xf numFmtId="0" fontId="1" fillId="10" borderId="44" xfId="0" applyFont="1" applyFill="1" applyBorder="1" applyAlignment="1">
      <alignment horizontal="center" vertical="center" wrapText="1"/>
    </xf>
    <xf numFmtId="0" fontId="20" fillId="10" borderId="90" xfId="0" applyFont="1" applyFill="1" applyBorder="1" applyAlignment="1">
      <alignment horizontal="center" vertical="center"/>
    </xf>
    <xf numFmtId="0" fontId="20" fillId="10" borderId="75" xfId="0" applyFont="1" applyFill="1" applyBorder="1" applyAlignment="1">
      <alignment horizontal="center" vertical="center"/>
    </xf>
    <xf numFmtId="0" fontId="20" fillId="10" borderId="84" xfId="0" applyFont="1" applyFill="1" applyBorder="1" applyAlignment="1">
      <alignment horizontal="center" vertical="center"/>
    </xf>
    <xf numFmtId="0" fontId="20" fillId="10" borderId="66" xfId="0" applyFont="1" applyFill="1" applyBorder="1" applyAlignment="1">
      <alignment horizontal="center" vertical="center"/>
    </xf>
    <xf numFmtId="0" fontId="20" fillId="10" borderId="58" xfId="0" applyFont="1" applyFill="1" applyBorder="1" applyAlignment="1">
      <alignment horizontal="center" vertical="center"/>
    </xf>
    <xf numFmtId="0" fontId="20" fillId="10" borderId="67" xfId="0" applyFont="1" applyFill="1" applyBorder="1" applyAlignment="1">
      <alignment horizontal="center" vertical="center"/>
    </xf>
    <xf numFmtId="0" fontId="28" fillId="9" borderId="68" xfId="0" applyFont="1" applyFill="1" applyBorder="1" applyAlignment="1">
      <alignment horizontal="center" vertical="center"/>
    </xf>
    <xf numFmtId="0" fontId="28" fillId="9" borderId="69" xfId="0" applyFont="1" applyFill="1" applyBorder="1" applyAlignment="1">
      <alignment horizontal="center" vertical="center"/>
    </xf>
    <xf numFmtId="0" fontId="28" fillId="9" borderId="70" xfId="0" applyFont="1" applyFill="1" applyBorder="1" applyAlignment="1">
      <alignment horizontal="center" vertical="center"/>
    </xf>
    <xf numFmtId="0" fontId="20" fillId="10" borderId="41" xfId="0" applyFont="1" applyFill="1" applyBorder="1" applyAlignment="1">
      <alignment horizontal="center" vertical="center"/>
    </xf>
    <xf numFmtId="0" fontId="20" fillId="10" borderId="44" xfId="0" applyFont="1" applyFill="1" applyBorder="1" applyAlignment="1">
      <alignment horizontal="center" vertical="center"/>
    </xf>
    <xf numFmtId="0" fontId="20" fillId="10" borderId="11" xfId="0" applyFont="1" applyFill="1" applyBorder="1" applyAlignment="1">
      <alignment horizontal="center" vertical="center"/>
    </xf>
    <xf numFmtId="3" fontId="31" fillId="0" borderId="0" xfId="0" applyNumberFormat="1" applyFont="1" applyAlignment="1">
      <alignment horizontal="center" vertical="center"/>
    </xf>
    <xf numFmtId="4" fontId="18" fillId="10" borderId="66" xfId="0" applyNumberFormat="1" applyFont="1" applyFill="1" applyBorder="1" applyAlignment="1">
      <alignment horizontal="center"/>
    </xf>
    <xf numFmtId="4" fontId="18" fillId="10" borderId="67" xfId="0" applyNumberFormat="1" applyFont="1" applyFill="1" applyBorder="1" applyAlignment="1">
      <alignment horizontal="center"/>
    </xf>
    <xf numFmtId="4" fontId="18" fillId="10" borderId="11" xfId="0" applyNumberFormat="1" applyFont="1" applyFill="1" applyBorder="1" applyAlignment="1">
      <alignment horizontal="center" vertical="center"/>
    </xf>
    <xf numFmtId="4" fontId="18" fillId="10" borderId="11" xfId="0" applyNumberFormat="1" applyFont="1" applyFill="1" applyBorder="1" applyAlignment="1">
      <alignment horizontal="center"/>
    </xf>
    <xf numFmtId="4" fontId="18" fillId="10" borderId="90" xfId="0" applyNumberFormat="1" applyFont="1" applyFill="1" applyBorder="1" applyAlignment="1">
      <alignment horizontal="center"/>
    </xf>
    <xf numFmtId="4" fontId="18" fillId="10" borderId="84" xfId="0" applyNumberFormat="1" applyFont="1" applyFill="1" applyBorder="1" applyAlignment="1">
      <alignment horizontal="center"/>
    </xf>
    <xf numFmtId="4" fontId="18" fillId="0" borderId="0" xfId="0" applyNumberFormat="1" applyFont="1" applyAlignment="1">
      <alignment horizontal="center" vertical="center"/>
    </xf>
    <xf numFmtId="4" fontId="18" fillId="10" borderId="14" xfId="0" applyNumberFormat="1" applyFont="1" applyFill="1" applyBorder="1" applyAlignment="1">
      <alignment horizontal="center" vertical="center"/>
    </xf>
    <xf numFmtId="0" fontId="81" fillId="10" borderId="14" xfId="0" applyFont="1" applyFill="1" applyBorder="1" applyAlignment="1">
      <alignment horizontal="center" vertical="center"/>
    </xf>
    <xf numFmtId="0" fontId="18" fillId="6" borderId="65" xfId="0" applyFont="1" applyFill="1" applyBorder="1" applyAlignment="1">
      <alignment horizontal="left"/>
    </xf>
    <xf numFmtId="0" fontId="18" fillId="6" borderId="94" xfId="0" applyFont="1" applyFill="1" applyBorder="1" applyAlignment="1">
      <alignment horizontal="left"/>
    </xf>
    <xf numFmtId="0" fontId="18" fillId="6" borderId="59" xfId="0" applyFont="1" applyFill="1" applyBorder="1" applyAlignment="1">
      <alignment horizontal="left"/>
    </xf>
    <xf numFmtId="0" fontId="18" fillId="10" borderId="11" xfId="0" applyFont="1" applyFill="1" applyBorder="1" applyAlignment="1">
      <alignment horizontal="center" vertical="center"/>
    </xf>
    <xf numFmtId="0" fontId="18" fillId="10" borderId="14" xfId="0" applyFont="1" applyFill="1" applyBorder="1" applyAlignment="1">
      <alignment horizontal="center" vertical="center"/>
    </xf>
    <xf numFmtId="0" fontId="18" fillId="10" borderId="11" xfId="0" applyFont="1" applyFill="1" applyBorder="1" applyAlignment="1">
      <alignment horizontal="center" vertical="center" wrapText="1"/>
    </xf>
    <xf numFmtId="0" fontId="80" fillId="10" borderId="11" xfId="0" applyFont="1" applyFill="1" applyBorder="1" applyAlignment="1">
      <alignment horizontal="center"/>
    </xf>
    <xf numFmtId="0" fontId="14" fillId="10" borderId="96" xfId="0" applyFont="1" applyFill="1" applyBorder="1" applyAlignment="1">
      <alignment horizontal="center" vertical="center"/>
    </xf>
    <xf numFmtId="0" fontId="14" fillId="10" borderId="45" xfId="0" applyFont="1" applyFill="1" applyBorder="1" applyAlignment="1">
      <alignment horizontal="center" vertical="center"/>
    </xf>
    <xf numFmtId="0" fontId="14" fillId="10" borderId="50" xfId="0" applyFont="1" applyFill="1" applyBorder="1" applyAlignment="1">
      <alignment horizontal="center" vertical="center"/>
    </xf>
    <xf numFmtId="0" fontId="14" fillId="10" borderId="38" xfId="0" applyFont="1" applyFill="1" applyBorder="1" applyAlignment="1">
      <alignment horizontal="center" vertical="center"/>
    </xf>
    <xf numFmtId="0" fontId="14" fillId="10" borderId="51" xfId="0" applyFont="1" applyFill="1" applyBorder="1" applyAlignment="1">
      <alignment horizontal="center" vertical="center"/>
    </xf>
    <xf numFmtId="0" fontId="14" fillId="10" borderId="11" xfId="0" applyFont="1" applyFill="1" applyBorder="1" applyAlignment="1">
      <alignment horizontal="center" vertical="center"/>
    </xf>
    <xf numFmtId="0" fontId="14" fillId="10" borderId="95" xfId="0" applyFont="1" applyFill="1" applyBorder="1" applyAlignment="1">
      <alignment horizontal="center" vertical="center"/>
    </xf>
    <xf numFmtId="0" fontId="2" fillId="6" borderId="10"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13" xfId="0" applyFont="1" applyFill="1" applyBorder="1" applyAlignment="1">
      <alignment horizontal="center" vertical="center"/>
    </xf>
    <xf numFmtId="0" fontId="2" fillId="6" borderId="14" xfId="0" applyFont="1" applyFill="1" applyBorder="1" applyAlignment="1">
      <alignment horizontal="center" vertic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1" fillId="10" borderId="71" xfId="0" applyFont="1" applyFill="1" applyBorder="1" applyAlignment="1">
      <alignment horizontal="center" vertical="center"/>
    </xf>
    <xf numFmtId="0" fontId="1" fillId="10" borderId="82" xfId="0" applyFont="1" applyFill="1" applyBorder="1" applyAlignment="1">
      <alignment horizontal="center" vertical="center"/>
    </xf>
    <xf numFmtId="0" fontId="1" fillId="10" borderId="7" xfId="0" applyFont="1" applyFill="1" applyBorder="1" applyAlignment="1">
      <alignment horizontal="center" vertical="center"/>
    </xf>
    <xf numFmtId="0" fontId="1" fillId="10" borderId="13" xfId="0" applyFont="1" applyFill="1" applyBorder="1" applyAlignment="1">
      <alignment horizontal="center" vertical="center"/>
    </xf>
    <xf numFmtId="0" fontId="1" fillId="10" borderId="8" xfId="0" applyFont="1" applyFill="1" applyBorder="1" applyAlignment="1">
      <alignment horizontal="center" vertical="center"/>
    </xf>
    <xf numFmtId="0" fontId="1" fillId="10" borderId="14" xfId="0" applyFont="1" applyFill="1" applyBorder="1" applyAlignment="1">
      <alignment horizontal="center" vertical="center"/>
    </xf>
    <xf numFmtId="0" fontId="1" fillId="10" borderId="81" xfId="0" applyFont="1" applyFill="1" applyBorder="1" applyAlignment="1">
      <alignment horizontal="center" vertical="center"/>
    </xf>
    <xf numFmtId="0" fontId="1" fillId="10" borderId="30" xfId="0" applyFont="1" applyFill="1" applyBorder="1" applyAlignment="1">
      <alignment horizontal="center" vertical="center"/>
    </xf>
    <xf numFmtId="0" fontId="1" fillId="10" borderId="31" xfId="0" applyFont="1" applyFill="1" applyBorder="1" applyAlignment="1">
      <alignment horizontal="center" vertical="center"/>
    </xf>
    <xf numFmtId="0" fontId="1" fillId="10" borderId="92" xfId="0" applyFont="1" applyFill="1" applyBorder="1" applyAlignment="1">
      <alignment horizontal="center" vertical="center"/>
    </xf>
    <xf numFmtId="0" fontId="1" fillId="10" borderId="93" xfId="0" applyFont="1" applyFill="1" applyBorder="1" applyAlignment="1">
      <alignment horizontal="center" vertical="center"/>
    </xf>
    <xf numFmtId="0" fontId="66" fillId="0" borderId="105" xfId="0" applyFont="1" applyBorder="1" applyAlignment="1">
      <alignment horizontal="center" vertical="top"/>
    </xf>
    <xf numFmtId="0" fontId="66" fillId="0" borderId="106" xfId="0" applyFont="1" applyBorder="1" applyAlignment="1">
      <alignment horizontal="center" vertical="top"/>
    </xf>
    <xf numFmtId="0" fontId="0" fillId="0" borderId="41" xfId="0" applyBorder="1" applyAlignment="1">
      <alignment horizontal="center" vertical="center"/>
    </xf>
    <xf numFmtId="0" fontId="0" fillId="0" borderId="44" xfId="0" applyBorder="1" applyAlignment="1">
      <alignment horizontal="center" vertical="center"/>
    </xf>
    <xf numFmtId="0" fontId="0" fillId="0" borderId="90" xfId="0" applyBorder="1" applyAlignment="1">
      <alignment horizontal="center" vertical="center"/>
    </xf>
    <xf numFmtId="0" fontId="0" fillId="0" borderId="75" xfId="0" applyBorder="1" applyAlignment="1">
      <alignment horizontal="center" vertical="center"/>
    </xf>
    <xf numFmtId="0" fontId="0" fillId="0" borderId="84" xfId="0" applyBorder="1" applyAlignment="1">
      <alignment horizontal="center" vertical="center"/>
    </xf>
    <xf numFmtId="0" fontId="0" fillId="0" borderId="66" xfId="0" applyBorder="1" applyAlignment="1">
      <alignment horizontal="center" vertical="center"/>
    </xf>
    <xf numFmtId="0" fontId="0" fillId="0" borderId="58"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0" fillId="0" borderId="70" xfId="0" applyBorder="1" applyAlignment="1">
      <alignment horizontal="center" vertical="center"/>
    </xf>
    <xf numFmtId="0" fontId="1" fillId="0" borderId="90" xfId="0" applyFont="1" applyBorder="1" applyAlignment="1">
      <alignment horizontal="center"/>
    </xf>
    <xf numFmtId="0" fontId="1" fillId="0" borderId="75" xfId="0" applyFont="1" applyBorder="1" applyAlignment="1">
      <alignment horizontal="center"/>
    </xf>
    <xf numFmtId="0" fontId="1" fillId="0" borderId="84" xfId="0" applyFont="1" applyBorder="1" applyAlignment="1">
      <alignment horizontal="center"/>
    </xf>
    <xf numFmtId="0" fontId="0" fillId="0" borderId="64" xfId="0" applyBorder="1" applyAlignment="1">
      <alignment horizontal="center"/>
    </xf>
    <xf numFmtId="0" fontId="0" fillId="0" borderId="0" xfId="0" applyAlignment="1">
      <alignment horizontal="center"/>
    </xf>
    <xf numFmtId="0" fontId="0" fillId="0" borderId="91" xfId="0" applyBorder="1" applyAlignment="1">
      <alignment horizontal="center"/>
    </xf>
    <xf numFmtId="0" fontId="0" fillId="0" borderId="92" xfId="0" applyBorder="1" applyAlignment="1">
      <alignment horizontal="center"/>
    </xf>
    <xf numFmtId="0" fontId="0" fillId="0" borderId="76" xfId="0" applyBorder="1" applyAlignment="1">
      <alignment horizontal="center"/>
    </xf>
    <xf numFmtId="0" fontId="0" fillId="0" borderId="93" xfId="0" applyBorder="1" applyAlignment="1">
      <alignment horizontal="center"/>
    </xf>
    <xf numFmtId="0" fontId="71" fillId="8" borderId="11" xfId="2" applyNumberFormat="1" applyFont="1" applyFill="1" applyBorder="1" applyAlignment="1">
      <alignment horizontal="center" vertical="center"/>
    </xf>
    <xf numFmtId="0" fontId="71" fillId="8" borderId="11" xfId="0" applyFont="1" applyFill="1" applyBorder="1" applyAlignment="1">
      <alignment horizontal="center" vertical="center"/>
    </xf>
    <xf numFmtId="43" fontId="71" fillId="8" borderId="11" xfId="2" applyFont="1" applyFill="1" applyBorder="1" applyAlignment="1">
      <alignment horizontal="center" vertical="center"/>
    </xf>
    <xf numFmtId="4" fontId="71" fillId="8" borderId="11" xfId="0" applyNumberFormat="1" applyFont="1" applyFill="1" applyBorder="1" applyAlignment="1">
      <alignment horizontal="center" vertical="center"/>
    </xf>
    <xf numFmtId="0" fontId="71" fillId="10" borderId="11" xfId="0" applyFont="1" applyFill="1" applyBorder="1" applyAlignment="1">
      <alignment horizontal="center" vertical="center"/>
    </xf>
    <xf numFmtId="0" fontId="39" fillId="10" borderId="108" xfId="0" applyFont="1" applyFill="1" applyBorder="1" applyAlignment="1">
      <alignment horizontal="center" vertical="center" wrapText="1"/>
    </xf>
    <xf numFmtId="0" fontId="70" fillId="10" borderId="111" xfId="0" applyFont="1" applyFill="1" applyBorder="1"/>
    <xf numFmtId="0" fontId="70" fillId="10" borderId="112" xfId="0" applyFont="1" applyFill="1" applyBorder="1"/>
    <xf numFmtId="181" fontId="39" fillId="10" borderId="109" xfId="0" applyNumberFormat="1" applyFont="1" applyFill="1" applyBorder="1" applyAlignment="1">
      <alignment horizontal="center" vertical="center"/>
    </xf>
    <xf numFmtId="0" fontId="70" fillId="10" borderId="110" xfId="0" applyFont="1" applyFill="1" applyBorder="1"/>
    <xf numFmtId="0" fontId="38" fillId="10" borderId="109" xfId="0" applyFont="1" applyFill="1" applyBorder="1" applyAlignment="1">
      <alignment horizontal="center" vertical="center"/>
    </xf>
    <xf numFmtId="0" fontId="39" fillId="16" borderId="108" xfId="0" applyFont="1" applyFill="1" applyBorder="1" applyAlignment="1">
      <alignment horizontal="center" vertical="center"/>
    </xf>
    <xf numFmtId="180" fontId="39" fillId="10" borderId="108" xfId="0" applyNumberFormat="1" applyFont="1" applyFill="1" applyBorder="1" applyAlignment="1">
      <alignment horizontal="center" vertical="center" wrapText="1"/>
    </xf>
  </cellXfs>
  <cellStyles count="11">
    <cellStyle name="Comma" xfId="2" builtinId="3"/>
    <cellStyle name="Comma [0]" xfId="1" builtinId="6"/>
    <cellStyle name="Comma [0] 11 3" xfId="7" xr:uid="{941782A2-0715-4D88-A89C-667906DCA9B8}"/>
    <cellStyle name="Comma [0] 4" xfId="3" xr:uid="{AB7BD4CE-72CB-4A5B-97E9-659605C22C03}"/>
    <cellStyle name="Hyperlink" xfId="9" builtinId="8"/>
    <cellStyle name="Normal" xfId="0" builtinId="0"/>
    <cellStyle name="Normal 2" xfId="5" xr:uid="{70CB2232-BDE2-4F5A-ABC1-316FC974D4C7}"/>
    <cellStyle name="Normal_Analisa Harga Satuan (version 2)" xfId="8" xr:uid="{FA17F40E-2327-416C-BEE7-E18C35E32467}"/>
    <cellStyle name="Normal_RAB MTsN 1  MATARAM 2009 (EE)" xfId="10" xr:uid="{F1FCBBE1-45D4-4B26-8C1B-AF08DF9A98B0}"/>
    <cellStyle name="Normal_RAB-Konst.06" xfId="6" xr:uid="{21108A35-45A3-40DB-AF87-C22E0BB3649E}"/>
    <cellStyle name="Percent 2" xfId="4" xr:uid="{2BB71054-AEF6-424B-A123-205E8D6D4E51}"/>
  </cellStyles>
  <dxfs count="6">
    <dxf>
      <font>
        <b/>
        <color rgb="FFFFFFFF"/>
      </font>
      <fill>
        <patternFill patternType="solid">
          <fgColor rgb="FFFF0000"/>
          <bgColor rgb="FFFF0000"/>
        </patternFill>
      </fill>
    </dxf>
    <dxf>
      <fill>
        <patternFill patternType="solid">
          <fgColor rgb="FFB7E1CD"/>
          <bgColor rgb="FFB7E1CD"/>
        </patternFill>
      </fill>
    </dxf>
    <dxf>
      <fill>
        <patternFill patternType="solid">
          <fgColor rgb="FFB7E1CD"/>
          <bgColor rgb="FFB7E1CD"/>
        </patternFill>
      </fill>
    </dxf>
    <dxf>
      <font>
        <b/>
        <color rgb="FFFFFFFF"/>
      </font>
      <fill>
        <patternFill patternType="solid">
          <fgColor rgb="FFFF0000"/>
          <bgColor rgb="FFFF0000"/>
        </patternFill>
      </fill>
    </dxf>
    <dxf>
      <font>
        <color rgb="FFFFFF00"/>
      </font>
      <numFmt numFmtId="30" formatCode="@"/>
      <border>
        <vertical/>
        <horizontal/>
      </border>
    </dxf>
    <dxf>
      <font>
        <b/>
        <i val="0"/>
      </font>
    </dxf>
  </dxfs>
  <tableStyles count="0" defaultTableStyle="TableStyleMedium2" defaultPivotStyle="PivotStyleLight16"/>
  <colors>
    <mruColors>
      <color rgb="FF1F4E78"/>
      <color rgb="FF34699A"/>
      <color rgb="FFFFFFFF"/>
      <color rgb="FFB4D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KURVA-S (Time Schedule)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lineChart>
        <c:grouping val="stacked"/>
        <c:varyColors val="0"/>
        <c:ser>
          <c:idx val="0"/>
          <c:order val="0"/>
          <c:spPr>
            <a:ln w="25400" cap="flat" cmpd="sng" algn="ctr">
              <a:solidFill>
                <a:schemeClr val="accent1"/>
              </a:solidFill>
              <a:miter lim="800000"/>
            </a:ln>
            <a:effectLst/>
          </c:spPr>
          <c:marker>
            <c:symbol val="none"/>
          </c:marker>
          <c:val>
            <c:numRef>
              <c:f>'KURVA-S'!$M$117:$W$117</c:f>
              <c:numCache>
                <c:formatCode>_(* #,##0.00_);_(* \(#,##0.00\);_(* "-"??_);_(@_)</c:formatCode>
                <c:ptCount val="11"/>
                <c:pt idx="0">
                  <c:v>4.5852319922812663</c:v>
                </c:pt>
                <c:pt idx="1">
                  <c:v>11.511030539090951</c:v>
                </c:pt>
                <c:pt idx="2">
                  <c:v>24.370219057548852</c:v>
                </c:pt>
                <c:pt idx="3">
                  <c:v>36.525869374555377</c:v>
                </c:pt>
                <c:pt idx="4">
                  <c:v>44.10127419795316</c:v>
                </c:pt>
                <c:pt idx="5">
                  <c:v>56.021743202202451</c:v>
                </c:pt>
                <c:pt idx="6">
                  <c:v>68.634210558258474</c:v>
                </c:pt>
                <c:pt idx="7">
                  <c:v>78.592223467424773</c:v>
                </c:pt>
                <c:pt idx="8">
                  <c:v>91.168456796018191</c:v>
                </c:pt>
                <c:pt idx="9">
                  <c:v>97.080064317355919</c:v>
                </c:pt>
                <c:pt idx="10">
                  <c:v>99.426994693129046</c:v>
                </c:pt>
              </c:numCache>
            </c:numRef>
          </c:val>
          <c:smooth val="0"/>
          <c:extLst>
            <c:ext xmlns:c16="http://schemas.microsoft.com/office/drawing/2014/chart" uri="{C3380CC4-5D6E-409C-BE32-E72D297353CC}">
              <c16:uniqueId val="{00000000-8E4C-4E5E-9FFB-873FE634A0B8}"/>
            </c:ext>
          </c:extLst>
        </c:ser>
        <c:dLbls>
          <c:showLegendKey val="0"/>
          <c:showVal val="0"/>
          <c:showCatName val="0"/>
          <c:showSerName val="0"/>
          <c:showPercent val="0"/>
          <c:showBubbleSize val="0"/>
        </c:dLbls>
        <c:smooth val="0"/>
        <c:axId val="514742815"/>
        <c:axId val="514745727"/>
      </c:lineChart>
      <c:catAx>
        <c:axId val="514742815"/>
        <c:scaling>
          <c:orientation val="minMax"/>
        </c:scaling>
        <c:delete val="0"/>
        <c:axPos val="b"/>
        <c:majorGridlines>
          <c:spPr>
            <a:ln w="9525" cap="flat" cmpd="sng" algn="ctr">
              <a:solidFill>
                <a:schemeClr val="bg2">
                  <a:lumMod val="90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Minggu</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45727"/>
        <c:crossesAt val="0"/>
        <c:auto val="1"/>
        <c:lblAlgn val="ctr"/>
        <c:lblOffset val="100"/>
        <c:noMultiLvlLbl val="0"/>
      </c:catAx>
      <c:valAx>
        <c:axId val="514745727"/>
        <c:scaling>
          <c:orientation val="minMax"/>
          <c:max val="100"/>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PROGRESS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 sourceLinked="0"/>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742815"/>
        <c:crosses val="autoZero"/>
        <c:crossBetween val="between"/>
        <c:dispUnits>
          <c:builtInUnit val="hundred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emf"/><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emf"/></Relationships>
</file>

<file path=xl/drawings/_rels/drawing1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1.xml.rels><?xml version="1.0" encoding="UTF-8" standalone="yes"?>
<Relationships xmlns="http://schemas.openxmlformats.org/package/2006/relationships"><Relationship Id="rId2" Type="http://schemas.openxmlformats.org/officeDocument/2006/relationships/image" Target="../media/image24.jpg"/><Relationship Id="rId1" Type="http://schemas.openxmlformats.org/officeDocument/2006/relationships/image" Target="../media/image23.jpg"/></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2</xdr:col>
      <xdr:colOff>680757</xdr:colOff>
      <xdr:row>3</xdr:row>
      <xdr:rowOff>7937</xdr:rowOff>
    </xdr:to>
    <xdr:sp macro="[0]!ALLSHEET_Click" textlink="">
      <xdr:nvSpPr>
        <xdr:cNvPr id="11" name="ALLSHEET">
          <a:extLst>
            <a:ext uri="{FF2B5EF4-FFF2-40B4-BE49-F238E27FC236}">
              <a16:creationId xmlns:a16="http://schemas.microsoft.com/office/drawing/2014/main" id="{94E2285F-677D-4EDB-AA05-B36ED216E1F8}"/>
            </a:ext>
          </a:extLst>
        </xdr:cNvPr>
        <xdr:cNvSpPr/>
      </xdr:nvSpPr>
      <xdr:spPr>
        <a:xfrm>
          <a:off x="1" y="0"/>
          <a:ext cx="2173006" cy="60325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5</xdr:row>
      <xdr:rowOff>134937</xdr:rowOff>
    </xdr:from>
    <xdr:to>
      <xdr:col>2</xdr:col>
      <xdr:colOff>552106</xdr:colOff>
      <xdr:row>19</xdr:row>
      <xdr:rowOff>36195</xdr:rowOff>
    </xdr:to>
    <xdr:grpSp>
      <xdr:nvGrpSpPr>
        <xdr:cNvPr id="57" name="Group 56">
          <a:extLst>
            <a:ext uri="{FF2B5EF4-FFF2-40B4-BE49-F238E27FC236}">
              <a16:creationId xmlns:a16="http://schemas.microsoft.com/office/drawing/2014/main" id="{0F3C8F68-7351-4164-980F-C7478984B9F2}"/>
            </a:ext>
          </a:extLst>
        </xdr:cNvPr>
        <xdr:cNvGrpSpPr/>
      </xdr:nvGrpSpPr>
      <xdr:grpSpPr>
        <a:xfrm>
          <a:off x="168090" y="1089977"/>
          <a:ext cx="1867376" cy="2461578"/>
          <a:chOff x="168090" y="762000"/>
          <a:chExt cx="1818369" cy="2560320"/>
        </a:xfrm>
      </xdr:grpSpPr>
      <xdr:sp macro="[0]!TBHOME_Click" textlink="">
        <xdr:nvSpPr>
          <xdr:cNvPr id="58" name="TB.HOME">
            <a:extLst>
              <a:ext uri="{FF2B5EF4-FFF2-40B4-BE49-F238E27FC236}">
                <a16:creationId xmlns:a16="http://schemas.microsoft.com/office/drawing/2014/main" id="{96EEF738-C57B-4F30-B420-AFB9FFB31616}"/>
              </a:ext>
            </a:extLst>
          </xdr:cNvPr>
          <xdr:cNvSpPr/>
        </xdr:nvSpPr>
        <xdr:spPr>
          <a:xfrm>
            <a:off x="168090" y="762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HOME</a:t>
            </a:r>
          </a:p>
        </xdr:txBody>
      </xdr:sp>
      <xdr:sp macro="[0]!TBDATA_Click" textlink="">
        <xdr:nvSpPr>
          <xdr:cNvPr id="59" name="TB.DATA">
            <a:extLst>
              <a:ext uri="{FF2B5EF4-FFF2-40B4-BE49-F238E27FC236}">
                <a16:creationId xmlns:a16="http://schemas.microsoft.com/office/drawing/2014/main" id="{209C5784-B8FB-40F0-88EA-6215204FBC37}"/>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60" name="TB.HITUNGVOLUME">
            <a:extLst>
              <a:ext uri="{FF2B5EF4-FFF2-40B4-BE49-F238E27FC236}">
                <a16:creationId xmlns:a16="http://schemas.microsoft.com/office/drawing/2014/main" id="{712CF784-B9D1-4B02-BB12-0209C41BDB8B}"/>
              </a:ext>
            </a:extLst>
          </xdr:cNvPr>
          <xdr:cNvSpPr/>
        </xdr:nvSpPr>
        <xdr:spPr>
          <a:xfrm>
            <a:off x="168090" y="152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61" name="TB.HITUNGRAB">
            <a:extLst>
              <a:ext uri="{FF2B5EF4-FFF2-40B4-BE49-F238E27FC236}">
                <a16:creationId xmlns:a16="http://schemas.microsoft.com/office/drawing/2014/main" id="{18EA1C86-0B80-4A54-8CFF-93FBCCE4B6F5}"/>
              </a:ext>
            </a:extLst>
          </xdr:cNvPr>
          <xdr:cNvSpPr/>
        </xdr:nvSpPr>
        <xdr:spPr>
          <a:xfrm>
            <a:off x="168090" y="1905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67" name="TB.REKAPITULASI">
            <a:extLst>
              <a:ext uri="{FF2B5EF4-FFF2-40B4-BE49-F238E27FC236}">
                <a16:creationId xmlns:a16="http://schemas.microsoft.com/office/drawing/2014/main" id="{10152F20-F201-40F1-926B-917ABD047D4D}"/>
              </a:ext>
            </a:extLst>
          </xdr:cNvPr>
          <xdr:cNvSpPr/>
        </xdr:nvSpPr>
        <xdr:spPr>
          <a:xfrm>
            <a:off x="168090" y="2286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68" name="TB.DOKUMEN">
            <a:extLst>
              <a:ext uri="{FF2B5EF4-FFF2-40B4-BE49-F238E27FC236}">
                <a16:creationId xmlns:a16="http://schemas.microsoft.com/office/drawing/2014/main" id="{B2C4D420-3336-41EC-A798-6AA33D300BC9}"/>
              </a:ext>
            </a:extLst>
          </xdr:cNvPr>
          <xdr:cNvSpPr/>
        </xdr:nvSpPr>
        <xdr:spPr>
          <a:xfrm>
            <a:off x="168090" y="2667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69" name="TB.PANDUAN">
            <a:extLst>
              <a:ext uri="{FF2B5EF4-FFF2-40B4-BE49-F238E27FC236}">
                <a16:creationId xmlns:a16="http://schemas.microsoft.com/office/drawing/2014/main" id="{AF4C84CD-3B29-473E-BFF4-B56E03479BB1}"/>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twoCellAnchor editAs="absolute">
    <xdr:from>
      <xdr:col>4</xdr:col>
      <xdr:colOff>0</xdr:colOff>
      <xdr:row>5</xdr:row>
      <xdr:rowOff>0</xdr:rowOff>
    </xdr:from>
    <xdr:to>
      <xdr:col>27</xdr:col>
      <xdr:colOff>313267</xdr:colOff>
      <xdr:row>12</xdr:row>
      <xdr:rowOff>110067</xdr:rowOff>
    </xdr:to>
    <xdr:grpSp>
      <xdr:nvGrpSpPr>
        <xdr:cNvPr id="226" name="Group 225">
          <a:extLst>
            <a:ext uri="{FF2B5EF4-FFF2-40B4-BE49-F238E27FC236}">
              <a16:creationId xmlns:a16="http://schemas.microsoft.com/office/drawing/2014/main" id="{8683FC70-3FA1-4CA9-943C-0BC0137ACE06}"/>
            </a:ext>
          </a:extLst>
        </xdr:cNvPr>
        <xdr:cNvGrpSpPr/>
      </xdr:nvGrpSpPr>
      <xdr:grpSpPr>
        <a:xfrm>
          <a:off x="2479040" y="955040"/>
          <a:ext cx="12698307" cy="1390227"/>
          <a:chOff x="2768599" y="973667"/>
          <a:chExt cx="12708467" cy="1413933"/>
        </a:xfrm>
        <a:solidFill>
          <a:schemeClr val="bg1">
            <a:lumMod val="95000"/>
          </a:schemeClr>
        </a:solidFill>
        <a:effectLst>
          <a:outerShdw blurRad="50800" dist="38100" dir="2700000" algn="tl" rotWithShape="0">
            <a:prstClr val="black">
              <a:alpha val="40000"/>
            </a:prstClr>
          </a:outerShdw>
        </a:effectLst>
      </xdr:grpSpPr>
      <xdr:sp macro="" textlink="">
        <xdr:nvSpPr>
          <xdr:cNvPr id="227" name="Rectangle 226">
            <a:extLst>
              <a:ext uri="{FF2B5EF4-FFF2-40B4-BE49-F238E27FC236}">
                <a16:creationId xmlns:a16="http://schemas.microsoft.com/office/drawing/2014/main" id="{33D10A0C-E655-43FF-9649-C92D72FEFFC8}"/>
              </a:ext>
            </a:extLst>
          </xdr:cNvPr>
          <xdr:cNvSpPr/>
        </xdr:nvSpPr>
        <xdr:spPr>
          <a:xfrm>
            <a:off x="2768599" y="1168401"/>
            <a:ext cx="12708467" cy="1219199"/>
          </a:xfrm>
          <a:prstGeom prst="rect">
            <a:avLst/>
          </a:prstGeom>
          <a:grp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1. Baca semua informasi yang ada sebelum memulai menghitung RAB</a:t>
            </a:r>
          </a:p>
          <a:p>
            <a:pPr algn="l"/>
            <a:r>
              <a:rPr lang="en-ID" sz="1100">
                <a:solidFill>
                  <a:sysClr val="windowText" lastClr="000000"/>
                </a:solidFill>
              </a:rPr>
              <a:t>2. Hanya rubah kolom yang bisa dirubah</a:t>
            </a:r>
          </a:p>
          <a:p>
            <a:pPr algn="l"/>
            <a:r>
              <a:rPr lang="en-ID" sz="1100">
                <a:solidFill>
                  <a:sysClr val="windowText" lastClr="000000"/>
                </a:solidFill>
              </a:rPr>
              <a:t>3. Jangan merubah kolom apapun yang tidak bisa dirubah, karena bisa mempengaruhi rumus yang berjalan di RAB Otomatis.</a:t>
            </a:r>
          </a:p>
          <a:p>
            <a:pPr algn="l"/>
            <a:r>
              <a:rPr lang="en-ID" sz="1100">
                <a:solidFill>
                  <a:sysClr val="windowText" lastClr="000000"/>
                </a:solidFill>
              </a:rPr>
              <a:t>4. Buka halaman PANDUAN sebelum memulai hitung RAB</a:t>
            </a:r>
          </a:p>
        </xdr:txBody>
      </xdr:sp>
      <xdr:sp macro="" textlink="">
        <xdr:nvSpPr>
          <xdr:cNvPr id="228" name="Rectangle 227">
            <a:extLst>
              <a:ext uri="{FF2B5EF4-FFF2-40B4-BE49-F238E27FC236}">
                <a16:creationId xmlns:a16="http://schemas.microsoft.com/office/drawing/2014/main" id="{800EB67A-8873-48C3-9946-4744A39ED793}"/>
              </a:ext>
            </a:extLst>
          </xdr:cNvPr>
          <xdr:cNvSpPr/>
        </xdr:nvSpPr>
        <xdr:spPr>
          <a:xfrm>
            <a:off x="3361267" y="973667"/>
            <a:ext cx="1828800" cy="457200"/>
          </a:xfrm>
          <a:prstGeom prst="rect">
            <a:avLst/>
          </a:prstGeom>
          <a:solidFill>
            <a:schemeClr val="accent6">
              <a:lumMod val="20000"/>
              <a:lumOff val="80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b="0">
                <a:solidFill>
                  <a:sysClr val="windowText" lastClr="000000"/>
                </a:solidFill>
              </a:rPr>
              <a:t>INFORMASI</a:t>
            </a:r>
          </a:p>
        </xdr:txBody>
      </xdr:sp>
    </xdr:grpSp>
    <xdr:clientData/>
  </xdr:twoCellAnchor>
  <xdr:twoCellAnchor editAs="absolute">
    <xdr:from>
      <xdr:col>9</xdr:col>
      <xdr:colOff>541867</xdr:colOff>
      <xdr:row>15</xdr:row>
      <xdr:rowOff>0</xdr:rowOff>
    </xdr:from>
    <xdr:to>
      <xdr:col>15</xdr:col>
      <xdr:colOff>330200</xdr:colOff>
      <xdr:row>23</xdr:row>
      <xdr:rowOff>169333</xdr:rowOff>
    </xdr:to>
    <xdr:grpSp>
      <xdr:nvGrpSpPr>
        <xdr:cNvPr id="321" name="Group 320">
          <a:extLst>
            <a:ext uri="{FF2B5EF4-FFF2-40B4-BE49-F238E27FC236}">
              <a16:creationId xmlns:a16="http://schemas.microsoft.com/office/drawing/2014/main" id="{D4E62221-01C4-45B4-A0D0-01780806D14A}"/>
            </a:ext>
          </a:extLst>
        </xdr:cNvPr>
        <xdr:cNvGrpSpPr/>
      </xdr:nvGrpSpPr>
      <xdr:grpSpPr>
        <a:xfrm>
          <a:off x="5713307" y="2783840"/>
          <a:ext cx="3019213" cy="1632373"/>
          <a:chOff x="2768600" y="973667"/>
          <a:chExt cx="3022600" cy="1659467"/>
        </a:xfrm>
        <a:effectLst>
          <a:outerShdw blurRad="50800" dist="38100" dir="2700000" algn="tl" rotWithShape="0">
            <a:prstClr val="black">
              <a:alpha val="40000"/>
            </a:prstClr>
          </a:outerShdw>
        </a:effectLst>
      </xdr:grpSpPr>
      <xdr:sp macro="" textlink="">
        <xdr:nvSpPr>
          <xdr:cNvPr id="322" name="Rectangle 321">
            <a:extLst>
              <a:ext uri="{FF2B5EF4-FFF2-40B4-BE49-F238E27FC236}">
                <a16:creationId xmlns:a16="http://schemas.microsoft.com/office/drawing/2014/main" id="{3D5309EB-20D8-43D6-87B6-89CEB3DF874D}"/>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b="0" i="0" u="none" strike="noStrike">
                <a:solidFill>
                  <a:sysClr val="windowText" lastClr="000000"/>
                </a:solidFill>
                <a:effectLst/>
                <a:latin typeface="+mn-lt"/>
                <a:ea typeface="+mn-ea"/>
                <a:cs typeface="+mn-cs"/>
              </a:rPr>
              <a:t>Biaya yang dihitung untuk setiap jenis pekerjaan konstruksi, yang meliputi biaya tenaga kerja, bahan, dan peralatan yang dibutuhkan untuk menyelesaikan pekerjaan.</a:t>
            </a:r>
            <a:r>
              <a:rPr lang="en-ID">
                <a:solidFill>
                  <a:sysClr val="windowText" lastClr="000000"/>
                </a:solidFill>
              </a:rPr>
              <a:t> </a:t>
            </a:r>
            <a:endParaRPr lang="en-ID" sz="1100">
              <a:solidFill>
                <a:sysClr val="windowText" lastClr="000000"/>
              </a:solidFill>
            </a:endParaRPr>
          </a:p>
        </xdr:txBody>
      </xdr:sp>
      <xdr:sp macro="" textlink="">
        <xdr:nvSpPr>
          <xdr:cNvPr id="323" name="Rectangle 322">
            <a:extLst>
              <a:ext uri="{FF2B5EF4-FFF2-40B4-BE49-F238E27FC236}">
                <a16:creationId xmlns:a16="http://schemas.microsoft.com/office/drawing/2014/main" id="{3794404B-D8E2-4EDE-8560-FE639057EFAF}"/>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HSP</a:t>
            </a:r>
          </a:p>
        </xdr:txBody>
      </xdr:sp>
    </xdr:grpSp>
    <xdr:clientData/>
  </xdr:twoCellAnchor>
  <xdr:twoCellAnchor editAs="absolute">
    <xdr:from>
      <xdr:col>4</xdr:col>
      <xdr:colOff>0</xdr:colOff>
      <xdr:row>15</xdr:row>
      <xdr:rowOff>0</xdr:rowOff>
    </xdr:from>
    <xdr:to>
      <xdr:col>9</xdr:col>
      <xdr:colOff>330200</xdr:colOff>
      <xdr:row>23</xdr:row>
      <xdr:rowOff>169333</xdr:rowOff>
    </xdr:to>
    <xdr:grpSp>
      <xdr:nvGrpSpPr>
        <xdr:cNvPr id="324" name="Group 323">
          <a:extLst>
            <a:ext uri="{FF2B5EF4-FFF2-40B4-BE49-F238E27FC236}">
              <a16:creationId xmlns:a16="http://schemas.microsoft.com/office/drawing/2014/main" id="{BE4E7100-A21E-4B45-ABF8-8891A407413F}"/>
            </a:ext>
          </a:extLst>
        </xdr:cNvPr>
        <xdr:cNvGrpSpPr/>
      </xdr:nvGrpSpPr>
      <xdr:grpSpPr>
        <a:xfrm>
          <a:off x="2479040" y="2783840"/>
          <a:ext cx="3022600" cy="1632373"/>
          <a:chOff x="2768600" y="973667"/>
          <a:chExt cx="3022600" cy="1659467"/>
        </a:xfrm>
        <a:solidFill>
          <a:schemeClr val="bg1">
            <a:lumMod val="95000"/>
          </a:schemeClr>
        </a:solidFill>
        <a:effectLst>
          <a:outerShdw blurRad="50800" dist="38100" dir="2700000" algn="tl" rotWithShape="0">
            <a:prstClr val="black">
              <a:alpha val="40000"/>
            </a:prstClr>
          </a:outerShdw>
        </a:effectLst>
      </xdr:grpSpPr>
      <xdr:sp macro="" textlink="">
        <xdr:nvSpPr>
          <xdr:cNvPr id="325" name="Rectangle 324">
            <a:extLst>
              <a:ext uri="{FF2B5EF4-FFF2-40B4-BE49-F238E27FC236}">
                <a16:creationId xmlns:a16="http://schemas.microsoft.com/office/drawing/2014/main" id="{CEEC0B09-5B3D-43F5-B1BF-01F074186164}"/>
              </a:ext>
            </a:extLst>
          </xdr:cNvPr>
          <xdr:cNvSpPr/>
        </xdr:nvSpPr>
        <xdr:spPr>
          <a:xfrm>
            <a:off x="2768600" y="1168401"/>
            <a:ext cx="3022600" cy="1464733"/>
          </a:xfrm>
          <a:prstGeom prst="rect">
            <a:avLst/>
          </a:prstGeom>
          <a:grp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Analisa Harga Satuan Pekerjaan.</a:t>
            </a:r>
            <a:r>
              <a:rPr lang="en-ID" sz="1100" baseline="0">
                <a:solidFill>
                  <a:sysClr val="windowText" lastClr="000000"/>
                </a:solidFill>
              </a:rPr>
              <a:t> Digunakan sebagai acuan dasar menentukan harga dasar pekerjaan.</a:t>
            </a:r>
            <a:endParaRPr lang="en-ID" sz="1100">
              <a:solidFill>
                <a:sysClr val="windowText" lastClr="000000"/>
              </a:solidFill>
            </a:endParaRPr>
          </a:p>
        </xdr:txBody>
      </xdr:sp>
      <xdr:sp macro="" textlink="">
        <xdr:nvSpPr>
          <xdr:cNvPr id="326" name="Rectangle 325">
            <a:extLst>
              <a:ext uri="{FF2B5EF4-FFF2-40B4-BE49-F238E27FC236}">
                <a16:creationId xmlns:a16="http://schemas.microsoft.com/office/drawing/2014/main" id="{042337A9-E829-4BA2-8A6E-79AFD9B1DC7A}"/>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b="0">
                <a:solidFill>
                  <a:sysClr val="windowText" lastClr="000000"/>
                </a:solidFill>
              </a:rPr>
              <a:t>AHSP</a:t>
            </a:r>
          </a:p>
        </xdr:txBody>
      </xdr:sp>
    </xdr:grpSp>
    <xdr:clientData/>
  </xdr:twoCellAnchor>
  <xdr:twoCellAnchor editAs="absolute">
    <xdr:from>
      <xdr:col>15</xdr:col>
      <xdr:colOff>541866</xdr:colOff>
      <xdr:row>15</xdr:row>
      <xdr:rowOff>0</xdr:rowOff>
    </xdr:from>
    <xdr:to>
      <xdr:col>21</xdr:col>
      <xdr:colOff>330200</xdr:colOff>
      <xdr:row>23</xdr:row>
      <xdr:rowOff>169333</xdr:rowOff>
    </xdr:to>
    <xdr:grpSp>
      <xdr:nvGrpSpPr>
        <xdr:cNvPr id="327" name="Group 326">
          <a:extLst>
            <a:ext uri="{FF2B5EF4-FFF2-40B4-BE49-F238E27FC236}">
              <a16:creationId xmlns:a16="http://schemas.microsoft.com/office/drawing/2014/main" id="{40C617F3-8E46-43B7-950B-44C93F6CCBF7}"/>
            </a:ext>
          </a:extLst>
        </xdr:cNvPr>
        <xdr:cNvGrpSpPr/>
      </xdr:nvGrpSpPr>
      <xdr:grpSpPr>
        <a:xfrm>
          <a:off x="8944186" y="2783840"/>
          <a:ext cx="3019214" cy="1632373"/>
          <a:chOff x="2768600" y="973667"/>
          <a:chExt cx="3022600" cy="1659467"/>
        </a:xfrm>
        <a:effectLst>
          <a:outerShdw blurRad="50800" dist="38100" dir="2700000" algn="tl" rotWithShape="0">
            <a:prstClr val="black">
              <a:alpha val="40000"/>
            </a:prstClr>
          </a:outerShdw>
        </a:effectLst>
      </xdr:grpSpPr>
      <xdr:sp macro="" textlink="">
        <xdr:nvSpPr>
          <xdr:cNvPr id="328" name="Rectangle 327">
            <a:extLst>
              <a:ext uri="{FF2B5EF4-FFF2-40B4-BE49-F238E27FC236}">
                <a16:creationId xmlns:a16="http://schemas.microsoft.com/office/drawing/2014/main" id="{41EC359C-F0B8-48B9-847A-6B224906ED83}"/>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b="0" i="0" u="none" strike="noStrike">
                <a:solidFill>
                  <a:sysClr val="windowText" lastClr="000000"/>
                </a:solidFill>
                <a:effectLst/>
                <a:latin typeface="+mn-lt"/>
                <a:ea typeface="+mn-ea"/>
                <a:cs typeface="+mn-cs"/>
              </a:rPr>
              <a:t>Daftar harga bahan untuk semua material yang dibutuhkan dalam suatu proyek, seperti bahan bangunan, peralatan, dan perlengkapan lainnya. </a:t>
            </a:r>
            <a:r>
              <a:rPr lang="en-ID">
                <a:solidFill>
                  <a:sysClr val="windowText" lastClr="000000"/>
                </a:solidFill>
              </a:rPr>
              <a:t> </a:t>
            </a:r>
            <a:endParaRPr lang="en-ID" sz="1100">
              <a:solidFill>
                <a:sysClr val="windowText" lastClr="000000"/>
              </a:solidFill>
            </a:endParaRPr>
          </a:p>
        </xdr:txBody>
      </xdr:sp>
      <xdr:sp macro="" textlink="">
        <xdr:nvSpPr>
          <xdr:cNvPr id="329" name="Rectangle 328">
            <a:extLst>
              <a:ext uri="{FF2B5EF4-FFF2-40B4-BE49-F238E27FC236}">
                <a16:creationId xmlns:a16="http://schemas.microsoft.com/office/drawing/2014/main" id="{B8DFB024-E9B0-4DCA-8590-207D6407DE8C}"/>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BAHAN</a:t>
            </a:r>
          </a:p>
        </xdr:txBody>
      </xdr:sp>
    </xdr:grpSp>
    <xdr:clientData/>
  </xdr:twoCellAnchor>
  <xdr:twoCellAnchor editAs="absolute">
    <xdr:from>
      <xdr:col>21</xdr:col>
      <xdr:colOff>541867</xdr:colOff>
      <xdr:row>15</xdr:row>
      <xdr:rowOff>0</xdr:rowOff>
    </xdr:from>
    <xdr:to>
      <xdr:col>27</xdr:col>
      <xdr:colOff>330200</xdr:colOff>
      <xdr:row>23</xdr:row>
      <xdr:rowOff>169333</xdr:rowOff>
    </xdr:to>
    <xdr:grpSp>
      <xdr:nvGrpSpPr>
        <xdr:cNvPr id="330" name="Group 329">
          <a:extLst>
            <a:ext uri="{FF2B5EF4-FFF2-40B4-BE49-F238E27FC236}">
              <a16:creationId xmlns:a16="http://schemas.microsoft.com/office/drawing/2014/main" id="{C67667DD-9F81-4BE5-9816-F3C87F9B25B8}"/>
            </a:ext>
          </a:extLst>
        </xdr:cNvPr>
        <xdr:cNvGrpSpPr/>
      </xdr:nvGrpSpPr>
      <xdr:grpSpPr>
        <a:xfrm>
          <a:off x="12175067" y="2783840"/>
          <a:ext cx="3019213" cy="1632373"/>
          <a:chOff x="2768600" y="973667"/>
          <a:chExt cx="3022600" cy="1659467"/>
        </a:xfrm>
        <a:effectLst>
          <a:outerShdw blurRad="50800" dist="38100" dir="2700000" algn="tl" rotWithShape="0">
            <a:prstClr val="black">
              <a:alpha val="40000"/>
            </a:prstClr>
          </a:outerShdw>
        </a:effectLst>
      </xdr:grpSpPr>
      <xdr:sp macro="" textlink="">
        <xdr:nvSpPr>
          <xdr:cNvPr id="331" name="Rectangle 330">
            <a:extLst>
              <a:ext uri="{FF2B5EF4-FFF2-40B4-BE49-F238E27FC236}">
                <a16:creationId xmlns:a16="http://schemas.microsoft.com/office/drawing/2014/main" id="{877C38FD-D465-48EA-8339-ABB72091793B}"/>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b="0" i="0" u="none" strike="noStrike">
                <a:solidFill>
                  <a:sysClr val="windowText" lastClr="000000"/>
                </a:solidFill>
                <a:effectLst/>
                <a:latin typeface="+mn-lt"/>
                <a:ea typeface="+mn-ea"/>
                <a:cs typeface="+mn-cs"/>
              </a:rPr>
              <a:t>Mencakup upah pekerja, tukang, mandor, dan tenaga ahli lainnya yang terlibat dalam pelaksanaan proyek, seperti proyek konstruksi, renovasi, atau kegiatan lainnya.</a:t>
            </a:r>
            <a:r>
              <a:rPr lang="en-ID">
                <a:solidFill>
                  <a:sysClr val="windowText" lastClr="000000"/>
                </a:solidFill>
              </a:rPr>
              <a:t> </a:t>
            </a:r>
            <a:endParaRPr lang="en-ID" sz="1100">
              <a:solidFill>
                <a:sysClr val="windowText" lastClr="000000"/>
              </a:solidFill>
            </a:endParaRPr>
          </a:p>
        </xdr:txBody>
      </xdr:sp>
      <xdr:sp macro="" textlink="">
        <xdr:nvSpPr>
          <xdr:cNvPr id="332" name="Rectangle 331">
            <a:extLst>
              <a:ext uri="{FF2B5EF4-FFF2-40B4-BE49-F238E27FC236}">
                <a16:creationId xmlns:a16="http://schemas.microsoft.com/office/drawing/2014/main" id="{03F6B781-9DCC-4350-834F-7DFEE7A16580}"/>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UPAH</a:t>
            </a:r>
          </a:p>
        </xdr:txBody>
      </xdr:sp>
    </xdr:grpSp>
    <xdr:clientData/>
  </xdr:twoCellAnchor>
  <xdr:twoCellAnchor editAs="absolute">
    <xdr:from>
      <xdr:col>9</xdr:col>
      <xdr:colOff>541867</xdr:colOff>
      <xdr:row>27</xdr:row>
      <xdr:rowOff>0</xdr:rowOff>
    </xdr:from>
    <xdr:to>
      <xdr:col>15</xdr:col>
      <xdr:colOff>330200</xdr:colOff>
      <xdr:row>35</xdr:row>
      <xdr:rowOff>169333</xdr:rowOff>
    </xdr:to>
    <xdr:grpSp>
      <xdr:nvGrpSpPr>
        <xdr:cNvPr id="333" name="Group 332">
          <a:extLst>
            <a:ext uri="{FF2B5EF4-FFF2-40B4-BE49-F238E27FC236}">
              <a16:creationId xmlns:a16="http://schemas.microsoft.com/office/drawing/2014/main" id="{E6B966FA-4B60-4009-ACDB-CC38DC44A5E9}"/>
            </a:ext>
          </a:extLst>
        </xdr:cNvPr>
        <xdr:cNvGrpSpPr/>
      </xdr:nvGrpSpPr>
      <xdr:grpSpPr>
        <a:xfrm>
          <a:off x="5713307" y="4978400"/>
          <a:ext cx="3019213" cy="1632373"/>
          <a:chOff x="2768600" y="973667"/>
          <a:chExt cx="3022600" cy="1659467"/>
        </a:xfrm>
        <a:effectLst>
          <a:outerShdw blurRad="50800" dist="38100" dir="2700000" algn="tl" rotWithShape="0">
            <a:prstClr val="black">
              <a:alpha val="40000"/>
            </a:prstClr>
          </a:outerShdw>
        </a:effectLst>
      </xdr:grpSpPr>
      <xdr:sp macro="" textlink="">
        <xdr:nvSpPr>
          <xdr:cNvPr id="334" name="Rectangle 333">
            <a:extLst>
              <a:ext uri="{FF2B5EF4-FFF2-40B4-BE49-F238E27FC236}">
                <a16:creationId xmlns:a16="http://schemas.microsoft.com/office/drawing/2014/main" id="{7E4D559E-8DB2-44F1-917B-D0A0CA871CF4}"/>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Ringkasan</a:t>
            </a:r>
            <a:r>
              <a:rPr lang="en-ID" sz="1100" baseline="0">
                <a:solidFill>
                  <a:sysClr val="windowText" lastClr="000000"/>
                </a:solidFill>
              </a:rPr>
              <a:t> </a:t>
            </a:r>
            <a:r>
              <a:rPr lang="en-ID" sz="1100">
                <a:solidFill>
                  <a:sysClr val="windowText" lastClr="000000"/>
                </a:solidFill>
              </a:rPr>
              <a:t>yang berisi daftar dan kuantitas (volume) dari seluruh item pekerjaan. Merupakan bagian krusial dari RAB</a:t>
            </a:r>
            <a:r>
              <a:rPr lang="en-ID" sz="1100" baseline="0">
                <a:solidFill>
                  <a:sysClr val="windowText" lastClr="000000"/>
                </a:solidFill>
              </a:rPr>
              <a:t> </a:t>
            </a:r>
            <a:r>
              <a:rPr lang="en-ID" sz="1100">
                <a:solidFill>
                  <a:sysClr val="windowText" lastClr="000000"/>
                </a:solidFill>
              </a:rPr>
              <a:t>yang berfungsi sebagai dasar untuk menghitung total biaya proyek.</a:t>
            </a:r>
          </a:p>
        </xdr:txBody>
      </xdr:sp>
      <xdr:sp macro="" textlink="">
        <xdr:nvSpPr>
          <xdr:cNvPr id="335" name="Rectangle 334">
            <a:extLst>
              <a:ext uri="{FF2B5EF4-FFF2-40B4-BE49-F238E27FC236}">
                <a16:creationId xmlns:a16="http://schemas.microsoft.com/office/drawing/2014/main" id="{4D658BBF-1317-4F45-9EE7-6ECCF02B02E8}"/>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REKAP VOLUME</a:t>
            </a:r>
          </a:p>
        </xdr:txBody>
      </xdr:sp>
    </xdr:grpSp>
    <xdr:clientData/>
  </xdr:twoCellAnchor>
  <xdr:twoCellAnchor editAs="absolute">
    <xdr:from>
      <xdr:col>4</xdr:col>
      <xdr:colOff>0</xdr:colOff>
      <xdr:row>27</xdr:row>
      <xdr:rowOff>0</xdr:rowOff>
    </xdr:from>
    <xdr:to>
      <xdr:col>9</xdr:col>
      <xdr:colOff>330200</xdr:colOff>
      <xdr:row>35</xdr:row>
      <xdr:rowOff>169333</xdr:rowOff>
    </xdr:to>
    <xdr:grpSp>
      <xdr:nvGrpSpPr>
        <xdr:cNvPr id="336" name="Group 335">
          <a:extLst>
            <a:ext uri="{FF2B5EF4-FFF2-40B4-BE49-F238E27FC236}">
              <a16:creationId xmlns:a16="http://schemas.microsoft.com/office/drawing/2014/main" id="{F78EF53E-FAB2-4140-A448-5D76D1319CF9}"/>
            </a:ext>
          </a:extLst>
        </xdr:cNvPr>
        <xdr:cNvGrpSpPr/>
      </xdr:nvGrpSpPr>
      <xdr:grpSpPr>
        <a:xfrm>
          <a:off x="2479040" y="4978400"/>
          <a:ext cx="3022600" cy="1632373"/>
          <a:chOff x="2768600" y="973667"/>
          <a:chExt cx="3022600" cy="1659467"/>
        </a:xfrm>
        <a:effectLst>
          <a:outerShdw blurRad="50800" dist="38100" dir="2700000" algn="tl" rotWithShape="0">
            <a:prstClr val="black">
              <a:alpha val="40000"/>
            </a:prstClr>
          </a:outerShdw>
        </a:effectLst>
      </xdr:grpSpPr>
      <xdr:sp macro="" textlink="">
        <xdr:nvSpPr>
          <xdr:cNvPr id="337" name="Rectangle 336">
            <a:extLst>
              <a:ext uri="{FF2B5EF4-FFF2-40B4-BE49-F238E27FC236}">
                <a16:creationId xmlns:a16="http://schemas.microsoft.com/office/drawing/2014/main" id="{FC8269A3-9CEB-49C5-B948-73928079340C}"/>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Perhitungan kuantitas atau jumlah pekerjaan yang akan dilakukan dalam suatu proyek konstruksi.  Digunakan untuk menentukan berapa banyak material, tenaga kerja, dan biaya lain-lain.</a:t>
            </a:r>
          </a:p>
        </xdr:txBody>
      </xdr:sp>
      <xdr:sp macro="" textlink="">
        <xdr:nvSpPr>
          <xdr:cNvPr id="338" name="Rectangle 337">
            <a:extLst>
              <a:ext uri="{FF2B5EF4-FFF2-40B4-BE49-F238E27FC236}">
                <a16:creationId xmlns:a16="http://schemas.microsoft.com/office/drawing/2014/main" id="{D5DECBA3-5277-4C47-8827-5FEBE550BA3C}"/>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HITUNG VOLUME</a:t>
            </a:r>
          </a:p>
        </xdr:txBody>
      </xdr:sp>
    </xdr:grpSp>
    <xdr:clientData/>
  </xdr:twoCellAnchor>
  <xdr:twoCellAnchor editAs="absolute">
    <xdr:from>
      <xdr:col>15</xdr:col>
      <xdr:colOff>541866</xdr:colOff>
      <xdr:row>27</xdr:row>
      <xdr:rowOff>0</xdr:rowOff>
    </xdr:from>
    <xdr:to>
      <xdr:col>21</xdr:col>
      <xdr:colOff>330200</xdr:colOff>
      <xdr:row>35</xdr:row>
      <xdr:rowOff>169333</xdr:rowOff>
    </xdr:to>
    <xdr:grpSp>
      <xdr:nvGrpSpPr>
        <xdr:cNvPr id="339" name="Group 338">
          <a:extLst>
            <a:ext uri="{FF2B5EF4-FFF2-40B4-BE49-F238E27FC236}">
              <a16:creationId xmlns:a16="http://schemas.microsoft.com/office/drawing/2014/main" id="{40F1C496-E9CF-4BA2-8A43-B9F48709B0C7}"/>
            </a:ext>
          </a:extLst>
        </xdr:cNvPr>
        <xdr:cNvGrpSpPr/>
      </xdr:nvGrpSpPr>
      <xdr:grpSpPr>
        <a:xfrm>
          <a:off x="8944186" y="4978400"/>
          <a:ext cx="3019214" cy="1632373"/>
          <a:chOff x="2768600" y="973667"/>
          <a:chExt cx="3022600" cy="1659467"/>
        </a:xfrm>
        <a:effectLst>
          <a:outerShdw blurRad="50800" dist="38100" dir="2700000" algn="tl" rotWithShape="0">
            <a:prstClr val="black">
              <a:alpha val="40000"/>
            </a:prstClr>
          </a:outerShdw>
        </a:effectLst>
      </xdr:grpSpPr>
      <xdr:sp macro="" textlink="">
        <xdr:nvSpPr>
          <xdr:cNvPr id="340" name="Rectangle 339">
            <a:extLst>
              <a:ext uri="{FF2B5EF4-FFF2-40B4-BE49-F238E27FC236}">
                <a16:creationId xmlns:a16="http://schemas.microsoft.com/office/drawing/2014/main" id="{5233436F-CE0F-4970-8D9E-3426C02A941F}"/>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b="0">
                <a:solidFill>
                  <a:sysClr val="windowText" lastClr="000000"/>
                </a:solidFill>
              </a:rPr>
              <a:t>Ringkasan total biaya dari seluruh pekerjaan yang direncanakan dalam Rencana Anggaran Biaya (RAB). Merangkum biaya per kategori pekerjaan hingga menghasilkan total biaya akhir.</a:t>
            </a:r>
            <a:endParaRPr lang="en-ID" sz="1100" b="0">
              <a:solidFill>
                <a:sysClr val="windowText" lastClr="000000"/>
              </a:solidFill>
            </a:endParaRPr>
          </a:p>
        </xdr:txBody>
      </xdr:sp>
      <xdr:sp macro="" textlink="">
        <xdr:nvSpPr>
          <xdr:cNvPr id="341" name="Rectangle 340">
            <a:extLst>
              <a:ext uri="{FF2B5EF4-FFF2-40B4-BE49-F238E27FC236}">
                <a16:creationId xmlns:a16="http://schemas.microsoft.com/office/drawing/2014/main" id="{B56DDDDF-1ABF-40C8-B288-36EA1D86C316}"/>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REKAP RAB</a:t>
            </a:r>
          </a:p>
        </xdr:txBody>
      </xdr:sp>
    </xdr:grpSp>
    <xdr:clientData/>
  </xdr:twoCellAnchor>
  <xdr:twoCellAnchor editAs="absolute">
    <xdr:from>
      <xdr:col>21</xdr:col>
      <xdr:colOff>541867</xdr:colOff>
      <xdr:row>27</xdr:row>
      <xdr:rowOff>0</xdr:rowOff>
    </xdr:from>
    <xdr:to>
      <xdr:col>27</xdr:col>
      <xdr:colOff>330200</xdr:colOff>
      <xdr:row>35</xdr:row>
      <xdr:rowOff>169333</xdr:rowOff>
    </xdr:to>
    <xdr:grpSp>
      <xdr:nvGrpSpPr>
        <xdr:cNvPr id="342" name="Group 341">
          <a:extLst>
            <a:ext uri="{FF2B5EF4-FFF2-40B4-BE49-F238E27FC236}">
              <a16:creationId xmlns:a16="http://schemas.microsoft.com/office/drawing/2014/main" id="{2E0A6F68-B566-46F2-8698-ABF0752E768F}"/>
            </a:ext>
          </a:extLst>
        </xdr:cNvPr>
        <xdr:cNvGrpSpPr/>
      </xdr:nvGrpSpPr>
      <xdr:grpSpPr>
        <a:xfrm>
          <a:off x="12175067" y="4978400"/>
          <a:ext cx="3019213" cy="1632373"/>
          <a:chOff x="2768600" y="973667"/>
          <a:chExt cx="3022600" cy="1659467"/>
        </a:xfrm>
        <a:effectLst>
          <a:outerShdw blurRad="50800" dist="38100" dir="2700000" algn="tl" rotWithShape="0">
            <a:prstClr val="black">
              <a:alpha val="40000"/>
            </a:prstClr>
          </a:outerShdw>
        </a:effectLst>
      </xdr:grpSpPr>
      <xdr:sp macro="" textlink="">
        <xdr:nvSpPr>
          <xdr:cNvPr id="343" name="Rectangle 342">
            <a:extLst>
              <a:ext uri="{FF2B5EF4-FFF2-40B4-BE49-F238E27FC236}">
                <a16:creationId xmlns:a16="http://schemas.microsoft.com/office/drawing/2014/main" id="{309C8881-6B96-4F1D-A360-122A984E8467}"/>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Dokumen perencanaan yang merinci jumlah, jenis, dan durasi tenaga kerja yang dibutuhkan untuk setiap tahapan proyek. Instrumen penting dalam manajemen proyek untuk memastikan ketersediaan sumber daya manusia.</a:t>
            </a:r>
          </a:p>
        </xdr:txBody>
      </xdr:sp>
      <xdr:sp macro="" textlink="">
        <xdr:nvSpPr>
          <xdr:cNvPr id="344" name="Rectangle 343">
            <a:extLst>
              <a:ext uri="{FF2B5EF4-FFF2-40B4-BE49-F238E27FC236}">
                <a16:creationId xmlns:a16="http://schemas.microsoft.com/office/drawing/2014/main" id="{A7789480-E45D-4A36-8E09-04EB558A95E2}"/>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REKAP PEKERJA</a:t>
            </a:r>
          </a:p>
        </xdr:txBody>
      </xdr:sp>
    </xdr:grpSp>
    <xdr:clientData/>
  </xdr:twoCellAnchor>
  <xdr:twoCellAnchor editAs="absolute">
    <xdr:from>
      <xdr:col>9</xdr:col>
      <xdr:colOff>541867</xdr:colOff>
      <xdr:row>39</xdr:row>
      <xdr:rowOff>0</xdr:rowOff>
    </xdr:from>
    <xdr:to>
      <xdr:col>15</xdr:col>
      <xdr:colOff>330200</xdr:colOff>
      <xdr:row>47</xdr:row>
      <xdr:rowOff>169333</xdr:rowOff>
    </xdr:to>
    <xdr:grpSp>
      <xdr:nvGrpSpPr>
        <xdr:cNvPr id="345" name="Group 344">
          <a:extLst>
            <a:ext uri="{FF2B5EF4-FFF2-40B4-BE49-F238E27FC236}">
              <a16:creationId xmlns:a16="http://schemas.microsoft.com/office/drawing/2014/main" id="{5F1742B4-446D-4DB2-BF9E-C285750DFF58}"/>
            </a:ext>
          </a:extLst>
        </xdr:cNvPr>
        <xdr:cNvGrpSpPr/>
      </xdr:nvGrpSpPr>
      <xdr:grpSpPr>
        <a:xfrm>
          <a:off x="5713307" y="7172960"/>
          <a:ext cx="3019213" cy="1632373"/>
          <a:chOff x="2768600" y="973667"/>
          <a:chExt cx="3022600" cy="1659467"/>
        </a:xfrm>
        <a:effectLst>
          <a:outerShdw blurRad="50800" dist="38100" dir="2700000" algn="tl" rotWithShape="0">
            <a:prstClr val="black">
              <a:alpha val="40000"/>
            </a:prstClr>
          </a:outerShdw>
        </a:effectLst>
      </xdr:grpSpPr>
      <xdr:sp macro="" textlink="">
        <xdr:nvSpPr>
          <xdr:cNvPr id="346" name="Rectangle 345">
            <a:extLst>
              <a:ext uri="{FF2B5EF4-FFF2-40B4-BE49-F238E27FC236}">
                <a16:creationId xmlns:a16="http://schemas.microsoft.com/office/drawing/2014/main" id="{548912F0-4D61-499F-8157-F57B1AF2B32F}"/>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Nilai persentase yang merepresentasikan proporsi suatu jenis pekerjaan terhadap total biaya dan kemajuan keseluruhan proyek. Metrik paling penting dalam manajemen proyek sebagai alat ukur mengendalikan proyek secara efektif.</a:t>
            </a:r>
          </a:p>
        </xdr:txBody>
      </xdr:sp>
      <xdr:sp macro="" textlink="">
        <xdr:nvSpPr>
          <xdr:cNvPr id="347" name="Rectangle 346">
            <a:extLst>
              <a:ext uri="{FF2B5EF4-FFF2-40B4-BE49-F238E27FC236}">
                <a16:creationId xmlns:a16="http://schemas.microsoft.com/office/drawing/2014/main" id="{9BBE52ED-9B51-4D52-AF88-562828E7D409}"/>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BOBOT</a:t>
            </a:r>
          </a:p>
        </xdr:txBody>
      </xdr:sp>
    </xdr:grpSp>
    <xdr:clientData/>
  </xdr:twoCellAnchor>
  <xdr:twoCellAnchor editAs="absolute">
    <xdr:from>
      <xdr:col>4</xdr:col>
      <xdr:colOff>0</xdr:colOff>
      <xdr:row>39</xdr:row>
      <xdr:rowOff>0</xdr:rowOff>
    </xdr:from>
    <xdr:to>
      <xdr:col>9</xdr:col>
      <xdr:colOff>330200</xdr:colOff>
      <xdr:row>47</xdr:row>
      <xdr:rowOff>169333</xdr:rowOff>
    </xdr:to>
    <xdr:grpSp>
      <xdr:nvGrpSpPr>
        <xdr:cNvPr id="348" name="Group 347">
          <a:extLst>
            <a:ext uri="{FF2B5EF4-FFF2-40B4-BE49-F238E27FC236}">
              <a16:creationId xmlns:a16="http://schemas.microsoft.com/office/drawing/2014/main" id="{4D064304-5C30-457E-9758-0B3E75EC2DB4}"/>
            </a:ext>
          </a:extLst>
        </xdr:cNvPr>
        <xdr:cNvGrpSpPr/>
      </xdr:nvGrpSpPr>
      <xdr:grpSpPr>
        <a:xfrm>
          <a:off x="2479040" y="7172960"/>
          <a:ext cx="3022600" cy="1632373"/>
          <a:chOff x="2768600" y="973667"/>
          <a:chExt cx="3022600" cy="1659467"/>
        </a:xfrm>
        <a:solidFill>
          <a:schemeClr val="bg1">
            <a:lumMod val="95000"/>
          </a:schemeClr>
        </a:solidFill>
        <a:effectLst>
          <a:outerShdw blurRad="50800" dist="38100" dir="2700000" algn="tl" rotWithShape="0">
            <a:prstClr val="black">
              <a:alpha val="40000"/>
            </a:prstClr>
          </a:outerShdw>
        </a:effectLst>
      </xdr:grpSpPr>
      <xdr:sp macro="" textlink="">
        <xdr:nvSpPr>
          <xdr:cNvPr id="349" name="Rectangle 348">
            <a:extLst>
              <a:ext uri="{FF2B5EF4-FFF2-40B4-BE49-F238E27FC236}">
                <a16:creationId xmlns:a16="http://schemas.microsoft.com/office/drawing/2014/main" id="{882738FA-02C3-48CF-BF52-4798A639052B}"/>
              </a:ext>
            </a:extLst>
          </xdr:cNvPr>
          <xdr:cNvSpPr/>
        </xdr:nvSpPr>
        <xdr:spPr>
          <a:xfrm>
            <a:off x="2768600" y="1168401"/>
            <a:ext cx="3022600" cy="1464733"/>
          </a:xfrm>
          <a:prstGeom prst="rect">
            <a:avLst/>
          </a:prstGeom>
          <a:grp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Proses rekayasa untuk menentukan jumlah, diameter, dan susunan baja tulangan yang dibutuhkan dalam struktur beton agar sesuai standar yang berlaku.</a:t>
            </a:r>
          </a:p>
        </xdr:txBody>
      </xdr:sp>
      <xdr:sp macro="" textlink="">
        <xdr:nvSpPr>
          <xdr:cNvPr id="350" name="Rectangle 349">
            <a:extLst>
              <a:ext uri="{FF2B5EF4-FFF2-40B4-BE49-F238E27FC236}">
                <a16:creationId xmlns:a16="http://schemas.microsoft.com/office/drawing/2014/main" id="{52C3F2BF-47B6-49B8-86C6-B77639BBF9CF}"/>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PERH. TULANGAN</a:t>
            </a:r>
          </a:p>
        </xdr:txBody>
      </xdr:sp>
    </xdr:grpSp>
    <xdr:clientData/>
  </xdr:twoCellAnchor>
  <xdr:twoCellAnchor editAs="absolute">
    <xdr:from>
      <xdr:col>15</xdr:col>
      <xdr:colOff>541866</xdr:colOff>
      <xdr:row>39</xdr:row>
      <xdr:rowOff>0</xdr:rowOff>
    </xdr:from>
    <xdr:to>
      <xdr:col>21</xdr:col>
      <xdr:colOff>330200</xdr:colOff>
      <xdr:row>47</xdr:row>
      <xdr:rowOff>169333</xdr:rowOff>
    </xdr:to>
    <xdr:grpSp>
      <xdr:nvGrpSpPr>
        <xdr:cNvPr id="351" name="Group 350">
          <a:extLst>
            <a:ext uri="{FF2B5EF4-FFF2-40B4-BE49-F238E27FC236}">
              <a16:creationId xmlns:a16="http://schemas.microsoft.com/office/drawing/2014/main" id="{C7857F23-41C2-45B4-8F86-E8A69B84C7EC}"/>
            </a:ext>
          </a:extLst>
        </xdr:cNvPr>
        <xdr:cNvGrpSpPr/>
      </xdr:nvGrpSpPr>
      <xdr:grpSpPr>
        <a:xfrm>
          <a:off x="8944186" y="7172960"/>
          <a:ext cx="3019214" cy="1632373"/>
          <a:chOff x="2768600" y="973667"/>
          <a:chExt cx="3022600" cy="1659467"/>
        </a:xfrm>
        <a:effectLst>
          <a:outerShdw blurRad="50800" dist="38100" dir="2700000" algn="tl" rotWithShape="0">
            <a:prstClr val="black">
              <a:alpha val="40000"/>
            </a:prstClr>
          </a:outerShdw>
        </a:effectLst>
      </xdr:grpSpPr>
      <xdr:sp macro="" textlink="">
        <xdr:nvSpPr>
          <xdr:cNvPr id="352" name="Rectangle 351">
            <a:extLst>
              <a:ext uri="{FF2B5EF4-FFF2-40B4-BE49-F238E27FC236}">
                <a16:creationId xmlns:a16="http://schemas.microsoft.com/office/drawing/2014/main" id="{A5D90943-B32A-4026-8090-2A43BC3CFDBF}"/>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Metode yang digunakan dalam manajemen proyek untuk memvisualisasikan perbandingan antara rencana kemajuan proyek (progres yang dianggarkan) dengan realisasi di lapangan (progres aktual) terhadap waktu.</a:t>
            </a:r>
          </a:p>
        </xdr:txBody>
      </xdr:sp>
      <xdr:sp macro="" textlink="">
        <xdr:nvSpPr>
          <xdr:cNvPr id="353" name="Rectangle 352">
            <a:extLst>
              <a:ext uri="{FF2B5EF4-FFF2-40B4-BE49-F238E27FC236}">
                <a16:creationId xmlns:a16="http://schemas.microsoft.com/office/drawing/2014/main" id="{A3F89663-8FF9-47CA-855C-2862DEF7180F}"/>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KURVA-S</a:t>
            </a:r>
          </a:p>
        </xdr:txBody>
      </xdr:sp>
    </xdr:grpSp>
    <xdr:clientData/>
  </xdr:twoCellAnchor>
  <xdr:twoCellAnchor editAs="absolute">
    <xdr:from>
      <xdr:col>21</xdr:col>
      <xdr:colOff>541867</xdr:colOff>
      <xdr:row>39</xdr:row>
      <xdr:rowOff>0</xdr:rowOff>
    </xdr:from>
    <xdr:to>
      <xdr:col>27</xdr:col>
      <xdr:colOff>330200</xdr:colOff>
      <xdr:row>47</xdr:row>
      <xdr:rowOff>169333</xdr:rowOff>
    </xdr:to>
    <xdr:grpSp>
      <xdr:nvGrpSpPr>
        <xdr:cNvPr id="354" name="Group 353">
          <a:extLst>
            <a:ext uri="{FF2B5EF4-FFF2-40B4-BE49-F238E27FC236}">
              <a16:creationId xmlns:a16="http://schemas.microsoft.com/office/drawing/2014/main" id="{ACD3824E-228C-4139-907A-7C8AF085D93B}"/>
            </a:ext>
          </a:extLst>
        </xdr:cNvPr>
        <xdr:cNvGrpSpPr/>
      </xdr:nvGrpSpPr>
      <xdr:grpSpPr>
        <a:xfrm>
          <a:off x="12175067" y="7172960"/>
          <a:ext cx="3019213" cy="1632373"/>
          <a:chOff x="2768600" y="973667"/>
          <a:chExt cx="3022600" cy="1659467"/>
        </a:xfrm>
        <a:effectLst>
          <a:outerShdw blurRad="50800" dist="38100" dir="2700000" algn="tl" rotWithShape="0">
            <a:prstClr val="black">
              <a:alpha val="40000"/>
            </a:prstClr>
          </a:outerShdw>
        </a:effectLst>
      </xdr:grpSpPr>
      <xdr:sp macro="" textlink="">
        <xdr:nvSpPr>
          <xdr:cNvPr id="355" name="Rectangle 354">
            <a:extLst>
              <a:ext uri="{FF2B5EF4-FFF2-40B4-BE49-F238E27FC236}">
                <a16:creationId xmlns:a16="http://schemas.microsoft.com/office/drawing/2014/main" id="{4E85AF16-7B11-4E8F-9A9F-2AA069F2FBA7}"/>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Rencana Anggaran Biaya yang merinci seluruh biaya yang diperlukan untuk penerapan Sistem Manajemen Keselamatan Konstruksi, meliputi aspek keselamatan, kesehatan kerja, dan perlindungan lingkungan di proyek.</a:t>
            </a:r>
          </a:p>
        </xdr:txBody>
      </xdr:sp>
      <xdr:sp macro="" textlink="">
        <xdr:nvSpPr>
          <xdr:cNvPr id="356" name="Rectangle 355">
            <a:extLst>
              <a:ext uri="{FF2B5EF4-FFF2-40B4-BE49-F238E27FC236}">
                <a16:creationId xmlns:a16="http://schemas.microsoft.com/office/drawing/2014/main" id="{AAA15BB2-FE21-42E6-8BC8-737B4943E21B}"/>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RAB SMKK</a:t>
            </a:r>
          </a:p>
        </xdr:txBody>
      </xdr:sp>
    </xdr:grpSp>
    <xdr:clientData/>
  </xdr:twoCellAnchor>
  <xdr:twoCellAnchor editAs="absolute">
    <xdr:from>
      <xdr:col>9</xdr:col>
      <xdr:colOff>541867</xdr:colOff>
      <xdr:row>50</xdr:row>
      <xdr:rowOff>0</xdr:rowOff>
    </xdr:from>
    <xdr:to>
      <xdr:col>15</xdr:col>
      <xdr:colOff>330200</xdr:colOff>
      <xdr:row>58</xdr:row>
      <xdr:rowOff>169334</xdr:rowOff>
    </xdr:to>
    <xdr:grpSp>
      <xdr:nvGrpSpPr>
        <xdr:cNvPr id="357" name="Group 356">
          <a:extLst>
            <a:ext uri="{FF2B5EF4-FFF2-40B4-BE49-F238E27FC236}">
              <a16:creationId xmlns:a16="http://schemas.microsoft.com/office/drawing/2014/main" id="{59512CE9-E703-4CA5-A6E9-46BDBD0A6856}"/>
            </a:ext>
          </a:extLst>
        </xdr:cNvPr>
        <xdr:cNvGrpSpPr/>
      </xdr:nvGrpSpPr>
      <xdr:grpSpPr>
        <a:xfrm>
          <a:off x="5713307" y="9184640"/>
          <a:ext cx="3019213" cy="1632374"/>
          <a:chOff x="2768600" y="973667"/>
          <a:chExt cx="3022600" cy="1659467"/>
        </a:xfrm>
        <a:effectLst>
          <a:outerShdw blurRad="50800" dist="38100" dir="2700000" algn="tl" rotWithShape="0">
            <a:prstClr val="black">
              <a:alpha val="40000"/>
            </a:prstClr>
          </a:outerShdw>
        </a:effectLst>
      </xdr:grpSpPr>
      <xdr:sp macro="" textlink="">
        <xdr:nvSpPr>
          <xdr:cNvPr id="358" name="Rectangle 357">
            <a:extLst>
              <a:ext uri="{FF2B5EF4-FFF2-40B4-BE49-F238E27FC236}">
                <a16:creationId xmlns:a16="http://schemas.microsoft.com/office/drawing/2014/main" id="{2BED6B76-873D-49FB-92FE-7D41BC82431B}"/>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Nilai persentase yang merepresentasikan proporsi suatu jenis pekerjaan terhadap total biaya dan kemajuan keseluruhan proyek. Metrik paling penting dalam manajemen proyek sebagai alat ukur mengendalikan proyek secara efektif.</a:t>
            </a:r>
          </a:p>
        </xdr:txBody>
      </xdr:sp>
      <xdr:sp macro="" textlink="">
        <xdr:nvSpPr>
          <xdr:cNvPr id="359" name="Rectangle 358">
            <a:extLst>
              <a:ext uri="{FF2B5EF4-FFF2-40B4-BE49-F238E27FC236}">
                <a16:creationId xmlns:a16="http://schemas.microsoft.com/office/drawing/2014/main" id="{DE64E238-5BCC-4D3C-81AA-0A04F3C965CD}"/>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C. C. O</a:t>
            </a:r>
          </a:p>
        </xdr:txBody>
      </xdr:sp>
    </xdr:grpSp>
    <xdr:clientData/>
  </xdr:twoCellAnchor>
  <xdr:twoCellAnchor editAs="absolute">
    <xdr:from>
      <xdr:col>4</xdr:col>
      <xdr:colOff>0</xdr:colOff>
      <xdr:row>50</xdr:row>
      <xdr:rowOff>0</xdr:rowOff>
    </xdr:from>
    <xdr:to>
      <xdr:col>9</xdr:col>
      <xdr:colOff>330200</xdr:colOff>
      <xdr:row>58</xdr:row>
      <xdr:rowOff>169334</xdr:rowOff>
    </xdr:to>
    <xdr:grpSp>
      <xdr:nvGrpSpPr>
        <xdr:cNvPr id="360" name="Group 359">
          <a:extLst>
            <a:ext uri="{FF2B5EF4-FFF2-40B4-BE49-F238E27FC236}">
              <a16:creationId xmlns:a16="http://schemas.microsoft.com/office/drawing/2014/main" id="{331A5EB0-4B3B-4DD5-8AD2-F18535665551}"/>
            </a:ext>
          </a:extLst>
        </xdr:cNvPr>
        <xdr:cNvGrpSpPr/>
      </xdr:nvGrpSpPr>
      <xdr:grpSpPr>
        <a:xfrm>
          <a:off x="2479040" y="9184640"/>
          <a:ext cx="3022600" cy="1632374"/>
          <a:chOff x="2768600" y="973667"/>
          <a:chExt cx="3022600" cy="1659467"/>
        </a:xfrm>
        <a:effectLst>
          <a:outerShdw blurRad="50800" dist="38100" dir="2700000" algn="tl" rotWithShape="0">
            <a:prstClr val="black">
              <a:alpha val="40000"/>
            </a:prstClr>
          </a:outerShdw>
        </a:effectLst>
      </xdr:grpSpPr>
      <xdr:sp macro="" textlink="">
        <xdr:nvSpPr>
          <xdr:cNvPr id="361" name="Rectangle 360">
            <a:extLst>
              <a:ext uri="{FF2B5EF4-FFF2-40B4-BE49-F238E27FC236}">
                <a16:creationId xmlns:a16="http://schemas.microsoft.com/office/drawing/2014/main" id="{9D05E225-CF0B-431E-984E-5AD6EB7011D8}"/>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Dokumen penawaran proyek adalah dokumen resmi yang diajukan oleh perusahaan atau penyedia jasa kepada calon klien untuk mendapatkan suatu proyek.</a:t>
            </a:r>
          </a:p>
        </xdr:txBody>
      </xdr:sp>
      <xdr:sp macro="" textlink="">
        <xdr:nvSpPr>
          <xdr:cNvPr id="362" name="Rectangle 361">
            <a:extLst>
              <a:ext uri="{FF2B5EF4-FFF2-40B4-BE49-F238E27FC236}">
                <a16:creationId xmlns:a16="http://schemas.microsoft.com/office/drawing/2014/main" id="{24C14CB2-8B2F-4A4C-8D7B-9B937C517F7D}"/>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PENAWARAN</a:t>
            </a:r>
          </a:p>
        </xdr:txBody>
      </xdr:sp>
    </xdr:grpSp>
    <xdr:clientData/>
  </xdr:twoCellAnchor>
  <xdr:twoCellAnchor editAs="absolute">
    <xdr:from>
      <xdr:col>15</xdr:col>
      <xdr:colOff>541866</xdr:colOff>
      <xdr:row>50</xdr:row>
      <xdr:rowOff>0</xdr:rowOff>
    </xdr:from>
    <xdr:to>
      <xdr:col>21</xdr:col>
      <xdr:colOff>330200</xdr:colOff>
      <xdr:row>58</xdr:row>
      <xdr:rowOff>169334</xdr:rowOff>
    </xdr:to>
    <xdr:grpSp>
      <xdr:nvGrpSpPr>
        <xdr:cNvPr id="363" name="Group 362">
          <a:extLst>
            <a:ext uri="{FF2B5EF4-FFF2-40B4-BE49-F238E27FC236}">
              <a16:creationId xmlns:a16="http://schemas.microsoft.com/office/drawing/2014/main" id="{360267D5-6EC4-45C7-B6D0-3AEA2DE14766}"/>
            </a:ext>
          </a:extLst>
        </xdr:cNvPr>
        <xdr:cNvGrpSpPr/>
      </xdr:nvGrpSpPr>
      <xdr:grpSpPr>
        <a:xfrm>
          <a:off x="8944186" y="9184640"/>
          <a:ext cx="3019214" cy="1632374"/>
          <a:chOff x="2768600" y="973667"/>
          <a:chExt cx="3022600" cy="1659467"/>
        </a:xfrm>
        <a:effectLst>
          <a:outerShdw blurRad="50800" dist="38100" dir="2700000" algn="tl" rotWithShape="0">
            <a:prstClr val="black">
              <a:alpha val="40000"/>
            </a:prstClr>
          </a:outerShdw>
        </a:effectLst>
      </xdr:grpSpPr>
      <xdr:sp macro="" textlink="">
        <xdr:nvSpPr>
          <xdr:cNvPr id="364" name="Rectangle 363">
            <a:extLst>
              <a:ext uri="{FF2B5EF4-FFF2-40B4-BE49-F238E27FC236}">
                <a16:creationId xmlns:a16="http://schemas.microsoft.com/office/drawing/2014/main" id="{783A01F0-C7F8-4620-8D35-F2741C8E4D62}"/>
              </a:ext>
            </a:extLst>
          </xdr:cNvPr>
          <xdr:cNvSpPr/>
        </xdr:nvSpPr>
        <xdr:spPr>
          <a:xfrm>
            <a:off x="2768600" y="1168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D" sz="1100">
                <a:solidFill>
                  <a:sysClr val="windowText" lastClr="000000"/>
                </a:solidFill>
              </a:rPr>
              <a:t>Metode yang digunakan dalam manajemen proyek untuk memvisualisasikan perbandingan antara rencana kemajuan proyek (progres yang dianggarkan) dengan realisasi di lapangan (progres aktual) terhadap waktu.</a:t>
            </a:r>
          </a:p>
        </xdr:txBody>
      </xdr:sp>
      <xdr:sp macro="" textlink="">
        <xdr:nvSpPr>
          <xdr:cNvPr id="365" name="Rectangle 364">
            <a:extLst>
              <a:ext uri="{FF2B5EF4-FFF2-40B4-BE49-F238E27FC236}">
                <a16:creationId xmlns:a16="http://schemas.microsoft.com/office/drawing/2014/main" id="{49AF7764-9F34-4106-A5F1-FF255B61AC86}"/>
              </a:ext>
            </a:extLst>
          </xdr:cNvPr>
          <xdr:cNvSpPr/>
        </xdr:nvSpPr>
        <xdr:spPr>
          <a:xfrm>
            <a:off x="3361267" y="9736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ABSENSI</a:t>
            </a:r>
          </a:p>
        </xdr:txBody>
      </xdr:sp>
    </xdr:grpSp>
    <xdr:clientData/>
  </xdr:twoCellAnchor>
  <xdr:twoCellAnchor editAs="absolute">
    <xdr:from>
      <xdr:col>21</xdr:col>
      <xdr:colOff>541867</xdr:colOff>
      <xdr:row>51</xdr:row>
      <xdr:rowOff>8468</xdr:rowOff>
    </xdr:from>
    <xdr:to>
      <xdr:col>27</xdr:col>
      <xdr:colOff>330200</xdr:colOff>
      <xdr:row>58</xdr:row>
      <xdr:rowOff>169334</xdr:rowOff>
    </xdr:to>
    <xdr:sp macro="" textlink="">
      <xdr:nvSpPr>
        <xdr:cNvPr id="366" name="Rectangle 365">
          <a:extLst>
            <a:ext uri="{FF2B5EF4-FFF2-40B4-BE49-F238E27FC236}">
              <a16:creationId xmlns:a16="http://schemas.microsoft.com/office/drawing/2014/main" id="{BFCE75E3-EFC7-4BBE-AA3D-63D8F55425C7}"/>
            </a:ext>
          </a:extLst>
        </xdr:cNvPr>
        <xdr:cNvSpPr/>
      </xdr:nvSpPr>
      <xdr:spPr>
        <a:xfrm>
          <a:off x="12217400" y="9550401"/>
          <a:ext cx="3022600" cy="1464733"/>
        </a:xfrm>
        <a:prstGeom prst="rect">
          <a:avLst/>
        </a:prstGeom>
        <a:solidFill>
          <a:schemeClr val="bg1">
            <a:lumMod val="95000"/>
          </a:schemeClr>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a:solidFill>
                <a:sysClr val="windowText" lastClr="000000"/>
              </a:solidFill>
            </a:rPr>
            <a:t>RAB OTOMATIS</a:t>
          </a:r>
        </a:p>
        <a:p>
          <a:pPr algn="ctr"/>
          <a:r>
            <a:rPr lang="en-ID" sz="1100">
              <a:solidFill>
                <a:sysClr val="windowText" lastClr="000000"/>
              </a:solidFill>
            </a:rPr>
            <a:t>www.rabotomatis.com</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168090</xdr:colOff>
      <xdr:row>5</xdr:row>
      <xdr:rowOff>177272</xdr:rowOff>
    </xdr:from>
    <xdr:to>
      <xdr:col>2</xdr:col>
      <xdr:colOff>552106</xdr:colOff>
      <xdr:row>27</xdr:row>
      <xdr:rowOff>78530</xdr:rowOff>
    </xdr:to>
    <xdr:grpSp>
      <xdr:nvGrpSpPr>
        <xdr:cNvPr id="22" name="Group 21">
          <a:extLst>
            <a:ext uri="{FF2B5EF4-FFF2-40B4-BE49-F238E27FC236}">
              <a16:creationId xmlns:a16="http://schemas.microsoft.com/office/drawing/2014/main" id="{328F4595-D2CD-43BC-BE59-7ED37A75D108}"/>
            </a:ext>
          </a:extLst>
        </xdr:cNvPr>
        <xdr:cNvGrpSpPr/>
      </xdr:nvGrpSpPr>
      <xdr:grpSpPr>
        <a:xfrm>
          <a:off x="168090" y="1132312"/>
          <a:ext cx="1867376" cy="3924618"/>
          <a:chOff x="168090" y="762000"/>
          <a:chExt cx="1818369" cy="4084320"/>
        </a:xfrm>
      </xdr:grpSpPr>
      <xdr:sp macro="[0]!TBHOME_Click" textlink="">
        <xdr:nvSpPr>
          <xdr:cNvPr id="23" name="TB.HOME">
            <a:extLst>
              <a:ext uri="{FF2B5EF4-FFF2-40B4-BE49-F238E27FC236}">
                <a16:creationId xmlns:a16="http://schemas.microsoft.com/office/drawing/2014/main" id="{EFA5BE6A-5A8B-455E-97FB-10AA587C0759}"/>
              </a:ext>
            </a:extLst>
          </xdr:cNvPr>
          <xdr:cNvSpPr/>
        </xdr:nvSpPr>
        <xdr:spPr>
          <a:xfrm>
            <a:off x="168090" y="76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HOME</a:t>
            </a:r>
          </a:p>
        </xdr:txBody>
      </xdr:sp>
      <xdr:sp macro="[0]!TBAHSP_Click" textlink="">
        <xdr:nvSpPr>
          <xdr:cNvPr id="31" name="TB.AHSP">
            <a:extLst>
              <a:ext uri="{FF2B5EF4-FFF2-40B4-BE49-F238E27FC236}">
                <a16:creationId xmlns:a16="http://schemas.microsoft.com/office/drawing/2014/main" id="{89B0C084-F841-4263-AFB7-E2807A3E93F1}"/>
              </a:ext>
            </a:extLst>
          </xdr:cNvPr>
          <xdr:cNvSpPr/>
        </xdr:nvSpPr>
        <xdr:spPr>
          <a:xfrm>
            <a:off x="449495" y="1524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AHSP</a:t>
            </a:r>
          </a:p>
        </xdr:txBody>
      </xdr:sp>
      <xdr:sp macro="[0]!TBHSP_Click" textlink="">
        <xdr:nvSpPr>
          <xdr:cNvPr id="32" name="TB.HSP">
            <a:extLst>
              <a:ext uri="{FF2B5EF4-FFF2-40B4-BE49-F238E27FC236}">
                <a16:creationId xmlns:a16="http://schemas.microsoft.com/office/drawing/2014/main" id="{8201B9B3-B7C2-4D4A-B83D-6A6D7AB3F0AA}"/>
              </a:ext>
            </a:extLst>
          </xdr:cNvPr>
          <xdr:cNvSpPr/>
        </xdr:nvSpPr>
        <xdr:spPr>
          <a:xfrm>
            <a:off x="449494" y="190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HSP</a:t>
            </a:r>
          </a:p>
        </xdr:txBody>
      </xdr:sp>
      <xdr:sp macro="[0]!TBBAHAN_Click" textlink="">
        <xdr:nvSpPr>
          <xdr:cNvPr id="34" name="TB.BAHAN">
            <a:extLst>
              <a:ext uri="{FF2B5EF4-FFF2-40B4-BE49-F238E27FC236}">
                <a16:creationId xmlns:a16="http://schemas.microsoft.com/office/drawing/2014/main" id="{E702E5A4-CFA5-41DA-B8A3-D45FE0B86DF0}"/>
              </a:ext>
            </a:extLst>
          </xdr:cNvPr>
          <xdr:cNvSpPr/>
        </xdr:nvSpPr>
        <xdr:spPr>
          <a:xfrm>
            <a:off x="449494" y="228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BAHAN</a:t>
            </a:r>
          </a:p>
        </xdr:txBody>
      </xdr:sp>
      <xdr:sp macro="[0]!TBUPAH_Click" textlink="">
        <xdr:nvSpPr>
          <xdr:cNvPr id="35" name="TB.UPAH">
            <a:extLst>
              <a:ext uri="{FF2B5EF4-FFF2-40B4-BE49-F238E27FC236}">
                <a16:creationId xmlns:a16="http://schemas.microsoft.com/office/drawing/2014/main" id="{811EC5D0-252F-416C-A433-36E8358F20CF}"/>
              </a:ext>
            </a:extLst>
          </xdr:cNvPr>
          <xdr:cNvSpPr/>
        </xdr:nvSpPr>
        <xdr:spPr>
          <a:xfrm>
            <a:off x="449494" y="266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UPAH</a:t>
            </a:r>
          </a:p>
        </xdr:txBody>
      </xdr:sp>
      <xdr:sp macro="[0]!TBDATA_Click" textlink="">
        <xdr:nvSpPr>
          <xdr:cNvPr id="36" name="TB.DATA">
            <a:extLst>
              <a:ext uri="{FF2B5EF4-FFF2-40B4-BE49-F238E27FC236}">
                <a16:creationId xmlns:a16="http://schemas.microsoft.com/office/drawing/2014/main" id="{C334DB6C-B561-49B2-A5F9-8D0787E7E6ED}"/>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DATA</a:t>
            </a:r>
          </a:p>
        </xdr:txBody>
      </xdr:sp>
      <xdr:sp macro="[0]!TBHITUNGVOLUME_Click" textlink="">
        <xdr:nvSpPr>
          <xdr:cNvPr id="37" name="TB.HITUNGVOLUME">
            <a:extLst>
              <a:ext uri="{FF2B5EF4-FFF2-40B4-BE49-F238E27FC236}">
                <a16:creationId xmlns:a16="http://schemas.microsoft.com/office/drawing/2014/main" id="{5D231E6D-26AA-4A46-9745-B93C64EDF8E8}"/>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38" name="TB.HITUNGRAB">
            <a:extLst>
              <a:ext uri="{FF2B5EF4-FFF2-40B4-BE49-F238E27FC236}">
                <a16:creationId xmlns:a16="http://schemas.microsoft.com/office/drawing/2014/main" id="{F83337C5-13CC-44FB-B29F-BD222809FC24}"/>
              </a:ext>
            </a:extLst>
          </xdr:cNvPr>
          <xdr:cNvSpPr/>
        </xdr:nvSpPr>
        <xdr:spPr>
          <a:xfrm>
            <a:off x="168090" y="3429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39" name="TB.REKAPITULASI">
            <a:extLst>
              <a:ext uri="{FF2B5EF4-FFF2-40B4-BE49-F238E27FC236}">
                <a16:creationId xmlns:a16="http://schemas.microsoft.com/office/drawing/2014/main" id="{126FA8FE-1F86-42D4-AA9E-F2512C09C5D3}"/>
              </a:ext>
            </a:extLst>
          </xdr:cNvPr>
          <xdr:cNvSpPr/>
        </xdr:nvSpPr>
        <xdr:spPr>
          <a:xfrm>
            <a:off x="168090" y="3810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51" name="TB.DOKUMEN">
            <a:extLst>
              <a:ext uri="{FF2B5EF4-FFF2-40B4-BE49-F238E27FC236}">
                <a16:creationId xmlns:a16="http://schemas.microsoft.com/office/drawing/2014/main" id="{56EF544B-CBEB-48A6-8972-96F97E306A4A}"/>
              </a:ext>
            </a:extLst>
          </xdr:cNvPr>
          <xdr:cNvSpPr/>
        </xdr:nvSpPr>
        <xdr:spPr>
          <a:xfrm>
            <a:off x="168090"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52" name="TB.PANDUAN">
            <a:extLst>
              <a:ext uri="{FF2B5EF4-FFF2-40B4-BE49-F238E27FC236}">
                <a16:creationId xmlns:a16="http://schemas.microsoft.com/office/drawing/2014/main" id="{1F313F00-3AA3-4A10-ADD9-3610DE109A55}"/>
              </a:ext>
            </a:extLst>
          </xdr:cNvPr>
          <xdr:cNvSpPr/>
        </xdr:nvSpPr>
        <xdr:spPr>
          <a:xfrm>
            <a:off x="168090"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twoCellAnchor editAs="absolute">
    <xdr:from>
      <xdr:col>0</xdr:col>
      <xdr:colOff>0</xdr:colOff>
      <xdr:row>0</xdr:row>
      <xdr:rowOff>0</xdr:rowOff>
    </xdr:from>
    <xdr:to>
      <xdr:col>2</xdr:col>
      <xdr:colOff>680756</xdr:colOff>
      <xdr:row>2</xdr:row>
      <xdr:rowOff>155948</xdr:rowOff>
    </xdr:to>
    <xdr:sp macro="" textlink="">
      <xdr:nvSpPr>
        <xdr:cNvPr id="15" name="Rectangle 14">
          <a:extLst>
            <a:ext uri="{FF2B5EF4-FFF2-40B4-BE49-F238E27FC236}">
              <a16:creationId xmlns:a16="http://schemas.microsoft.com/office/drawing/2014/main" id="{A1E2E660-5D07-4149-8C88-F89D5E425127}"/>
            </a:ext>
          </a:extLst>
        </xdr:cNvPr>
        <xdr:cNvSpPr/>
      </xdr:nvSpPr>
      <xdr:spPr>
        <a:xfrm>
          <a:off x="0" y="0"/>
          <a:ext cx="21730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4</xdr:col>
      <xdr:colOff>0</xdr:colOff>
      <xdr:row>5</xdr:row>
      <xdr:rowOff>0</xdr:rowOff>
    </xdr:from>
    <xdr:to>
      <xdr:col>25</xdr:col>
      <xdr:colOff>8468</xdr:colOff>
      <xdr:row>24</xdr:row>
      <xdr:rowOff>67734</xdr:rowOff>
    </xdr:to>
    <xdr:grpSp>
      <xdr:nvGrpSpPr>
        <xdr:cNvPr id="57" name="Group 56">
          <a:extLst>
            <a:ext uri="{FF2B5EF4-FFF2-40B4-BE49-F238E27FC236}">
              <a16:creationId xmlns:a16="http://schemas.microsoft.com/office/drawing/2014/main" id="{F0CA3802-AB63-4691-BE44-8A835E546644}"/>
            </a:ext>
          </a:extLst>
        </xdr:cNvPr>
        <xdr:cNvGrpSpPr/>
      </xdr:nvGrpSpPr>
      <xdr:grpSpPr>
        <a:xfrm>
          <a:off x="2550160" y="955040"/>
          <a:ext cx="12810068" cy="3542454"/>
          <a:chOff x="2836332" y="12708467"/>
          <a:chExt cx="12810068" cy="3606800"/>
        </a:xfrm>
      </xdr:grpSpPr>
      <xdr:sp macro="" textlink="">
        <xdr:nvSpPr>
          <xdr:cNvPr id="58" name="Rectangle 57">
            <a:extLst>
              <a:ext uri="{FF2B5EF4-FFF2-40B4-BE49-F238E27FC236}">
                <a16:creationId xmlns:a16="http://schemas.microsoft.com/office/drawing/2014/main" id="{AA789372-FC31-49E0-AD77-353AB15C4C7F}"/>
              </a:ext>
            </a:extLst>
          </xdr:cNvPr>
          <xdr:cNvSpPr/>
        </xdr:nvSpPr>
        <xdr:spPr>
          <a:xfrm>
            <a:off x="2836332" y="12903201"/>
            <a:ext cx="12810068" cy="3412066"/>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1. Menggunakan AHSP Cipta Karya 2024/2025</a:t>
            </a:r>
          </a:p>
          <a:p>
            <a:pPr algn="l"/>
            <a:r>
              <a:rPr lang="en-ID" sz="1100">
                <a:solidFill>
                  <a:sysClr val="windowText" lastClr="000000"/>
                </a:solidFill>
              </a:rPr>
              <a:t>2. Metode perhitungan biaya untuk setiap jenis pekerjaan konstruksi, dengan mempertimbangkan biaya tenaga kerja, bahan, dan peralatan.</a:t>
            </a:r>
          </a:p>
          <a:p>
            <a:pPr algn="l"/>
            <a:r>
              <a:rPr lang="en-ID" sz="1100">
                <a:solidFill>
                  <a:sysClr val="windowText" lastClr="000000"/>
                </a:solidFill>
              </a:rPr>
              <a:t>3. AHSP digunakan sebagai dasar untuk menentukan harga satuan pekerjaan yang akan diakumulasikan menjadi total biaya proyek.</a:t>
            </a:r>
          </a:p>
          <a:p>
            <a:pPr algn="l"/>
            <a:endParaRPr lang="en-ID" sz="1100">
              <a:solidFill>
                <a:sysClr val="windowText" lastClr="000000"/>
              </a:solidFill>
            </a:endParaRPr>
          </a:p>
          <a:p>
            <a:pPr algn="l"/>
            <a:r>
              <a:rPr lang="en-ID" sz="1100" b="1">
                <a:solidFill>
                  <a:sysClr val="windowText" lastClr="000000"/>
                </a:solidFill>
              </a:rPr>
              <a:t>Komponen AHSP :</a:t>
            </a:r>
          </a:p>
          <a:p>
            <a:pPr algn="l"/>
            <a:r>
              <a:rPr lang="en-ID" sz="1100">
                <a:solidFill>
                  <a:sysClr val="windowText" lastClr="000000"/>
                </a:solidFill>
              </a:rPr>
              <a:t>- Harga Bahan</a:t>
            </a:r>
          </a:p>
          <a:p>
            <a:pPr algn="l"/>
            <a:r>
              <a:rPr lang="en-ID" sz="1100">
                <a:solidFill>
                  <a:sysClr val="windowText" lastClr="000000"/>
                </a:solidFill>
              </a:rPr>
              <a:t>- Upah</a:t>
            </a:r>
          </a:p>
          <a:p>
            <a:pPr algn="l"/>
            <a:r>
              <a:rPr lang="en-ID" sz="1100">
                <a:solidFill>
                  <a:sysClr val="windowText" lastClr="000000"/>
                </a:solidFill>
              </a:rPr>
              <a:t>- Peralatan</a:t>
            </a:r>
          </a:p>
          <a:p>
            <a:pPr algn="l"/>
            <a:r>
              <a:rPr lang="en-ID" sz="1100">
                <a:solidFill>
                  <a:sysClr val="windowText" lastClr="000000"/>
                </a:solidFill>
              </a:rPr>
              <a:t>- Koefisien Pekerjaan</a:t>
            </a:r>
          </a:p>
          <a:p>
            <a:pPr algn="l"/>
            <a:endParaRPr lang="en-ID" sz="1100">
              <a:solidFill>
                <a:sysClr val="windowText" lastClr="000000"/>
              </a:solidFill>
            </a:endParaRPr>
          </a:p>
          <a:p>
            <a:pPr algn="l"/>
            <a:r>
              <a:rPr lang="en-ID" sz="1100" b="1">
                <a:solidFill>
                  <a:sysClr val="windowText" lastClr="000000"/>
                </a:solidFill>
              </a:rPr>
              <a:t>Fungsi &amp; Tujuan AHSP :</a:t>
            </a:r>
          </a:p>
          <a:p>
            <a:pPr algn="l"/>
            <a:r>
              <a:rPr lang="en-ID" sz="1100">
                <a:solidFill>
                  <a:sysClr val="windowText" lastClr="000000"/>
                </a:solidFill>
              </a:rPr>
              <a:t>- Menentukan Harga Satuan Pekerjaan: AHSP digunakan untuk menghitung biaya setiap item pekerjaan dalam proyek, seperti biaya per meter persegi dinding, per meter kubik beton, atau per unit pemasangan instalasi. </a:t>
            </a:r>
          </a:p>
          <a:p>
            <a:pPr algn="l"/>
            <a:r>
              <a:rPr lang="en-ID" sz="1100">
                <a:solidFill>
                  <a:sysClr val="windowText" lastClr="000000"/>
                </a:solidFill>
              </a:rPr>
              <a:t>- Dasar Perencanaan dan Pengendalian Biaya: Perencana dapat menyusun rencana anggaran biaya (RAB) yang akurat, serta memantau dan mengendalikan pengeluaran selama pelaksanaan proyek. </a:t>
            </a:r>
          </a:p>
          <a:p>
            <a:pPr algn="l"/>
            <a:r>
              <a:rPr lang="en-ID" sz="1100">
                <a:solidFill>
                  <a:sysClr val="windowText" lastClr="000000"/>
                </a:solidFill>
              </a:rPr>
              <a:t>- Pedoman Pengadaan Material dan Tenaga Kerja: Menentukan kebutuhan material dan tenaga kerja yang diperlukan untuk setiap jenis pekerjaan, sehingga memudahkan proses pengadaan dan pengelolaan sumber daya. </a:t>
            </a:r>
          </a:p>
          <a:p>
            <a:pPr algn="l"/>
            <a:r>
              <a:rPr lang="en-ID" sz="1100">
                <a:solidFill>
                  <a:sysClr val="windowText" lastClr="000000"/>
                </a:solidFill>
              </a:rPr>
              <a:t>- Dasar Perbandingan Penawaran: AHSP dapat digunakan sebagai acuan dalam membandingkan penawaran dari berbagai kontraktor, memastikan harga yang diajukan wajar dan sesuai dengan standar. </a:t>
            </a:r>
          </a:p>
          <a:p>
            <a:pPr algn="l"/>
            <a:r>
              <a:rPr lang="en-ID" sz="1100">
                <a:solidFill>
                  <a:sysClr val="windowText" lastClr="000000"/>
                </a:solidFill>
              </a:rPr>
              <a:t>- Mencegah Pemborosan Biaya: Dengan adanya AHSP, potensi pemborosan biaya dapat diminimalisir karena biaya setiap pekerjaan telah diperhitungkan secara detail. </a:t>
            </a:r>
          </a:p>
          <a:p>
            <a:pPr algn="l"/>
            <a:r>
              <a:rPr lang="en-ID" sz="1100">
                <a:solidFill>
                  <a:sysClr val="windowText" lastClr="000000"/>
                </a:solidFill>
              </a:rPr>
              <a:t>- Meningkatkan Efisiensi Proyek: Dengan perencanaan yang matang dan pengendalian biaya yang efektif, AHSP berkontribusi pada peningkatan efisiensi pelaksanaan proyek secara keseluruhan. </a:t>
            </a:r>
          </a:p>
        </xdr:txBody>
      </xdr:sp>
      <xdr:sp macro="" textlink="">
        <xdr:nvSpPr>
          <xdr:cNvPr id="59" name="Rectangle 58">
            <a:extLst>
              <a:ext uri="{FF2B5EF4-FFF2-40B4-BE49-F238E27FC236}">
                <a16:creationId xmlns:a16="http://schemas.microsoft.com/office/drawing/2014/main" id="{29D2B215-9418-4C42-9396-743EBA907BAD}"/>
              </a:ext>
            </a:extLst>
          </xdr:cNvPr>
          <xdr:cNvSpPr/>
        </xdr:nvSpPr>
        <xdr:spPr>
          <a:xfrm>
            <a:off x="2946400" y="127084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AHSP</a:t>
            </a:r>
          </a:p>
        </xdr:txBody>
      </xdr:sp>
    </xdr:grpSp>
    <xdr:clientData/>
  </xdr:twoCellAnchor>
  <xdr:twoCellAnchor editAs="absolute">
    <xdr:from>
      <xdr:col>4</xdr:col>
      <xdr:colOff>0</xdr:colOff>
      <xdr:row>25</xdr:row>
      <xdr:rowOff>135482</xdr:rowOff>
    </xdr:from>
    <xdr:to>
      <xdr:col>25</xdr:col>
      <xdr:colOff>8468</xdr:colOff>
      <xdr:row>36</xdr:row>
      <xdr:rowOff>110084</xdr:rowOff>
    </xdr:to>
    <xdr:grpSp>
      <xdr:nvGrpSpPr>
        <xdr:cNvPr id="60" name="Group 59">
          <a:extLst>
            <a:ext uri="{FF2B5EF4-FFF2-40B4-BE49-F238E27FC236}">
              <a16:creationId xmlns:a16="http://schemas.microsoft.com/office/drawing/2014/main" id="{7A15CFB6-2782-4A8D-ABE0-9F40388DA8CF}"/>
            </a:ext>
          </a:extLst>
        </xdr:cNvPr>
        <xdr:cNvGrpSpPr/>
      </xdr:nvGrpSpPr>
      <xdr:grpSpPr>
        <a:xfrm>
          <a:off x="2550160" y="4748122"/>
          <a:ext cx="12810068" cy="1986282"/>
          <a:chOff x="2836332" y="12708467"/>
          <a:chExt cx="12810068" cy="2023535"/>
        </a:xfrm>
      </xdr:grpSpPr>
      <xdr:sp macro="" textlink="">
        <xdr:nvSpPr>
          <xdr:cNvPr id="61" name="Rectangle 60">
            <a:extLst>
              <a:ext uri="{FF2B5EF4-FFF2-40B4-BE49-F238E27FC236}">
                <a16:creationId xmlns:a16="http://schemas.microsoft.com/office/drawing/2014/main" id="{B9881609-3582-422C-92AA-9A8E34F69A40}"/>
              </a:ext>
            </a:extLst>
          </xdr:cNvPr>
          <xdr:cNvSpPr/>
        </xdr:nvSpPr>
        <xdr:spPr>
          <a:xfrm>
            <a:off x="2836332" y="12903202"/>
            <a:ext cx="12810068" cy="1828800"/>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1. Biaya yang dihitung untuk setiap jenis pekerjaan konstruksi, yang meliputi biaya tenaga kerja, bahan, dan peralatan yang dibutuhkan untuk menyelesaikan pekerjaan.</a:t>
            </a:r>
          </a:p>
          <a:p>
            <a:pPr algn="l"/>
            <a:r>
              <a:rPr lang="en-ID" sz="1100">
                <a:solidFill>
                  <a:sysClr val="windowText" lastClr="000000"/>
                </a:solidFill>
              </a:rPr>
              <a:t>2. HSP merupakan dasar dalam penyusunan RAB untuk memperkirakan total biaya proyek.</a:t>
            </a:r>
          </a:p>
          <a:p>
            <a:pPr algn="l"/>
            <a:r>
              <a:rPr lang="en-ID" sz="1100">
                <a:solidFill>
                  <a:sysClr val="windowText" lastClr="000000"/>
                </a:solidFill>
              </a:rPr>
              <a:t>	</a:t>
            </a:r>
          </a:p>
          <a:p>
            <a:pPr algn="l"/>
            <a:r>
              <a:rPr lang="en-ID" sz="1100" b="1">
                <a:solidFill>
                  <a:sysClr val="windowText" lastClr="000000"/>
                </a:solidFill>
              </a:rPr>
              <a:t>Fungsi &amp; Tujuan HSP :</a:t>
            </a:r>
          </a:p>
          <a:p>
            <a:pPr algn="l"/>
            <a:r>
              <a:rPr lang="en-ID" sz="1100">
                <a:solidFill>
                  <a:sysClr val="windowText" lastClr="000000"/>
                </a:solidFill>
              </a:rPr>
              <a:t>- Dasar Perhitungan Biaya: HSP menjadi dasar perhitungan total biaya proyek. Dengan mengetahui HSP untuk setiap jenis pekerjaan, total biaya proyek dapat diestimasi dengan lebih akurat. </a:t>
            </a:r>
          </a:p>
          <a:p>
            <a:pPr algn="l"/>
            <a:r>
              <a:rPr lang="en-ID" sz="1100">
                <a:solidFill>
                  <a:sysClr val="windowText" lastClr="000000"/>
                </a:solidFill>
              </a:rPr>
              <a:t>- Pengendalian Biaya: HSP membantu dalam mengendalikan biaya proyek. Jika terjadi perubahan harga bahan atau upah pekerja, HSP dapat disesuaikan untuk memastikan biaya proyek tetap terkendali. </a:t>
            </a:r>
          </a:p>
          <a:p>
            <a:pPr algn="l"/>
            <a:r>
              <a:rPr lang="en-ID" sz="1100">
                <a:solidFill>
                  <a:sysClr val="windowText" lastClr="000000"/>
                </a:solidFill>
              </a:rPr>
              <a:t>- Perbandingan Penawaran: HSP dapat digunakan untuk membandingkan penawaran dari berbagai kontraktor.</a:t>
            </a:r>
          </a:p>
        </xdr:txBody>
      </xdr:sp>
      <xdr:sp macro="" textlink="">
        <xdr:nvSpPr>
          <xdr:cNvPr id="62" name="Rectangle 61">
            <a:extLst>
              <a:ext uri="{FF2B5EF4-FFF2-40B4-BE49-F238E27FC236}">
                <a16:creationId xmlns:a16="http://schemas.microsoft.com/office/drawing/2014/main" id="{31AB195A-5FE5-4DA2-9FB9-C37705F3B64A}"/>
              </a:ext>
            </a:extLst>
          </xdr:cNvPr>
          <xdr:cNvSpPr/>
        </xdr:nvSpPr>
        <xdr:spPr>
          <a:xfrm>
            <a:off x="2946400" y="127084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HSP</a:t>
            </a:r>
          </a:p>
        </xdr:txBody>
      </xdr:sp>
    </xdr:grpSp>
    <xdr:clientData/>
  </xdr:twoCellAnchor>
  <xdr:twoCellAnchor editAs="absolute">
    <xdr:from>
      <xdr:col>4</xdr:col>
      <xdr:colOff>0</xdr:colOff>
      <xdr:row>37</xdr:row>
      <xdr:rowOff>177808</xdr:rowOff>
    </xdr:from>
    <xdr:to>
      <xdr:col>25</xdr:col>
      <xdr:colOff>8468</xdr:colOff>
      <xdr:row>55</xdr:row>
      <xdr:rowOff>25408</xdr:rowOff>
    </xdr:to>
    <xdr:grpSp>
      <xdr:nvGrpSpPr>
        <xdr:cNvPr id="63" name="Group 62">
          <a:extLst>
            <a:ext uri="{FF2B5EF4-FFF2-40B4-BE49-F238E27FC236}">
              <a16:creationId xmlns:a16="http://schemas.microsoft.com/office/drawing/2014/main" id="{AB79EE5E-7428-4900-B15E-FF7283220C65}"/>
            </a:ext>
          </a:extLst>
        </xdr:cNvPr>
        <xdr:cNvGrpSpPr/>
      </xdr:nvGrpSpPr>
      <xdr:grpSpPr>
        <a:xfrm>
          <a:off x="2550160" y="6985008"/>
          <a:ext cx="12810068" cy="3139440"/>
          <a:chOff x="2836332" y="12708467"/>
          <a:chExt cx="12810068" cy="3200400"/>
        </a:xfrm>
      </xdr:grpSpPr>
      <xdr:sp macro="" textlink="">
        <xdr:nvSpPr>
          <xdr:cNvPr id="64" name="Rectangle 63">
            <a:extLst>
              <a:ext uri="{FF2B5EF4-FFF2-40B4-BE49-F238E27FC236}">
                <a16:creationId xmlns:a16="http://schemas.microsoft.com/office/drawing/2014/main" id="{7A919C4B-E861-47A5-B344-2F3004357F8D}"/>
              </a:ext>
            </a:extLst>
          </xdr:cNvPr>
          <xdr:cNvSpPr/>
        </xdr:nvSpPr>
        <xdr:spPr>
          <a:xfrm>
            <a:off x="2836332" y="12903201"/>
            <a:ext cx="12810068" cy="3005666"/>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1. perkiraan biaya untuk semua material yang dibutuhkan dalam suatu proyek, seperti bahan bangunan, peralatan, dan perlengkapan lainnya. </a:t>
            </a:r>
          </a:p>
          <a:p>
            <a:pPr algn="l"/>
            <a:r>
              <a:rPr lang="en-ID" sz="1100">
                <a:solidFill>
                  <a:sysClr val="windowText" lastClr="000000"/>
                </a:solidFill>
              </a:rPr>
              <a:t>2. Harga bahan ini sangat penting untuk dihitung secara akurat agar proyek dapat berjalan sesuai anggaran dan tidak terjadi pembengkakan biaya. </a:t>
            </a:r>
          </a:p>
          <a:p>
            <a:pPr algn="l"/>
            <a:r>
              <a:rPr lang="en-ID" sz="1100">
                <a:solidFill>
                  <a:sysClr val="windowText" lastClr="000000"/>
                </a:solidFill>
              </a:rPr>
              <a:t>	</a:t>
            </a:r>
          </a:p>
          <a:p>
            <a:pPr algn="l"/>
            <a:r>
              <a:rPr lang="en-ID" sz="1100" b="1">
                <a:solidFill>
                  <a:sysClr val="windowText" lastClr="000000"/>
                </a:solidFill>
              </a:rPr>
              <a:t>Komponen Harga Bahan :</a:t>
            </a:r>
          </a:p>
          <a:p>
            <a:pPr algn="l"/>
            <a:r>
              <a:rPr lang="en-ID" sz="1100">
                <a:solidFill>
                  <a:sysClr val="windowText" lastClr="000000"/>
                </a:solidFill>
              </a:rPr>
              <a:t>- Bahan Bangunan: Meliputi pasir, semen, batu bata, kayu, besi, keramik, cat, dan lain-lain.</a:t>
            </a:r>
          </a:p>
          <a:p>
            <a:pPr algn="l"/>
            <a:r>
              <a:rPr lang="en-ID" sz="1100">
                <a:solidFill>
                  <a:sysClr val="windowText" lastClr="000000"/>
                </a:solidFill>
              </a:rPr>
              <a:t>- Peralatan: Seperti alat berat, mesin mixer, alat pertukangan, dan sebagainya.</a:t>
            </a:r>
          </a:p>
          <a:p>
            <a:pPr algn="l"/>
            <a:r>
              <a:rPr lang="en-ID" sz="1100">
                <a:solidFill>
                  <a:sysClr val="windowText" lastClr="000000"/>
                </a:solidFill>
              </a:rPr>
              <a:t>- Perlengkapan: Seperti paku, baut, kabel, fitting, dan lain-lain.</a:t>
            </a:r>
          </a:p>
          <a:p>
            <a:pPr algn="l"/>
            <a:r>
              <a:rPr lang="en-ID" sz="1100">
                <a:solidFill>
                  <a:sysClr val="windowText" lastClr="000000"/>
                </a:solidFill>
              </a:rPr>
              <a:t>- Biaya Pengiriman: Ongkos kirim bahan bangunan dari toko ke lokasi proyek.</a:t>
            </a:r>
          </a:p>
          <a:p>
            <a:pPr algn="l"/>
            <a:r>
              <a:rPr lang="en-ID" sz="1100">
                <a:solidFill>
                  <a:sysClr val="windowText" lastClr="000000"/>
                </a:solidFill>
              </a:rPr>
              <a:t>- Biaya Penyimpanan: Biaya untuk menyimpan bahan bangunan di lokasi proyek.</a:t>
            </a:r>
          </a:p>
          <a:p>
            <a:pPr algn="l"/>
            <a:r>
              <a:rPr lang="en-ID" sz="1100">
                <a:solidFill>
                  <a:sysClr val="windowText" lastClr="000000"/>
                </a:solidFill>
              </a:rPr>
              <a:t>- Biaya Tak Terduga: Cadangan biaya untuk kemungkinan kenaikan harga atau perubahan kebutuhan bahan. </a:t>
            </a:r>
          </a:p>
          <a:p>
            <a:pPr algn="l"/>
            <a:endParaRPr lang="en-ID" sz="1100">
              <a:solidFill>
                <a:sysClr val="windowText" lastClr="000000"/>
              </a:solidFill>
            </a:endParaRPr>
          </a:p>
          <a:p>
            <a:pPr algn="l"/>
            <a:r>
              <a:rPr lang="en-ID" sz="1100" b="1">
                <a:solidFill>
                  <a:sysClr val="windowText" lastClr="000000"/>
                </a:solidFill>
              </a:rPr>
              <a:t>Fungsi &amp; Tujuan Harga Bahan Yang Akurat</a:t>
            </a:r>
          </a:p>
          <a:p>
            <a:pPr algn="l"/>
            <a:r>
              <a:rPr lang="en-ID" sz="1100">
                <a:solidFill>
                  <a:sysClr val="windowText" lastClr="000000"/>
                </a:solidFill>
              </a:rPr>
              <a:t>- Perencanaan Keuangan: RAB yang jelas memudahkan perencanaan keuangan proyek. </a:t>
            </a:r>
          </a:p>
          <a:p>
            <a:pPr algn="l"/>
            <a:r>
              <a:rPr lang="en-ID" sz="1100">
                <a:solidFill>
                  <a:sysClr val="windowText" lastClr="000000"/>
                </a:solidFill>
              </a:rPr>
              <a:t>- Negosiasi dengan Supplier: RAB dapat digunakan sebagai dasar untuk bernegosiasi harga dengan supplier. </a:t>
            </a:r>
          </a:p>
          <a:p>
            <a:pPr algn="l"/>
            <a:r>
              <a:rPr lang="en-ID" sz="1100">
                <a:solidFill>
                  <a:sysClr val="windowText" lastClr="000000"/>
                </a:solidFill>
              </a:rPr>
              <a:t>- Pemilihan Kontraktor: RAB membantu dalam memilih kontraktor yang tepat dan sesuai dengan anggaran. </a:t>
            </a:r>
          </a:p>
        </xdr:txBody>
      </xdr:sp>
      <xdr:sp macro="" textlink="">
        <xdr:nvSpPr>
          <xdr:cNvPr id="65" name="Rectangle 64">
            <a:extLst>
              <a:ext uri="{FF2B5EF4-FFF2-40B4-BE49-F238E27FC236}">
                <a16:creationId xmlns:a16="http://schemas.microsoft.com/office/drawing/2014/main" id="{FEC04DE7-BC3D-438B-AE9C-5DB486D23E37}"/>
              </a:ext>
            </a:extLst>
          </xdr:cNvPr>
          <xdr:cNvSpPr/>
        </xdr:nvSpPr>
        <xdr:spPr>
          <a:xfrm>
            <a:off x="2946400" y="127084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BAHAN</a:t>
            </a:r>
          </a:p>
        </xdr:txBody>
      </xdr:sp>
    </xdr:grpSp>
    <xdr:clientData/>
  </xdr:twoCellAnchor>
  <xdr:twoCellAnchor editAs="absolute">
    <xdr:from>
      <xdr:col>4</xdr:col>
      <xdr:colOff>0</xdr:colOff>
      <xdr:row>56</xdr:row>
      <xdr:rowOff>177800</xdr:rowOff>
    </xdr:from>
    <xdr:to>
      <xdr:col>25</xdr:col>
      <xdr:colOff>8468</xdr:colOff>
      <xdr:row>75</xdr:row>
      <xdr:rowOff>67734</xdr:rowOff>
    </xdr:to>
    <xdr:grpSp>
      <xdr:nvGrpSpPr>
        <xdr:cNvPr id="66" name="Group 65">
          <a:extLst>
            <a:ext uri="{FF2B5EF4-FFF2-40B4-BE49-F238E27FC236}">
              <a16:creationId xmlns:a16="http://schemas.microsoft.com/office/drawing/2014/main" id="{84E872C2-3F16-4714-81BF-3F758C274B1E}"/>
            </a:ext>
          </a:extLst>
        </xdr:cNvPr>
        <xdr:cNvGrpSpPr/>
      </xdr:nvGrpSpPr>
      <xdr:grpSpPr>
        <a:xfrm>
          <a:off x="2550160" y="10459720"/>
          <a:ext cx="12810068" cy="3364654"/>
          <a:chOff x="2836332" y="12708467"/>
          <a:chExt cx="12810068" cy="3429000"/>
        </a:xfrm>
      </xdr:grpSpPr>
      <xdr:sp macro="" textlink="">
        <xdr:nvSpPr>
          <xdr:cNvPr id="67" name="Rectangle 66">
            <a:extLst>
              <a:ext uri="{FF2B5EF4-FFF2-40B4-BE49-F238E27FC236}">
                <a16:creationId xmlns:a16="http://schemas.microsoft.com/office/drawing/2014/main" id="{38E4D5A1-7E5D-48DA-8039-3DF5D537BC68}"/>
              </a:ext>
            </a:extLst>
          </xdr:cNvPr>
          <xdr:cNvSpPr/>
        </xdr:nvSpPr>
        <xdr:spPr>
          <a:xfrm>
            <a:off x="2836332" y="12903201"/>
            <a:ext cx="12810068" cy="3234266"/>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1. Biaya yang diperhitungkan untuk tenaga kerja dalam suatu proyek.</a:t>
            </a:r>
          </a:p>
          <a:p>
            <a:pPr algn="l"/>
            <a:r>
              <a:rPr lang="en-ID" sz="1100">
                <a:solidFill>
                  <a:sysClr val="windowText" lastClr="000000"/>
                </a:solidFill>
              </a:rPr>
              <a:t>2. Mencakup upah pekerja, tukang, mandor, dan tenaga ahli lainnya yang terlibat dalam pelaksanaan proyek, seperti proyek konstruksi, renovasi, atau kegiatan lainnya.</a:t>
            </a:r>
          </a:p>
          <a:p>
            <a:pPr algn="l"/>
            <a:r>
              <a:rPr lang="en-ID" sz="1100">
                <a:solidFill>
                  <a:sysClr val="windowText" lastClr="000000"/>
                </a:solidFill>
              </a:rPr>
              <a:t>3. Harga upah ini dihitung berdasarkan jenis pekerjaan, tingkat keahlian, dan lokasi proyek. </a:t>
            </a:r>
          </a:p>
          <a:p>
            <a:pPr algn="l"/>
            <a:r>
              <a:rPr lang="en-ID" sz="1100">
                <a:solidFill>
                  <a:sysClr val="windowText" lastClr="000000"/>
                </a:solidFill>
              </a:rPr>
              <a:t>	</a:t>
            </a:r>
          </a:p>
          <a:p>
            <a:pPr algn="l"/>
            <a:r>
              <a:rPr lang="en-ID" sz="1100" b="1">
                <a:solidFill>
                  <a:sysClr val="windowText" lastClr="000000"/>
                </a:solidFill>
              </a:rPr>
              <a:t>Komponen Upah Tenaga Kerja :</a:t>
            </a:r>
          </a:p>
          <a:p>
            <a:pPr algn="l"/>
            <a:r>
              <a:rPr lang="en-ID" sz="1100">
                <a:solidFill>
                  <a:sysClr val="windowText" lastClr="000000"/>
                </a:solidFill>
              </a:rPr>
              <a:t>- Jenis Pekerjaan: Pekerjaan yang membutuhkan keahlian khusus atau tingkat kesulitan tinggi akan memiliki upah yang lebih tinggi.</a:t>
            </a:r>
          </a:p>
          <a:p>
            <a:pPr algn="l"/>
            <a:r>
              <a:rPr lang="en-ID" sz="1100">
                <a:solidFill>
                  <a:sysClr val="windowText" lastClr="000000"/>
                </a:solidFill>
              </a:rPr>
              <a:t>- Tingkat Keahlian: Tukang yang memiliki sertifikasi atau pengalaman lebih akan cenderung memiliki tarif upah yang lebih tinggi.</a:t>
            </a:r>
          </a:p>
          <a:p>
            <a:pPr algn="l"/>
            <a:r>
              <a:rPr lang="en-ID" sz="1100">
                <a:solidFill>
                  <a:sysClr val="windowText" lastClr="000000"/>
                </a:solidFill>
              </a:rPr>
              <a:t>- Lokasi Proyek: Biaya hidup dan standar upah di setiap daerah bisa berbeda, sehingga mempengaruhi harga upah tenaga kerja.</a:t>
            </a:r>
          </a:p>
          <a:p>
            <a:pPr algn="l"/>
            <a:r>
              <a:rPr lang="en-ID" sz="1100">
                <a:solidFill>
                  <a:sysClr val="windowText" lastClr="000000"/>
                </a:solidFill>
              </a:rPr>
              <a:t>- Kondisi Pasar: Penawaran dan permintaan tenaga kerja juga dapat mempengaruhi harga upah.</a:t>
            </a:r>
          </a:p>
          <a:p>
            <a:pPr algn="l"/>
            <a:r>
              <a:rPr lang="en-ID" sz="1100">
                <a:solidFill>
                  <a:sysClr val="windowText" lastClr="000000"/>
                </a:solidFill>
              </a:rPr>
              <a:t>	</a:t>
            </a:r>
          </a:p>
          <a:p>
            <a:pPr algn="l"/>
            <a:r>
              <a:rPr lang="en-ID" sz="1100" b="1">
                <a:solidFill>
                  <a:sysClr val="windowText" lastClr="000000"/>
                </a:solidFill>
              </a:rPr>
              <a:t>Fungsi &amp; Tujuan Upah Tenaga Kerja Yang Terencana :</a:t>
            </a:r>
          </a:p>
          <a:p>
            <a:pPr algn="l"/>
            <a:r>
              <a:rPr lang="en-ID" sz="1100">
                <a:solidFill>
                  <a:sysClr val="windowText" lastClr="000000"/>
                </a:solidFill>
              </a:rPr>
              <a:t>- Sebagai dasar perhitungan biaya proyek: RAB upah menjadi dasar untuk menghitung total biaya proyek secara keseluruhan, untuk mengetahui berapa besar biaya yang dibutuhkan untuk membayar tenaga kerja.</a:t>
            </a:r>
          </a:p>
          <a:p>
            <a:pPr algn="l"/>
            <a:r>
              <a:rPr lang="en-ID" sz="1100">
                <a:solidFill>
                  <a:sysClr val="windowText" lastClr="000000"/>
                </a:solidFill>
              </a:rPr>
              <a:t>- Pedoman pembayaran upah tenaga kerja: RAB upah juga menjadi panduan dalam pembayaran upah tenaga kerja, memastikan pembayaran dilakukan sesuai dengan kesepakatan dan standar yang berlaku.</a:t>
            </a:r>
          </a:p>
          <a:p>
            <a:pPr algn="l"/>
            <a:r>
              <a:rPr lang="en-ID" sz="1100">
                <a:solidFill>
                  <a:sysClr val="windowText" lastClr="000000"/>
                </a:solidFill>
              </a:rPr>
              <a:t>- Mencegah pembengkakan biaya: Dengan adanya RAB upah, pemilik proyek dapat mengontrol dan meminimalkan risiko pembengkakan biaya yang disebabkan oleh ketidakpastian dalam pembayaran upah.</a:t>
            </a:r>
          </a:p>
          <a:p>
            <a:pPr algn="l"/>
            <a:r>
              <a:rPr lang="en-ID" sz="1100">
                <a:solidFill>
                  <a:sysClr val="windowText" lastClr="000000"/>
                </a:solidFill>
              </a:rPr>
              <a:t>- Mendukung efisiensi proyek: RAB upah yang baik membantu memastikan proyek berjalan sesuai dengan jadwal dan anggaran, sehingga proyek dapat diselesaikan secara efektif dan efisien.</a:t>
            </a:r>
          </a:p>
          <a:p>
            <a:pPr algn="l"/>
            <a:r>
              <a:rPr lang="en-ID" sz="1100">
                <a:solidFill>
                  <a:sysClr val="windowText" lastClr="000000"/>
                </a:solidFill>
              </a:rPr>
              <a:t>- Dasar negosiasi dengan kontraktor: RAB upah dapat digunakan sebagai dasar dalam negosiasi dengan kontraktor terkait biaya tenaga kerja.</a:t>
            </a:r>
          </a:p>
        </xdr:txBody>
      </xdr:sp>
      <xdr:sp macro="" textlink="">
        <xdr:nvSpPr>
          <xdr:cNvPr id="68" name="Rectangle 67">
            <a:extLst>
              <a:ext uri="{FF2B5EF4-FFF2-40B4-BE49-F238E27FC236}">
                <a16:creationId xmlns:a16="http://schemas.microsoft.com/office/drawing/2014/main" id="{8F976004-5822-4BE4-BAB1-8F7613146310}"/>
              </a:ext>
            </a:extLst>
          </xdr:cNvPr>
          <xdr:cNvSpPr/>
        </xdr:nvSpPr>
        <xdr:spPr>
          <a:xfrm>
            <a:off x="2946400" y="12708467"/>
            <a:ext cx="1828800"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UPAH</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187698</xdr:rowOff>
    </xdr:to>
    <xdr:sp macro="" textlink="">
      <xdr:nvSpPr>
        <xdr:cNvPr id="28" name="Rectangle 27">
          <a:extLst>
            <a:ext uri="{FF2B5EF4-FFF2-40B4-BE49-F238E27FC236}">
              <a16:creationId xmlns:a16="http://schemas.microsoft.com/office/drawing/2014/main" id="{E5762B8D-D3C6-4A7D-8C24-ADEC25EB2682}"/>
            </a:ext>
          </a:extLst>
        </xdr:cNvPr>
        <xdr:cNvSpPr/>
      </xdr:nvSpPr>
      <xdr:spPr>
        <a:xfrm>
          <a:off x="0" y="0"/>
          <a:ext cx="2115109"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552106</xdr:colOff>
      <xdr:row>27</xdr:row>
      <xdr:rowOff>83820</xdr:rowOff>
    </xdr:to>
    <xdr:grpSp>
      <xdr:nvGrpSpPr>
        <xdr:cNvPr id="15" name="Group 14">
          <a:extLst>
            <a:ext uri="{FF2B5EF4-FFF2-40B4-BE49-F238E27FC236}">
              <a16:creationId xmlns:a16="http://schemas.microsoft.com/office/drawing/2014/main" id="{3109A015-3C67-48D5-A778-F802B5C89CD3}"/>
            </a:ext>
          </a:extLst>
        </xdr:cNvPr>
        <xdr:cNvGrpSpPr/>
      </xdr:nvGrpSpPr>
      <xdr:grpSpPr>
        <a:xfrm>
          <a:off x="168090" y="1158240"/>
          <a:ext cx="1867376" cy="4137660"/>
          <a:chOff x="168090" y="762000"/>
          <a:chExt cx="1818369" cy="4084320"/>
        </a:xfrm>
      </xdr:grpSpPr>
      <xdr:sp macro="[0]!TBHOME_Click" textlink="">
        <xdr:nvSpPr>
          <xdr:cNvPr id="29" name="TB.HOME">
            <a:extLst>
              <a:ext uri="{FF2B5EF4-FFF2-40B4-BE49-F238E27FC236}">
                <a16:creationId xmlns:a16="http://schemas.microsoft.com/office/drawing/2014/main" id="{9CF45938-758D-4930-9279-6CB73D6950D3}"/>
              </a:ext>
            </a:extLst>
          </xdr:cNvPr>
          <xdr:cNvSpPr/>
        </xdr:nvSpPr>
        <xdr:spPr>
          <a:xfrm>
            <a:off x="168090" y="76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HOME</a:t>
            </a:r>
          </a:p>
        </xdr:txBody>
      </xdr:sp>
      <xdr:sp macro="[0]!TBAHSP_Click" textlink="">
        <xdr:nvSpPr>
          <xdr:cNvPr id="30" name="TB.AHSP">
            <a:extLst>
              <a:ext uri="{FF2B5EF4-FFF2-40B4-BE49-F238E27FC236}">
                <a16:creationId xmlns:a16="http://schemas.microsoft.com/office/drawing/2014/main" id="{FB92D042-B7EC-4082-B3DD-978DC6F8F578}"/>
              </a:ext>
            </a:extLst>
          </xdr:cNvPr>
          <xdr:cNvSpPr/>
        </xdr:nvSpPr>
        <xdr:spPr>
          <a:xfrm>
            <a:off x="449495" y="1524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AHSP</a:t>
            </a:r>
          </a:p>
        </xdr:txBody>
      </xdr:sp>
      <xdr:sp macro="[0]!TBHSP_Click" textlink="">
        <xdr:nvSpPr>
          <xdr:cNvPr id="31" name="TB.HSP">
            <a:extLst>
              <a:ext uri="{FF2B5EF4-FFF2-40B4-BE49-F238E27FC236}">
                <a16:creationId xmlns:a16="http://schemas.microsoft.com/office/drawing/2014/main" id="{D6404ADC-A068-4D86-8512-749A69E360C6}"/>
              </a:ext>
            </a:extLst>
          </xdr:cNvPr>
          <xdr:cNvSpPr/>
        </xdr:nvSpPr>
        <xdr:spPr>
          <a:xfrm>
            <a:off x="449494" y="190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HSP</a:t>
            </a:r>
          </a:p>
        </xdr:txBody>
      </xdr:sp>
      <xdr:sp macro="[0]!TBBAHAN_Click" textlink="">
        <xdr:nvSpPr>
          <xdr:cNvPr id="32" name="TB.BAHAN">
            <a:extLst>
              <a:ext uri="{FF2B5EF4-FFF2-40B4-BE49-F238E27FC236}">
                <a16:creationId xmlns:a16="http://schemas.microsoft.com/office/drawing/2014/main" id="{C37C4D7C-12E1-4D51-9ED7-C329BD427B40}"/>
              </a:ext>
            </a:extLst>
          </xdr:cNvPr>
          <xdr:cNvSpPr/>
        </xdr:nvSpPr>
        <xdr:spPr>
          <a:xfrm>
            <a:off x="449494" y="228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BAHAN</a:t>
            </a:r>
          </a:p>
        </xdr:txBody>
      </xdr:sp>
      <xdr:sp macro="[0]!TBUPAH_Click" textlink="">
        <xdr:nvSpPr>
          <xdr:cNvPr id="33" name="TB.UPAH">
            <a:extLst>
              <a:ext uri="{FF2B5EF4-FFF2-40B4-BE49-F238E27FC236}">
                <a16:creationId xmlns:a16="http://schemas.microsoft.com/office/drawing/2014/main" id="{41EE9EDA-E2A0-4D24-A0D2-BD5572E6E9E7}"/>
              </a:ext>
            </a:extLst>
          </xdr:cNvPr>
          <xdr:cNvSpPr/>
        </xdr:nvSpPr>
        <xdr:spPr>
          <a:xfrm>
            <a:off x="449494" y="266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UPAH</a:t>
            </a:r>
          </a:p>
        </xdr:txBody>
      </xdr:sp>
      <xdr:sp macro="[0]!TBDATA_Click" textlink="">
        <xdr:nvSpPr>
          <xdr:cNvPr id="34" name="TB.DATA">
            <a:extLst>
              <a:ext uri="{FF2B5EF4-FFF2-40B4-BE49-F238E27FC236}">
                <a16:creationId xmlns:a16="http://schemas.microsoft.com/office/drawing/2014/main" id="{BD7EDB2D-E089-4D75-9C67-FED82D292415}"/>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35" name="TB.HITUNGVOLUME">
            <a:extLst>
              <a:ext uri="{FF2B5EF4-FFF2-40B4-BE49-F238E27FC236}">
                <a16:creationId xmlns:a16="http://schemas.microsoft.com/office/drawing/2014/main" id="{1CE1A22D-D2C4-49E1-8C3E-DD308F9A2714}"/>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36" name="TB.HITUNGRAB">
            <a:extLst>
              <a:ext uri="{FF2B5EF4-FFF2-40B4-BE49-F238E27FC236}">
                <a16:creationId xmlns:a16="http://schemas.microsoft.com/office/drawing/2014/main" id="{BBC78D46-86F0-4C34-8A10-2FDB8DBFC888}"/>
              </a:ext>
            </a:extLst>
          </xdr:cNvPr>
          <xdr:cNvSpPr/>
        </xdr:nvSpPr>
        <xdr:spPr>
          <a:xfrm>
            <a:off x="168090" y="3429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37" name="TB.REKAPITULASI">
            <a:extLst>
              <a:ext uri="{FF2B5EF4-FFF2-40B4-BE49-F238E27FC236}">
                <a16:creationId xmlns:a16="http://schemas.microsoft.com/office/drawing/2014/main" id="{05F2B066-2B2F-425A-A575-621F7669E5F5}"/>
              </a:ext>
            </a:extLst>
          </xdr:cNvPr>
          <xdr:cNvSpPr/>
        </xdr:nvSpPr>
        <xdr:spPr>
          <a:xfrm>
            <a:off x="168090" y="3810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38" name="TB.DOKUMEN">
            <a:extLst>
              <a:ext uri="{FF2B5EF4-FFF2-40B4-BE49-F238E27FC236}">
                <a16:creationId xmlns:a16="http://schemas.microsoft.com/office/drawing/2014/main" id="{1708D854-03C1-421B-B0E6-DC5A0940B52C}"/>
              </a:ext>
            </a:extLst>
          </xdr:cNvPr>
          <xdr:cNvSpPr/>
        </xdr:nvSpPr>
        <xdr:spPr>
          <a:xfrm>
            <a:off x="168090"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39" name="TB.PANDUAN">
            <a:extLst>
              <a:ext uri="{FF2B5EF4-FFF2-40B4-BE49-F238E27FC236}">
                <a16:creationId xmlns:a16="http://schemas.microsoft.com/office/drawing/2014/main" id="{1912BC25-0FAA-47F7-A2D2-DF0600E359FC}"/>
              </a:ext>
            </a:extLst>
          </xdr:cNvPr>
          <xdr:cNvSpPr/>
        </xdr:nvSpPr>
        <xdr:spPr>
          <a:xfrm>
            <a:off x="168090"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686359</xdr:colOff>
      <xdr:row>2</xdr:row>
      <xdr:rowOff>187698</xdr:rowOff>
    </xdr:to>
    <xdr:sp macro="" textlink="">
      <xdr:nvSpPr>
        <xdr:cNvPr id="14" name="Rectangle 13">
          <a:extLst>
            <a:ext uri="{FF2B5EF4-FFF2-40B4-BE49-F238E27FC236}">
              <a16:creationId xmlns:a16="http://schemas.microsoft.com/office/drawing/2014/main" id="{75FBEAFA-B241-45DE-91CF-DB02006A0468}"/>
            </a:ext>
          </a:extLst>
        </xdr:cNvPr>
        <xdr:cNvSpPr/>
      </xdr:nvSpPr>
      <xdr:spPr>
        <a:xfrm>
          <a:off x="0" y="0"/>
          <a:ext cx="2115109"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557709</xdr:colOff>
      <xdr:row>27</xdr:row>
      <xdr:rowOff>83820</xdr:rowOff>
    </xdr:to>
    <xdr:grpSp>
      <xdr:nvGrpSpPr>
        <xdr:cNvPr id="15" name="Group 14">
          <a:extLst>
            <a:ext uri="{FF2B5EF4-FFF2-40B4-BE49-F238E27FC236}">
              <a16:creationId xmlns:a16="http://schemas.microsoft.com/office/drawing/2014/main" id="{994FD9CC-CACE-4C5C-AAE2-5B287279DF26}"/>
            </a:ext>
          </a:extLst>
        </xdr:cNvPr>
        <xdr:cNvGrpSpPr/>
      </xdr:nvGrpSpPr>
      <xdr:grpSpPr>
        <a:xfrm>
          <a:off x="168090" y="1158240"/>
          <a:ext cx="1872979" cy="4137660"/>
          <a:chOff x="168090" y="762000"/>
          <a:chExt cx="1818369" cy="4084320"/>
        </a:xfrm>
      </xdr:grpSpPr>
      <xdr:sp macro="[0]!TBHOME_Click" textlink="">
        <xdr:nvSpPr>
          <xdr:cNvPr id="16" name="TB.HOME">
            <a:extLst>
              <a:ext uri="{FF2B5EF4-FFF2-40B4-BE49-F238E27FC236}">
                <a16:creationId xmlns:a16="http://schemas.microsoft.com/office/drawing/2014/main" id="{E58DA4FB-5503-4F8E-9149-1F1D2AC18317}"/>
              </a:ext>
            </a:extLst>
          </xdr:cNvPr>
          <xdr:cNvSpPr/>
        </xdr:nvSpPr>
        <xdr:spPr>
          <a:xfrm>
            <a:off x="168090" y="76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HOME</a:t>
            </a:r>
          </a:p>
        </xdr:txBody>
      </xdr:sp>
      <xdr:sp macro="[0]!TBAHSP_Click" textlink="">
        <xdr:nvSpPr>
          <xdr:cNvPr id="17" name="TB.AHSP">
            <a:extLst>
              <a:ext uri="{FF2B5EF4-FFF2-40B4-BE49-F238E27FC236}">
                <a16:creationId xmlns:a16="http://schemas.microsoft.com/office/drawing/2014/main" id="{DA823A5B-2BC8-42D9-A7B6-1E038471313E}"/>
              </a:ext>
            </a:extLst>
          </xdr:cNvPr>
          <xdr:cNvSpPr/>
        </xdr:nvSpPr>
        <xdr:spPr>
          <a:xfrm>
            <a:off x="449495" y="1524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AHSP</a:t>
            </a:r>
          </a:p>
        </xdr:txBody>
      </xdr:sp>
      <xdr:sp macro="[0]!TBHSP_Click" textlink="">
        <xdr:nvSpPr>
          <xdr:cNvPr id="18" name="TB.HSP">
            <a:extLst>
              <a:ext uri="{FF2B5EF4-FFF2-40B4-BE49-F238E27FC236}">
                <a16:creationId xmlns:a16="http://schemas.microsoft.com/office/drawing/2014/main" id="{267A7626-A21C-48F4-B3F1-544DF877C1B2}"/>
              </a:ext>
            </a:extLst>
          </xdr:cNvPr>
          <xdr:cNvSpPr/>
        </xdr:nvSpPr>
        <xdr:spPr>
          <a:xfrm>
            <a:off x="449494" y="190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HSP</a:t>
            </a:r>
          </a:p>
        </xdr:txBody>
      </xdr:sp>
      <xdr:sp macro="[0]!TBBAHAN_Click" textlink="">
        <xdr:nvSpPr>
          <xdr:cNvPr id="19" name="TB.BAHAN">
            <a:extLst>
              <a:ext uri="{FF2B5EF4-FFF2-40B4-BE49-F238E27FC236}">
                <a16:creationId xmlns:a16="http://schemas.microsoft.com/office/drawing/2014/main" id="{A5B3E217-B682-4664-8A9B-7D49070AAC38}"/>
              </a:ext>
            </a:extLst>
          </xdr:cNvPr>
          <xdr:cNvSpPr/>
        </xdr:nvSpPr>
        <xdr:spPr>
          <a:xfrm>
            <a:off x="449494" y="228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BAHAN</a:t>
            </a:r>
          </a:p>
        </xdr:txBody>
      </xdr:sp>
      <xdr:sp macro="[0]!TBUPAH_Click" textlink="">
        <xdr:nvSpPr>
          <xdr:cNvPr id="20" name="TB.UPAH">
            <a:extLst>
              <a:ext uri="{FF2B5EF4-FFF2-40B4-BE49-F238E27FC236}">
                <a16:creationId xmlns:a16="http://schemas.microsoft.com/office/drawing/2014/main" id="{5BDE5EB4-7B42-4DDE-9D1E-3ABCBFBBFC70}"/>
              </a:ext>
            </a:extLst>
          </xdr:cNvPr>
          <xdr:cNvSpPr/>
        </xdr:nvSpPr>
        <xdr:spPr>
          <a:xfrm>
            <a:off x="449494" y="266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UPAH</a:t>
            </a:r>
          </a:p>
        </xdr:txBody>
      </xdr:sp>
      <xdr:sp macro="[0]!TBDATA_Click" textlink="">
        <xdr:nvSpPr>
          <xdr:cNvPr id="21" name="TB.DATA">
            <a:extLst>
              <a:ext uri="{FF2B5EF4-FFF2-40B4-BE49-F238E27FC236}">
                <a16:creationId xmlns:a16="http://schemas.microsoft.com/office/drawing/2014/main" id="{96C5E98A-7617-4714-9B9F-5E37A398CAF5}"/>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22" name="TB.HITUNGVOLUME">
            <a:extLst>
              <a:ext uri="{FF2B5EF4-FFF2-40B4-BE49-F238E27FC236}">
                <a16:creationId xmlns:a16="http://schemas.microsoft.com/office/drawing/2014/main" id="{F280656D-7A2B-403C-97C2-20D03B0924CC}"/>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23" name="TB.HITUNGRAB">
            <a:extLst>
              <a:ext uri="{FF2B5EF4-FFF2-40B4-BE49-F238E27FC236}">
                <a16:creationId xmlns:a16="http://schemas.microsoft.com/office/drawing/2014/main" id="{1F1D7C40-EF7E-4B62-B86B-D4ED701FB893}"/>
              </a:ext>
            </a:extLst>
          </xdr:cNvPr>
          <xdr:cNvSpPr/>
        </xdr:nvSpPr>
        <xdr:spPr>
          <a:xfrm>
            <a:off x="168090" y="3429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24" name="TB.REKAPITULASI">
            <a:extLst>
              <a:ext uri="{FF2B5EF4-FFF2-40B4-BE49-F238E27FC236}">
                <a16:creationId xmlns:a16="http://schemas.microsoft.com/office/drawing/2014/main" id="{0413CFF9-995A-4C94-949B-7043CD9409EC}"/>
              </a:ext>
            </a:extLst>
          </xdr:cNvPr>
          <xdr:cNvSpPr/>
        </xdr:nvSpPr>
        <xdr:spPr>
          <a:xfrm>
            <a:off x="168090" y="3810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25" name="TB.DOKUMEN">
            <a:extLst>
              <a:ext uri="{FF2B5EF4-FFF2-40B4-BE49-F238E27FC236}">
                <a16:creationId xmlns:a16="http://schemas.microsoft.com/office/drawing/2014/main" id="{4DF62A24-1FE4-4B7C-9E04-E9B06B92B0D0}"/>
              </a:ext>
            </a:extLst>
          </xdr:cNvPr>
          <xdr:cNvSpPr/>
        </xdr:nvSpPr>
        <xdr:spPr>
          <a:xfrm>
            <a:off x="168090"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6" name="TB.PANDUAN">
            <a:extLst>
              <a:ext uri="{FF2B5EF4-FFF2-40B4-BE49-F238E27FC236}">
                <a16:creationId xmlns:a16="http://schemas.microsoft.com/office/drawing/2014/main" id="{748AC510-009E-487E-9B5D-FDE95FCE325F}"/>
              </a:ext>
            </a:extLst>
          </xdr:cNvPr>
          <xdr:cNvSpPr/>
        </xdr:nvSpPr>
        <xdr:spPr>
          <a:xfrm>
            <a:off x="168090"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686359</xdr:colOff>
      <xdr:row>2</xdr:row>
      <xdr:rowOff>187698</xdr:rowOff>
    </xdr:to>
    <xdr:sp macro="" textlink="">
      <xdr:nvSpPr>
        <xdr:cNvPr id="14" name="Rectangle 13">
          <a:extLst>
            <a:ext uri="{FF2B5EF4-FFF2-40B4-BE49-F238E27FC236}">
              <a16:creationId xmlns:a16="http://schemas.microsoft.com/office/drawing/2014/main" id="{37F1F7B1-C16C-4020-AEDD-631F2B65C18A}"/>
            </a:ext>
          </a:extLst>
        </xdr:cNvPr>
        <xdr:cNvSpPr/>
      </xdr:nvSpPr>
      <xdr:spPr>
        <a:xfrm>
          <a:off x="0" y="0"/>
          <a:ext cx="2115109"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557709</xdr:colOff>
      <xdr:row>27</xdr:row>
      <xdr:rowOff>83820</xdr:rowOff>
    </xdr:to>
    <xdr:grpSp>
      <xdr:nvGrpSpPr>
        <xdr:cNvPr id="15" name="Group 14">
          <a:extLst>
            <a:ext uri="{FF2B5EF4-FFF2-40B4-BE49-F238E27FC236}">
              <a16:creationId xmlns:a16="http://schemas.microsoft.com/office/drawing/2014/main" id="{2E39214E-B935-4216-A793-A3570CBEE63E}"/>
            </a:ext>
          </a:extLst>
        </xdr:cNvPr>
        <xdr:cNvGrpSpPr/>
      </xdr:nvGrpSpPr>
      <xdr:grpSpPr>
        <a:xfrm>
          <a:off x="168090" y="1158240"/>
          <a:ext cx="1872979" cy="4137660"/>
          <a:chOff x="168090" y="762000"/>
          <a:chExt cx="1818369" cy="4084320"/>
        </a:xfrm>
      </xdr:grpSpPr>
      <xdr:sp macro="[0]!TBHOME_Click" textlink="">
        <xdr:nvSpPr>
          <xdr:cNvPr id="16" name="TB.HOME">
            <a:extLst>
              <a:ext uri="{FF2B5EF4-FFF2-40B4-BE49-F238E27FC236}">
                <a16:creationId xmlns:a16="http://schemas.microsoft.com/office/drawing/2014/main" id="{A819DD0B-03B8-41D2-BF63-62B33ECB4A8B}"/>
              </a:ext>
            </a:extLst>
          </xdr:cNvPr>
          <xdr:cNvSpPr/>
        </xdr:nvSpPr>
        <xdr:spPr>
          <a:xfrm>
            <a:off x="168090" y="76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HOME</a:t>
            </a:r>
          </a:p>
        </xdr:txBody>
      </xdr:sp>
      <xdr:sp macro="[0]!TBAHSP_Click" textlink="">
        <xdr:nvSpPr>
          <xdr:cNvPr id="17" name="TB.AHSP">
            <a:extLst>
              <a:ext uri="{FF2B5EF4-FFF2-40B4-BE49-F238E27FC236}">
                <a16:creationId xmlns:a16="http://schemas.microsoft.com/office/drawing/2014/main" id="{9749EF85-2C79-4055-BCD2-4FD0E24CC27A}"/>
              </a:ext>
            </a:extLst>
          </xdr:cNvPr>
          <xdr:cNvSpPr/>
        </xdr:nvSpPr>
        <xdr:spPr>
          <a:xfrm>
            <a:off x="449495" y="1524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AHSP</a:t>
            </a:r>
          </a:p>
        </xdr:txBody>
      </xdr:sp>
      <xdr:sp macro="[0]!TBHSP_Click" textlink="">
        <xdr:nvSpPr>
          <xdr:cNvPr id="18" name="TB.HSP">
            <a:extLst>
              <a:ext uri="{FF2B5EF4-FFF2-40B4-BE49-F238E27FC236}">
                <a16:creationId xmlns:a16="http://schemas.microsoft.com/office/drawing/2014/main" id="{95F909B8-3ACA-4121-8BCB-B5786CED6BAD}"/>
              </a:ext>
            </a:extLst>
          </xdr:cNvPr>
          <xdr:cNvSpPr/>
        </xdr:nvSpPr>
        <xdr:spPr>
          <a:xfrm>
            <a:off x="449494" y="190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HSP</a:t>
            </a:r>
          </a:p>
        </xdr:txBody>
      </xdr:sp>
      <xdr:sp macro="[0]!TBBAHAN_Click" textlink="">
        <xdr:nvSpPr>
          <xdr:cNvPr id="19" name="TB.BAHAN">
            <a:extLst>
              <a:ext uri="{FF2B5EF4-FFF2-40B4-BE49-F238E27FC236}">
                <a16:creationId xmlns:a16="http://schemas.microsoft.com/office/drawing/2014/main" id="{DC343A8C-D93E-4B22-853D-F8114AD84B57}"/>
              </a:ext>
            </a:extLst>
          </xdr:cNvPr>
          <xdr:cNvSpPr/>
        </xdr:nvSpPr>
        <xdr:spPr>
          <a:xfrm>
            <a:off x="449494" y="228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BAHAN</a:t>
            </a:r>
          </a:p>
        </xdr:txBody>
      </xdr:sp>
      <xdr:sp macro="[0]!TBUPAH_Click" textlink="">
        <xdr:nvSpPr>
          <xdr:cNvPr id="20" name="TB.UPAH">
            <a:extLst>
              <a:ext uri="{FF2B5EF4-FFF2-40B4-BE49-F238E27FC236}">
                <a16:creationId xmlns:a16="http://schemas.microsoft.com/office/drawing/2014/main" id="{A6ADCCE8-D565-446F-B47C-8F7A29FF0220}"/>
              </a:ext>
            </a:extLst>
          </xdr:cNvPr>
          <xdr:cNvSpPr/>
        </xdr:nvSpPr>
        <xdr:spPr>
          <a:xfrm>
            <a:off x="449494" y="266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UPAH</a:t>
            </a:r>
          </a:p>
        </xdr:txBody>
      </xdr:sp>
      <xdr:sp macro="[0]!TBDATA_Click" textlink="">
        <xdr:nvSpPr>
          <xdr:cNvPr id="21" name="TB.DATA">
            <a:extLst>
              <a:ext uri="{FF2B5EF4-FFF2-40B4-BE49-F238E27FC236}">
                <a16:creationId xmlns:a16="http://schemas.microsoft.com/office/drawing/2014/main" id="{E7413C28-FE2C-42FC-9A87-002B8494F030}"/>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22" name="TB.HITUNGVOLUME">
            <a:extLst>
              <a:ext uri="{FF2B5EF4-FFF2-40B4-BE49-F238E27FC236}">
                <a16:creationId xmlns:a16="http://schemas.microsoft.com/office/drawing/2014/main" id="{A2234CB4-A024-4E50-9445-1DC8B79D90B7}"/>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23" name="TB.HITUNGRAB">
            <a:extLst>
              <a:ext uri="{FF2B5EF4-FFF2-40B4-BE49-F238E27FC236}">
                <a16:creationId xmlns:a16="http://schemas.microsoft.com/office/drawing/2014/main" id="{69913C72-42A8-48AE-A492-6A4DD8D2AAE2}"/>
              </a:ext>
            </a:extLst>
          </xdr:cNvPr>
          <xdr:cNvSpPr/>
        </xdr:nvSpPr>
        <xdr:spPr>
          <a:xfrm>
            <a:off x="168090" y="3429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24" name="TB.REKAPITULASI">
            <a:extLst>
              <a:ext uri="{FF2B5EF4-FFF2-40B4-BE49-F238E27FC236}">
                <a16:creationId xmlns:a16="http://schemas.microsoft.com/office/drawing/2014/main" id="{4A8AF4E3-3D5B-4EAC-B4D4-D3EAC6719D51}"/>
              </a:ext>
            </a:extLst>
          </xdr:cNvPr>
          <xdr:cNvSpPr/>
        </xdr:nvSpPr>
        <xdr:spPr>
          <a:xfrm>
            <a:off x="168090" y="3810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25" name="TB.DOKUMEN">
            <a:extLst>
              <a:ext uri="{FF2B5EF4-FFF2-40B4-BE49-F238E27FC236}">
                <a16:creationId xmlns:a16="http://schemas.microsoft.com/office/drawing/2014/main" id="{B5BADE2E-BEAA-487C-82E6-BFEBAB450342}"/>
              </a:ext>
            </a:extLst>
          </xdr:cNvPr>
          <xdr:cNvSpPr/>
        </xdr:nvSpPr>
        <xdr:spPr>
          <a:xfrm>
            <a:off x="168090"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6" name="TB.PANDUAN">
            <a:extLst>
              <a:ext uri="{FF2B5EF4-FFF2-40B4-BE49-F238E27FC236}">
                <a16:creationId xmlns:a16="http://schemas.microsoft.com/office/drawing/2014/main" id="{1AB40361-2F65-48C7-95B7-1C76EC9BCB68}"/>
              </a:ext>
            </a:extLst>
          </xdr:cNvPr>
          <xdr:cNvSpPr/>
        </xdr:nvSpPr>
        <xdr:spPr>
          <a:xfrm>
            <a:off x="168090"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686359</xdr:colOff>
      <xdr:row>2</xdr:row>
      <xdr:rowOff>187698</xdr:rowOff>
    </xdr:to>
    <xdr:sp macro="" textlink="">
      <xdr:nvSpPr>
        <xdr:cNvPr id="14" name="Rectangle 13">
          <a:extLst>
            <a:ext uri="{FF2B5EF4-FFF2-40B4-BE49-F238E27FC236}">
              <a16:creationId xmlns:a16="http://schemas.microsoft.com/office/drawing/2014/main" id="{3703097C-E59B-4E02-A5F1-46928163477C}"/>
            </a:ext>
          </a:extLst>
        </xdr:cNvPr>
        <xdr:cNvSpPr/>
      </xdr:nvSpPr>
      <xdr:spPr>
        <a:xfrm>
          <a:off x="0" y="0"/>
          <a:ext cx="2115109"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557709</xdr:colOff>
      <xdr:row>27</xdr:row>
      <xdr:rowOff>83820</xdr:rowOff>
    </xdr:to>
    <xdr:grpSp>
      <xdr:nvGrpSpPr>
        <xdr:cNvPr id="15" name="Group 14">
          <a:extLst>
            <a:ext uri="{FF2B5EF4-FFF2-40B4-BE49-F238E27FC236}">
              <a16:creationId xmlns:a16="http://schemas.microsoft.com/office/drawing/2014/main" id="{AA2E200B-B3D2-4F6B-9092-490641BA8B23}"/>
            </a:ext>
          </a:extLst>
        </xdr:cNvPr>
        <xdr:cNvGrpSpPr/>
      </xdr:nvGrpSpPr>
      <xdr:grpSpPr>
        <a:xfrm>
          <a:off x="168090" y="1158240"/>
          <a:ext cx="1872979" cy="4137660"/>
          <a:chOff x="168090" y="762000"/>
          <a:chExt cx="1818369" cy="4084320"/>
        </a:xfrm>
      </xdr:grpSpPr>
      <xdr:sp macro="[0]!TBHOME_Click" textlink="">
        <xdr:nvSpPr>
          <xdr:cNvPr id="16" name="TB.HOME">
            <a:extLst>
              <a:ext uri="{FF2B5EF4-FFF2-40B4-BE49-F238E27FC236}">
                <a16:creationId xmlns:a16="http://schemas.microsoft.com/office/drawing/2014/main" id="{10B4B44B-FA25-438B-A9E2-EA4B3AC34C92}"/>
              </a:ext>
            </a:extLst>
          </xdr:cNvPr>
          <xdr:cNvSpPr/>
        </xdr:nvSpPr>
        <xdr:spPr>
          <a:xfrm>
            <a:off x="168090" y="76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HOME</a:t>
            </a:r>
          </a:p>
        </xdr:txBody>
      </xdr:sp>
      <xdr:sp macro="[0]!TBAHSP_Click" textlink="">
        <xdr:nvSpPr>
          <xdr:cNvPr id="17" name="TB.AHSP">
            <a:extLst>
              <a:ext uri="{FF2B5EF4-FFF2-40B4-BE49-F238E27FC236}">
                <a16:creationId xmlns:a16="http://schemas.microsoft.com/office/drawing/2014/main" id="{3002E566-3B62-4A34-B89E-8DC08ECA716B}"/>
              </a:ext>
            </a:extLst>
          </xdr:cNvPr>
          <xdr:cNvSpPr/>
        </xdr:nvSpPr>
        <xdr:spPr>
          <a:xfrm>
            <a:off x="449495" y="1524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AHSP</a:t>
            </a:r>
          </a:p>
        </xdr:txBody>
      </xdr:sp>
      <xdr:sp macro="[0]!TBHSP_Click" textlink="">
        <xdr:nvSpPr>
          <xdr:cNvPr id="18" name="TB.HSP">
            <a:extLst>
              <a:ext uri="{FF2B5EF4-FFF2-40B4-BE49-F238E27FC236}">
                <a16:creationId xmlns:a16="http://schemas.microsoft.com/office/drawing/2014/main" id="{E1060EEF-F8F0-49C5-B5FC-F44B277E2688}"/>
              </a:ext>
            </a:extLst>
          </xdr:cNvPr>
          <xdr:cNvSpPr/>
        </xdr:nvSpPr>
        <xdr:spPr>
          <a:xfrm>
            <a:off x="449494" y="190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HSP</a:t>
            </a:r>
          </a:p>
        </xdr:txBody>
      </xdr:sp>
      <xdr:sp macro="[0]!TBBAHAN_Click" textlink="">
        <xdr:nvSpPr>
          <xdr:cNvPr id="19" name="TB.BAHAN">
            <a:extLst>
              <a:ext uri="{FF2B5EF4-FFF2-40B4-BE49-F238E27FC236}">
                <a16:creationId xmlns:a16="http://schemas.microsoft.com/office/drawing/2014/main" id="{19F72C36-02D2-4568-B81B-5D45FB722A91}"/>
              </a:ext>
            </a:extLst>
          </xdr:cNvPr>
          <xdr:cNvSpPr/>
        </xdr:nvSpPr>
        <xdr:spPr>
          <a:xfrm>
            <a:off x="449494" y="228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BAHAN</a:t>
            </a:r>
          </a:p>
        </xdr:txBody>
      </xdr:sp>
      <xdr:sp macro="[0]!TBUPAH_Click" textlink="">
        <xdr:nvSpPr>
          <xdr:cNvPr id="20" name="TB.UPAH">
            <a:extLst>
              <a:ext uri="{FF2B5EF4-FFF2-40B4-BE49-F238E27FC236}">
                <a16:creationId xmlns:a16="http://schemas.microsoft.com/office/drawing/2014/main" id="{2C7385B1-445B-4B9D-9437-6DD299FF6161}"/>
              </a:ext>
            </a:extLst>
          </xdr:cNvPr>
          <xdr:cNvSpPr/>
        </xdr:nvSpPr>
        <xdr:spPr>
          <a:xfrm>
            <a:off x="449494" y="266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UPAH</a:t>
            </a:r>
          </a:p>
        </xdr:txBody>
      </xdr:sp>
      <xdr:sp macro="[0]!TBDATA_Click" textlink="">
        <xdr:nvSpPr>
          <xdr:cNvPr id="21" name="TB.DATA">
            <a:extLst>
              <a:ext uri="{FF2B5EF4-FFF2-40B4-BE49-F238E27FC236}">
                <a16:creationId xmlns:a16="http://schemas.microsoft.com/office/drawing/2014/main" id="{24C1BA17-0631-4FE1-A8A2-E850DFF94EBF}"/>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22" name="TB.HITUNGVOLUME">
            <a:extLst>
              <a:ext uri="{FF2B5EF4-FFF2-40B4-BE49-F238E27FC236}">
                <a16:creationId xmlns:a16="http://schemas.microsoft.com/office/drawing/2014/main" id="{C6970E31-2DEF-4FB2-9676-32536C99C968}"/>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23" name="TB.HITUNGRAB">
            <a:extLst>
              <a:ext uri="{FF2B5EF4-FFF2-40B4-BE49-F238E27FC236}">
                <a16:creationId xmlns:a16="http://schemas.microsoft.com/office/drawing/2014/main" id="{3B3DC228-F1E0-480D-BA90-E9C741816EF7}"/>
              </a:ext>
            </a:extLst>
          </xdr:cNvPr>
          <xdr:cNvSpPr/>
        </xdr:nvSpPr>
        <xdr:spPr>
          <a:xfrm>
            <a:off x="168090" y="3429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24" name="TB.REKAPITULASI">
            <a:extLst>
              <a:ext uri="{FF2B5EF4-FFF2-40B4-BE49-F238E27FC236}">
                <a16:creationId xmlns:a16="http://schemas.microsoft.com/office/drawing/2014/main" id="{B2F7145C-B735-400A-9704-EE9B367CE000}"/>
              </a:ext>
            </a:extLst>
          </xdr:cNvPr>
          <xdr:cNvSpPr/>
        </xdr:nvSpPr>
        <xdr:spPr>
          <a:xfrm>
            <a:off x="168090" y="3810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25" name="TB.DOKUMEN">
            <a:extLst>
              <a:ext uri="{FF2B5EF4-FFF2-40B4-BE49-F238E27FC236}">
                <a16:creationId xmlns:a16="http://schemas.microsoft.com/office/drawing/2014/main" id="{C580327F-682E-4FC9-BAC6-C11F4114C5E0}"/>
              </a:ext>
            </a:extLst>
          </xdr:cNvPr>
          <xdr:cNvSpPr/>
        </xdr:nvSpPr>
        <xdr:spPr>
          <a:xfrm>
            <a:off x="168090"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6" name="TB.PANDUAN">
            <a:extLst>
              <a:ext uri="{FF2B5EF4-FFF2-40B4-BE49-F238E27FC236}">
                <a16:creationId xmlns:a16="http://schemas.microsoft.com/office/drawing/2014/main" id="{3F4CC06A-8F41-435C-99DE-6824BDFD37E8}"/>
              </a:ext>
            </a:extLst>
          </xdr:cNvPr>
          <xdr:cNvSpPr/>
        </xdr:nvSpPr>
        <xdr:spPr>
          <a:xfrm>
            <a:off x="168090"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7.xml><?xml version="1.0" encoding="utf-8"?>
<xdr:wsDr xmlns:xdr="http://schemas.openxmlformats.org/drawingml/2006/spreadsheetDrawing" xmlns:a="http://schemas.openxmlformats.org/drawingml/2006/main">
  <xdr:oneCellAnchor>
    <xdr:from>
      <xdr:col>4</xdr:col>
      <xdr:colOff>248847</xdr:colOff>
      <xdr:row>27</xdr:row>
      <xdr:rowOff>39911</xdr:rowOff>
    </xdr:from>
    <xdr:ext cx="1361177" cy="902466"/>
    <xdr:pic>
      <xdr:nvPicPr>
        <xdr:cNvPr id="6" name="Picture 5">
          <a:extLst>
            <a:ext uri="{FF2B5EF4-FFF2-40B4-BE49-F238E27FC236}">
              <a16:creationId xmlns:a16="http://schemas.microsoft.com/office/drawing/2014/main" id="{476BE2F5-3C78-4E24-AE8C-57D942DA6041}"/>
            </a:ext>
          </a:extLst>
        </xdr:cNvPr>
        <xdr:cNvPicPr>
          <a:picLocks noChangeAspect="1"/>
        </xdr:cNvPicPr>
      </xdr:nvPicPr>
      <xdr:blipFill>
        <a:blip xmlns:r="http://schemas.openxmlformats.org/officeDocument/2006/relationships" r:embed="rId1"/>
        <a:stretch>
          <a:fillRect/>
        </a:stretch>
      </xdr:blipFill>
      <xdr:spPr>
        <a:xfrm>
          <a:off x="2721114" y="4713511"/>
          <a:ext cx="1361177" cy="902466"/>
        </a:xfrm>
        <a:prstGeom prst="rect">
          <a:avLst/>
        </a:prstGeom>
      </xdr:spPr>
    </xdr:pic>
    <xdr:clientData/>
  </xdr:oneCellAnchor>
  <xdr:oneCellAnchor>
    <xdr:from>
      <xdr:col>4</xdr:col>
      <xdr:colOff>213473</xdr:colOff>
      <xdr:row>35</xdr:row>
      <xdr:rowOff>38544</xdr:rowOff>
    </xdr:from>
    <xdr:ext cx="1431924" cy="877420"/>
    <xdr:pic>
      <xdr:nvPicPr>
        <xdr:cNvPr id="11" name="Picture 10">
          <a:extLst>
            <a:ext uri="{FF2B5EF4-FFF2-40B4-BE49-F238E27FC236}">
              <a16:creationId xmlns:a16="http://schemas.microsoft.com/office/drawing/2014/main" id="{CB3F7ABE-250E-4490-B2F0-F4E58ED8D4A3}"/>
            </a:ext>
          </a:extLst>
        </xdr:cNvPr>
        <xdr:cNvPicPr>
          <a:picLocks noChangeAspect="1"/>
        </xdr:cNvPicPr>
      </xdr:nvPicPr>
      <xdr:blipFill>
        <a:blip xmlns:r="http://schemas.openxmlformats.org/officeDocument/2006/relationships" r:embed="rId2"/>
        <a:stretch>
          <a:fillRect/>
        </a:stretch>
      </xdr:blipFill>
      <xdr:spPr>
        <a:xfrm>
          <a:off x="2685740" y="6270011"/>
          <a:ext cx="1431924" cy="877420"/>
        </a:xfrm>
        <a:prstGeom prst="rect">
          <a:avLst/>
        </a:prstGeom>
      </xdr:spPr>
    </xdr:pic>
    <xdr:clientData/>
  </xdr:oneCellAnchor>
  <xdr:oneCellAnchor>
    <xdr:from>
      <xdr:col>5</xdr:col>
      <xdr:colOff>8321</xdr:colOff>
      <xdr:row>46</xdr:row>
      <xdr:rowOff>133511</xdr:rowOff>
    </xdr:from>
    <xdr:ext cx="1424939" cy="1006287"/>
    <xdr:pic>
      <xdr:nvPicPr>
        <xdr:cNvPr id="12" name="Picture 11">
          <a:extLst>
            <a:ext uri="{FF2B5EF4-FFF2-40B4-BE49-F238E27FC236}">
              <a16:creationId xmlns:a16="http://schemas.microsoft.com/office/drawing/2014/main" id="{226E7D4D-A757-4E34-BEC7-3744088A98C4}"/>
            </a:ext>
          </a:extLst>
        </xdr:cNvPr>
        <xdr:cNvPicPr>
          <a:picLocks noChangeAspect="1"/>
        </xdr:cNvPicPr>
      </xdr:nvPicPr>
      <xdr:blipFill>
        <a:blip xmlns:r="http://schemas.openxmlformats.org/officeDocument/2006/relationships" r:embed="rId3"/>
        <a:stretch>
          <a:fillRect/>
        </a:stretch>
      </xdr:blipFill>
      <xdr:spPr>
        <a:xfrm>
          <a:off x="2743054" y="7922844"/>
          <a:ext cx="1424939" cy="1006287"/>
        </a:xfrm>
        <a:prstGeom prst="rect">
          <a:avLst/>
        </a:prstGeom>
      </xdr:spPr>
    </xdr:pic>
    <xdr:clientData/>
  </xdr:oneCellAnchor>
  <xdr:oneCellAnchor>
    <xdr:from>
      <xdr:col>5</xdr:col>
      <xdr:colOff>9820</xdr:colOff>
      <xdr:row>53</xdr:row>
      <xdr:rowOff>63790</xdr:rowOff>
    </xdr:from>
    <xdr:ext cx="1313089" cy="1046339"/>
    <xdr:pic>
      <xdr:nvPicPr>
        <xdr:cNvPr id="13" name="Picture 12">
          <a:extLst>
            <a:ext uri="{FF2B5EF4-FFF2-40B4-BE49-F238E27FC236}">
              <a16:creationId xmlns:a16="http://schemas.microsoft.com/office/drawing/2014/main" id="{9E711F69-2ACC-4E4D-9D5C-59FFE6FC4788}"/>
            </a:ext>
          </a:extLst>
        </xdr:cNvPr>
        <xdr:cNvPicPr>
          <a:picLocks noChangeAspect="1"/>
        </xdr:cNvPicPr>
      </xdr:nvPicPr>
      <xdr:blipFill>
        <a:blip xmlns:r="http://schemas.openxmlformats.org/officeDocument/2006/relationships" r:embed="rId4"/>
        <a:stretch>
          <a:fillRect/>
        </a:stretch>
      </xdr:blipFill>
      <xdr:spPr>
        <a:xfrm>
          <a:off x="2744553" y="9216257"/>
          <a:ext cx="1313089" cy="1046339"/>
        </a:xfrm>
        <a:prstGeom prst="rect">
          <a:avLst/>
        </a:prstGeom>
      </xdr:spPr>
    </xdr:pic>
    <xdr:clientData/>
  </xdr:oneCellAnchor>
  <xdr:twoCellAnchor editAs="absolute">
    <xdr:from>
      <xdr:col>0</xdr:col>
      <xdr:colOff>0</xdr:colOff>
      <xdr:row>0</xdr:row>
      <xdr:rowOff>0</xdr:rowOff>
    </xdr:from>
    <xdr:to>
      <xdr:col>2</xdr:col>
      <xdr:colOff>686359</xdr:colOff>
      <xdr:row>2</xdr:row>
      <xdr:rowOff>187698</xdr:rowOff>
    </xdr:to>
    <xdr:sp macro="" textlink="">
      <xdr:nvSpPr>
        <xdr:cNvPr id="14" name="Rectangle 13">
          <a:extLst>
            <a:ext uri="{FF2B5EF4-FFF2-40B4-BE49-F238E27FC236}">
              <a16:creationId xmlns:a16="http://schemas.microsoft.com/office/drawing/2014/main" id="{717AF8C4-C410-4E60-8308-0DE8C5EB3ECA}"/>
            </a:ext>
          </a:extLst>
        </xdr:cNvPr>
        <xdr:cNvSpPr/>
      </xdr:nvSpPr>
      <xdr:spPr>
        <a:xfrm>
          <a:off x="0" y="0"/>
          <a:ext cx="2115109"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oneCell">
    <xdr:from>
      <xdr:col>4</xdr:col>
      <xdr:colOff>226786</xdr:colOff>
      <xdr:row>4</xdr:row>
      <xdr:rowOff>69546</xdr:rowOff>
    </xdr:from>
    <xdr:to>
      <xdr:col>15</xdr:col>
      <xdr:colOff>85840</xdr:colOff>
      <xdr:row>19</xdr:row>
      <xdr:rowOff>61610</xdr:rowOff>
    </xdr:to>
    <xdr:pic>
      <xdr:nvPicPr>
        <xdr:cNvPr id="19" name="Picture 18">
          <a:extLst>
            <a:ext uri="{FF2B5EF4-FFF2-40B4-BE49-F238E27FC236}">
              <a16:creationId xmlns:a16="http://schemas.microsoft.com/office/drawing/2014/main" id="{32FBDA30-0BC3-43D1-8560-FC357207C5FE}"/>
            </a:ext>
          </a:extLst>
        </xdr:cNvPr>
        <xdr:cNvPicPr>
          <a:picLocks noChangeAspect="1"/>
        </xdr:cNvPicPr>
      </xdr:nvPicPr>
      <xdr:blipFill>
        <a:blip xmlns:r="http://schemas.openxmlformats.org/officeDocument/2006/relationships" r:embed="rId5"/>
        <a:stretch>
          <a:fillRect/>
        </a:stretch>
      </xdr:blipFill>
      <xdr:spPr>
        <a:xfrm>
          <a:off x="2699053" y="848479"/>
          <a:ext cx="2746187" cy="2913064"/>
        </a:xfrm>
        <a:prstGeom prst="rect">
          <a:avLst/>
        </a:prstGeom>
      </xdr:spPr>
    </xdr:pic>
    <xdr:clientData/>
  </xdr:twoCellAnchor>
  <xdr:twoCellAnchor editAs="oneCell">
    <xdr:from>
      <xdr:col>4</xdr:col>
      <xdr:colOff>99786</xdr:colOff>
      <xdr:row>65</xdr:row>
      <xdr:rowOff>85266</xdr:rowOff>
    </xdr:from>
    <xdr:to>
      <xdr:col>10</xdr:col>
      <xdr:colOff>206534</xdr:colOff>
      <xdr:row>71</xdr:row>
      <xdr:rowOff>187773</xdr:rowOff>
    </xdr:to>
    <xdr:pic>
      <xdr:nvPicPr>
        <xdr:cNvPr id="32" name="Picture 31">
          <a:extLst>
            <a:ext uri="{FF2B5EF4-FFF2-40B4-BE49-F238E27FC236}">
              <a16:creationId xmlns:a16="http://schemas.microsoft.com/office/drawing/2014/main" id="{6CB07F0F-25AD-4243-AD4C-6378CEE20AF2}"/>
            </a:ext>
          </a:extLst>
        </xdr:cNvPr>
        <xdr:cNvPicPr>
          <a:picLocks noChangeAspect="1"/>
        </xdr:cNvPicPr>
      </xdr:nvPicPr>
      <xdr:blipFill>
        <a:blip xmlns:r="http://schemas.openxmlformats.org/officeDocument/2006/relationships" r:embed="rId6"/>
        <a:stretch>
          <a:fillRect/>
        </a:stretch>
      </xdr:blipFill>
      <xdr:spPr>
        <a:xfrm>
          <a:off x="2572053" y="12158733"/>
          <a:ext cx="1681548" cy="1277257"/>
        </a:xfrm>
        <a:prstGeom prst="rect">
          <a:avLst/>
        </a:prstGeom>
      </xdr:spPr>
    </xdr:pic>
    <xdr:clientData/>
  </xdr:twoCellAnchor>
  <xdr:twoCellAnchor editAs="oneCell">
    <xdr:from>
      <xdr:col>4</xdr:col>
      <xdr:colOff>137926</xdr:colOff>
      <xdr:row>76</xdr:row>
      <xdr:rowOff>25399</xdr:rowOff>
    </xdr:from>
    <xdr:to>
      <xdr:col>9</xdr:col>
      <xdr:colOff>63892</xdr:colOff>
      <xdr:row>82</xdr:row>
      <xdr:rowOff>177802</xdr:rowOff>
    </xdr:to>
    <xdr:pic>
      <xdr:nvPicPr>
        <xdr:cNvPr id="33" name="Picture 32">
          <a:extLst>
            <a:ext uri="{FF2B5EF4-FFF2-40B4-BE49-F238E27FC236}">
              <a16:creationId xmlns:a16="http://schemas.microsoft.com/office/drawing/2014/main" id="{D0963F59-529A-49FB-A6E2-774D0975BE47}"/>
            </a:ext>
          </a:extLst>
        </xdr:cNvPr>
        <xdr:cNvPicPr>
          <a:picLocks noChangeAspect="1"/>
        </xdr:cNvPicPr>
      </xdr:nvPicPr>
      <xdr:blipFill rotWithShape="1">
        <a:blip xmlns:r="http://schemas.openxmlformats.org/officeDocument/2006/relationships" r:embed="rId7"/>
        <a:srcRect t="1710"/>
        <a:stretch/>
      </xdr:blipFill>
      <xdr:spPr>
        <a:xfrm>
          <a:off x="2610193" y="14825132"/>
          <a:ext cx="1238299" cy="1320803"/>
        </a:xfrm>
        <a:prstGeom prst="rect">
          <a:avLst/>
        </a:prstGeom>
      </xdr:spPr>
    </xdr:pic>
    <xdr:clientData/>
  </xdr:twoCellAnchor>
  <xdr:twoCellAnchor editAs="oneCell">
    <xdr:from>
      <xdr:col>5</xdr:col>
      <xdr:colOff>48379</xdr:colOff>
      <xdr:row>86</xdr:row>
      <xdr:rowOff>16931</xdr:rowOff>
    </xdr:from>
    <xdr:to>
      <xdr:col>10</xdr:col>
      <xdr:colOff>30696</xdr:colOff>
      <xdr:row>93</xdr:row>
      <xdr:rowOff>59518</xdr:rowOff>
    </xdr:to>
    <xdr:pic>
      <xdr:nvPicPr>
        <xdr:cNvPr id="34" name="Picture 33">
          <a:extLst>
            <a:ext uri="{FF2B5EF4-FFF2-40B4-BE49-F238E27FC236}">
              <a16:creationId xmlns:a16="http://schemas.microsoft.com/office/drawing/2014/main" id="{09CC7D33-0C7D-4267-A8E1-2B7935624C47}"/>
            </a:ext>
          </a:extLst>
        </xdr:cNvPr>
        <xdr:cNvPicPr>
          <a:picLocks noChangeAspect="1"/>
        </xdr:cNvPicPr>
      </xdr:nvPicPr>
      <xdr:blipFill>
        <a:blip xmlns:r="http://schemas.openxmlformats.org/officeDocument/2006/relationships" r:embed="rId8"/>
        <a:stretch>
          <a:fillRect/>
        </a:stretch>
      </xdr:blipFill>
      <xdr:spPr>
        <a:xfrm>
          <a:off x="2783112" y="16763998"/>
          <a:ext cx="1294651" cy="1405720"/>
        </a:xfrm>
        <a:prstGeom prst="rect">
          <a:avLst/>
        </a:prstGeom>
      </xdr:spPr>
    </xdr:pic>
    <xdr:clientData/>
  </xdr:twoCellAnchor>
  <xdr:twoCellAnchor editAs="oneCell">
    <xdr:from>
      <xdr:col>4</xdr:col>
      <xdr:colOff>21713</xdr:colOff>
      <xdr:row>98</xdr:row>
      <xdr:rowOff>8469</xdr:rowOff>
    </xdr:from>
    <xdr:to>
      <xdr:col>13</xdr:col>
      <xdr:colOff>251080</xdr:colOff>
      <xdr:row>111</xdr:row>
      <xdr:rowOff>84668</xdr:rowOff>
    </xdr:to>
    <xdr:pic>
      <xdr:nvPicPr>
        <xdr:cNvPr id="35" name="Picture 34">
          <a:extLst>
            <a:ext uri="{FF2B5EF4-FFF2-40B4-BE49-F238E27FC236}">
              <a16:creationId xmlns:a16="http://schemas.microsoft.com/office/drawing/2014/main" id="{F1E33454-2A4B-4223-BCF1-735A01EFCB39}"/>
            </a:ext>
          </a:extLst>
        </xdr:cNvPr>
        <xdr:cNvPicPr>
          <a:picLocks noChangeAspect="1"/>
        </xdr:cNvPicPr>
      </xdr:nvPicPr>
      <xdr:blipFill>
        <a:blip xmlns:r="http://schemas.openxmlformats.org/officeDocument/2006/relationships" r:embed="rId9"/>
        <a:stretch>
          <a:fillRect/>
        </a:stretch>
      </xdr:blipFill>
      <xdr:spPr>
        <a:xfrm>
          <a:off x="2493980" y="19092336"/>
          <a:ext cx="2591567" cy="2607732"/>
        </a:xfrm>
        <a:prstGeom prst="rect">
          <a:avLst/>
        </a:prstGeom>
      </xdr:spPr>
    </xdr:pic>
    <xdr:clientData/>
  </xdr:twoCellAnchor>
  <xdr:twoCellAnchor editAs="oneCell">
    <xdr:from>
      <xdr:col>5</xdr:col>
      <xdr:colOff>145141</xdr:colOff>
      <xdr:row>129</xdr:row>
      <xdr:rowOff>54428</xdr:rowOff>
    </xdr:from>
    <xdr:to>
      <xdr:col>13</xdr:col>
      <xdr:colOff>232281</xdr:colOff>
      <xdr:row>138</xdr:row>
      <xdr:rowOff>181428</xdr:rowOff>
    </xdr:to>
    <xdr:pic>
      <xdr:nvPicPr>
        <xdr:cNvPr id="36" name="Picture 35">
          <a:extLst>
            <a:ext uri="{FF2B5EF4-FFF2-40B4-BE49-F238E27FC236}">
              <a16:creationId xmlns:a16="http://schemas.microsoft.com/office/drawing/2014/main" id="{7B8C9293-2CCC-4397-8BCE-792F969AA679}"/>
            </a:ext>
          </a:extLst>
        </xdr:cNvPr>
        <xdr:cNvPicPr>
          <a:picLocks noChangeAspect="1"/>
        </xdr:cNvPicPr>
      </xdr:nvPicPr>
      <xdr:blipFill>
        <a:blip xmlns:r="http://schemas.openxmlformats.org/officeDocument/2006/relationships" r:embed="rId10"/>
        <a:stretch>
          <a:fillRect/>
        </a:stretch>
      </xdr:blipFill>
      <xdr:spPr>
        <a:xfrm>
          <a:off x="2875641" y="18532928"/>
          <a:ext cx="2191711" cy="1841500"/>
        </a:xfrm>
        <a:prstGeom prst="rect">
          <a:avLst/>
        </a:prstGeom>
      </xdr:spPr>
    </xdr:pic>
    <xdr:clientData/>
  </xdr:twoCellAnchor>
  <xdr:twoCellAnchor editAs="oneCell">
    <xdr:from>
      <xdr:col>4</xdr:col>
      <xdr:colOff>145142</xdr:colOff>
      <xdr:row>152</xdr:row>
      <xdr:rowOff>99784</xdr:rowOff>
    </xdr:from>
    <xdr:to>
      <xdr:col>13</xdr:col>
      <xdr:colOff>248556</xdr:colOff>
      <xdr:row>161</xdr:row>
      <xdr:rowOff>32283</xdr:rowOff>
    </xdr:to>
    <xdr:pic>
      <xdr:nvPicPr>
        <xdr:cNvPr id="37" name="Picture 36">
          <a:extLst>
            <a:ext uri="{FF2B5EF4-FFF2-40B4-BE49-F238E27FC236}">
              <a16:creationId xmlns:a16="http://schemas.microsoft.com/office/drawing/2014/main" id="{EB590AE2-2B44-4F23-BEAE-741297D56B15}"/>
            </a:ext>
          </a:extLst>
        </xdr:cNvPr>
        <xdr:cNvPicPr>
          <a:picLocks noChangeAspect="1"/>
        </xdr:cNvPicPr>
      </xdr:nvPicPr>
      <xdr:blipFill>
        <a:blip xmlns:r="http://schemas.openxmlformats.org/officeDocument/2006/relationships" r:embed="rId11"/>
        <a:stretch>
          <a:fillRect/>
        </a:stretch>
      </xdr:blipFill>
      <xdr:spPr>
        <a:xfrm>
          <a:off x="2612571" y="22769284"/>
          <a:ext cx="2471056" cy="1646999"/>
        </a:xfrm>
        <a:prstGeom prst="rect">
          <a:avLst/>
        </a:prstGeom>
      </xdr:spPr>
    </xdr:pic>
    <xdr:clientData/>
  </xdr:twoCellAnchor>
  <xdr:oneCellAnchor>
    <xdr:from>
      <xdr:col>4</xdr:col>
      <xdr:colOff>145142</xdr:colOff>
      <xdr:row>176</xdr:row>
      <xdr:rowOff>99784</xdr:rowOff>
    </xdr:from>
    <xdr:ext cx="2471056" cy="1646999"/>
    <xdr:pic>
      <xdr:nvPicPr>
        <xdr:cNvPr id="22" name="Picture 21">
          <a:extLst>
            <a:ext uri="{FF2B5EF4-FFF2-40B4-BE49-F238E27FC236}">
              <a16:creationId xmlns:a16="http://schemas.microsoft.com/office/drawing/2014/main" id="{B74D3CC9-7740-41C6-A1C5-59373C0A5E47}"/>
            </a:ext>
          </a:extLst>
        </xdr:cNvPr>
        <xdr:cNvPicPr>
          <a:picLocks noChangeAspect="1"/>
        </xdr:cNvPicPr>
      </xdr:nvPicPr>
      <xdr:blipFill>
        <a:blip xmlns:r="http://schemas.openxmlformats.org/officeDocument/2006/relationships" r:embed="rId11"/>
        <a:stretch>
          <a:fillRect/>
        </a:stretch>
      </xdr:blipFill>
      <xdr:spPr>
        <a:xfrm>
          <a:off x="2612571" y="22769284"/>
          <a:ext cx="2471056" cy="1646999"/>
        </a:xfrm>
        <a:prstGeom prst="rect">
          <a:avLst/>
        </a:prstGeom>
      </xdr:spPr>
    </xdr:pic>
    <xdr:clientData/>
  </xdr:oneCellAnchor>
  <xdr:twoCellAnchor editAs="oneCell">
    <xdr:from>
      <xdr:col>4</xdr:col>
      <xdr:colOff>45358</xdr:colOff>
      <xdr:row>197</xdr:row>
      <xdr:rowOff>9074</xdr:rowOff>
    </xdr:from>
    <xdr:to>
      <xdr:col>13</xdr:col>
      <xdr:colOff>127003</xdr:colOff>
      <xdr:row>209</xdr:row>
      <xdr:rowOff>11567</xdr:rowOff>
    </xdr:to>
    <xdr:pic>
      <xdr:nvPicPr>
        <xdr:cNvPr id="31" name="Picture 30">
          <a:extLst>
            <a:ext uri="{FF2B5EF4-FFF2-40B4-BE49-F238E27FC236}">
              <a16:creationId xmlns:a16="http://schemas.microsoft.com/office/drawing/2014/main" id="{5900E578-9079-47BE-B7EB-B5A1BFF33732}"/>
            </a:ext>
          </a:extLst>
        </xdr:cNvPr>
        <xdr:cNvPicPr>
          <a:picLocks noChangeAspect="1"/>
        </xdr:cNvPicPr>
      </xdr:nvPicPr>
      <xdr:blipFill rotWithShape="1">
        <a:blip xmlns:r="http://schemas.openxmlformats.org/officeDocument/2006/relationships" r:embed="rId12"/>
        <a:srcRect l="2674" r="7023"/>
        <a:stretch/>
      </xdr:blipFill>
      <xdr:spPr>
        <a:xfrm>
          <a:off x="2512787" y="31251074"/>
          <a:ext cx="2449287" cy="2288493"/>
        </a:xfrm>
        <a:prstGeom prst="rect">
          <a:avLst/>
        </a:prstGeom>
      </xdr:spPr>
    </xdr:pic>
    <xdr:clientData/>
  </xdr:twoCellAnchor>
  <xdr:twoCellAnchor editAs="oneCell">
    <xdr:from>
      <xdr:col>4</xdr:col>
      <xdr:colOff>54425</xdr:colOff>
      <xdr:row>219</xdr:row>
      <xdr:rowOff>90713</xdr:rowOff>
    </xdr:from>
    <xdr:to>
      <xdr:col>13</xdr:col>
      <xdr:colOff>172355</xdr:colOff>
      <xdr:row>230</xdr:row>
      <xdr:rowOff>93946</xdr:rowOff>
    </xdr:to>
    <xdr:pic>
      <xdr:nvPicPr>
        <xdr:cNvPr id="39" name="Picture 38">
          <a:extLst>
            <a:ext uri="{FF2B5EF4-FFF2-40B4-BE49-F238E27FC236}">
              <a16:creationId xmlns:a16="http://schemas.microsoft.com/office/drawing/2014/main" id="{FEC6E296-4562-4C6F-A642-55A970D95D61}"/>
            </a:ext>
          </a:extLst>
        </xdr:cNvPr>
        <xdr:cNvPicPr>
          <a:picLocks noChangeAspect="1"/>
        </xdr:cNvPicPr>
      </xdr:nvPicPr>
      <xdr:blipFill rotWithShape="1">
        <a:blip xmlns:r="http://schemas.openxmlformats.org/officeDocument/2006/relationships" r:embed="rId13"/>
        <a:srcRect l="2657" r="6313"/>
        <a:stretch/>
      </xdr:blipFill>
      <xdr:spPr>
        <a:xfrm>
          <a:off x="2521854" y="35523713"/>
          <a:ext cx="2485572" cy="2098733"/>
        </a:xfrm>
        <a:prstGeom prst="rect">
          <a:avLst/>
        </a:prstGeom>
      </xdr:spPr>
    </xdr:pic>
    <xdr:clientData/>
  </xdr:twoCellAnchor>
  <xdr:twoCellAnchor editAs="oneCell">
    <xdr:from>
      <xdr:col>4</xdr:col>
      <xdr:colOff>27222</xdr:colOff>
      <xdr:row>240</xdr:row>
      <xdr:rowOff>27214</xdr:rowOff>
    </xdr:from>
    <xdr:to>
      <xdr:col>13</xdr:col>
      <xdr:colOff>250760</xdr:colOff>
      <xdr:row>253</xdr:row>
      <xdr:rowOff>18143</xdr:rowOff>
    </xdr:to>
    <xdr:pic>
      <xdr:nvPicPr>
        <xdr:cNvPr id="41" name="Picture 40">
          <a:extLst>
            <a:ext uri="{FF2B5EF4-FFF2-40B4-BE49-F238E27FC236}">
              <a16:creationId xmlns:a16="http://schemas.microsoft.com/office/drawing/2014/main" id="{B2113C10-EF84-4F2E-929E-58595556E64C}"/>
            </a:ext>
          </a:extLst>
        </xdr:cNvPr>
        <xdr:cNvPicPr>
          <a:picLocks noChangeAspect="1" noChangeArrowheads="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2528" t="3495" r="5799"/>
        <a:stretch/>
      </xdr:blipFill>
      <xdr:spPr bwMode="auto">
        <a:xfrm>
          <a:off x="2494651" y="39460714"/>
          <a:ext cx="2591180" cy="2467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244952</xdr:colOff>
      <xdr:row>263</xdr:row>
      <xdr:rowOff>63497</xdr:rowOff>
    </xdr:from>
    <xdr:ext cx="2169607" cy="2657928"/>
    <xdr:pic>
      <xdr:nvPicPr>
        <xdr:cNvPr id="45" name="Picture 44">
          <a:extLst>
            <a:ext uri="{FF2B5EF4-FFF2-40B4-BE49-F238E27FC236}">
              <a16:creationId xmlns:a16="http://schemas.microsoft.com/office/drawing/2014/main" id="{6E6CBE35-9035-4F7A-B980-6B517D0135D4}"/>
            </a:ext>
          </a:extLst>
        </xdr:cNvPr>
        <xdr:cNvPicPr>
          <a:picLocks noChangeAspect="1"/>
        </xdr:cNvPicPr>
      </xdr:nvPicPr>
      <xdr:blipFill rotWithShape="1">
        <a:blip xmlns:r="http://schemas.openxmlformats.org/officeDocument/2006/relationships" r:embed="rId15"/>
        <a:srcRect l="6270"/>
        <a:stretch/>
      </xdr:blipFill>
      <xdr:spPr>
        <a:xfrm>
          <a:off x="2712381" y="59880497"/>
          <a:ext cx="2169607" cy="2657928"/>
        </a:xfrm>
        <a:prstGeom prst="rect">
          <a:avLst/>
        </a:prstGeom>
      </xdr:spPr>
    </xdr:pic>
    <xdr:clientData/>
  </xdr:oneCellAnchor>
  <xdr:twoCellAnchor editAs="oneCell">
    <xdr:from>
      <xdr:col>5</xdr:col>
      <xdr:colOff>9089</xdr:colOff>
      <xdr:row>280</xdr:row>
      <xdr:rowOff>36283</xdr:rowOff>
    </xdr:from>
    <xdr:to>
      <xdr:col>13</xdr:col>
      <xdr:colOff>135261</xdr:colOff>
      <xdr:row>294</xdr:row>
      <xdr:rowOff>109200</xdr:rowOff>
    </xdr:to>
    <xdr:pic>
      <xdr:nvPicPr>
        <xdr:cNvPr id="47" name="Picture 46">
          <a:extLst>
            <a:ext uri="{FF2B5EF4-FFF2-40B4-BE49-F238E27FC236}">
              <a16:creationId xmlns:a16="http://schemas.microsoft.com/office/drawing/2014/main" id="{BED79D12-22FB-4F11-B0D1-4AE57642E937}"/>
            </a:ext>
          </a:extLst>
        </xdr:cNvPr>
        <xdr:cNvPicPr>
          <a:picLocks noChangeAspect="1"/>
        </xdr:cNvPicPr>
      </xdr:nvPicPr>
      <xdr:blipFill rotWithShape="1">
        <a:blip xmlns:r="http://schemas.openxmlformats.org/officeDocument/2006/relationships" r:embed="rId16"/>
        <a:srcRect l="5749"/>
        <a:stretch/>
      </xdr:blipFill>
      <xdr:spPr>
        <a:xfrm>
          <a:off x="2739589" y="63091783"/>
          <a:ext cx="2230743" cy="2739917"/>
        </a:xfrm>
        <a:prstGeom prst="rect">
          <a:avLst/>
        </a:prstGeom>
      </xdr:spPr>
    </xdr:pic>
    <xdr:clientData/>
  </xdr:twoCellAnchor>
  <xdr:twoCellAnchor editAs="oneCell">
    <xdr:from>
      <xdr:col>4</xdr:col>
      <xdr:colOff>199576</xdr:colOff>
      <xdr:row>297</xdr:row>
      <xdr:rowOff>90714</xdr:rowOff>
    </xdr:from>
    <xdr:to>
      <xdr:col>13</xdr:col>
      <xdr:colOff>63505</xdr:colOff>
      <xdr:row>306</xdr:row>
      <xdr:rowOff>181428</xdr:rowOff>
    </xdr:to>
    <xdr:pic>
      <xdr:nvPicPr>
        <xdr:cNvPr id="51" name="Picture 50">
          <a:extLst>
            <a:ext uri="{FF2B5EF4-FFF2-40B4-BE49-F238E27FC236}">
              <a16:creationId xmlns:a16="http://schemas.microsoft.com/office/drawing/2014/main" id="{20EE9101-2264-4AD7-82D2-07273F6F63F1}"/>
            </a:ext>
          </a:extLst>
        </xdr:cNvPr>
        <xdr:cNvPicPr>
          <a:picLocks noChangeAspect="1"/>
        </xdr:cNvPicPr>
      </xdr:nvPicPr>
      <xdr:blipFill rotWithShape="1">
        <a:blip xmlns:r="http://schemas.openxmlformats.org/officeDocument/2006/relationships" r:embed="rId17"/>
        <a:srcRect l="3767" t="4546" r="3573" b="4970"/>
        <a:stretch/>
      </xdr:blipFill>
      <xdr:spPr>
        <a:xfrm>
          <a:off x="2667005" y="66384714"/>
          <a:ext cx="2231571" cy="1805214"/>
        </a:xfrm>
        <a:prstGeom prst="rect">
          <a:avLst/>
        </a:prstGeom>
      </xdr:spPr>
    </xdr:pic>
    <xdr:clientData/>
  </xdr:twoCellAnchor>
  <xdr:twoCellAnchor editAs="oneCell">
    <xdr:from>
      <xdr:col>4</xdr:col>
      <xdr:colOff>108857</xdr:colOff>
      <xdr:row>310</xdr:row>
      <xdr:rowOff>18145</xdr:rowOff>
    </xdr:from>
    <xdr:to>
      <xdr:col>13</xdr:col>
      <xdr:colOff>63501</xdr:colOff>
      <xdr:row>321</xdr:row>
      <xdr:rowOff>179828</xdr:rowOff>
    </xdr:to>
    <xdr:pic>
      <xdr:nvPicPr>
        <xdr:cNvPr id="52" name="Picture 51">
          <a:extLst>
            <a:ext uri="{FF2B5EF4-FFF2-40B4-BE49-F238E27FC236}">
              <a16:creationId xmlns:a16="http://schemas.microsoft.com/office/drawing/2014/main" id="{F1CC3003-EE19-4749-878A-8D160CF18218}"/>
            </a:ext>
          </a:extLst>
        </xdr:cNvPr>
        <xdr:cNvPicPr>
          <a:picLocks noChangeAspect="1"/>
        </xdr:cNvPicPr>
      </xdr:nvPicPr>
      <xdr:blipFill rotWithShape="1">
        <a:blip xmlns:r="http://schemas.openxmlformats.org/officeDocument/2006/relationships" r:embed="rId18"/>
        <a:srcRect l="4027" t="3491" r="2233"/>
        <a:stretch/>
      </xdr:blipFill>
      <xdr:spPr>
        <a:xfrm>
          <a:off x="2576286" y="68788645"/>
          <a:ext cx="2322286" cy="2257183"/>
        </a:xfrm>
        <a:prstGeom prst="rect">
          <a:avLst/>
        </a:prstGeom>
      </xdr:spPr>
    </xdr:pic>
    <xdr:clientData/>
  </xdr:twoCellAnchor>
  <xdr:twoCellAnchor editAs="oneCell">
    <xdr:from>
      <xdr:col>5</xdr:col>
      <xdr:colOff>108857</xdr:colOff>
      <xdr:row>325</xdr:row>
      <xdr:rowOff>163279</xdr:rowOff>
    </xdr:from>
    <xdr:to>
      <xdr:col>13</xdr:col>
      <xdr:colOff>38100</xdr:colOff>
      <xdr:row>333</xdr:row>
      <xdr:rowOff>14113</xdr:rowOff>
    </xdr:to>
    <xdr:pic>
      <xdr:nvPicPr>
        <xdr:cNvPr id="55" name="Picture 54">
          <a:extLst>
            <a:ext uri="{FF2B5EF4-FFF2-40B4-BE49-F238E27FC236}">
              <a16:creationId xmlns:a16="http://schemas.microsoft.com/office/drawing/2014/main" id="{EC3451E0-6E2E-4B4F-97B4-30755C66F7E6}"/>
            </a:ext>
          </a:extLst>
        </xdr:cNvPr>
        <xdr:cNvPicPr>
          <a:picLocks noChangeAspect="1"/>
        </xdr:cNvPicPr>
      </xdr:nvPicPr>
      <xdr:blipFill>
        <a:blip xmlns:r="http://schemas.openxmlformats.org/officeDocument/2006/relationships" r:embed="rId19"/>
        <a:stretch>
          <a:fillRect/>
        </a:stretch>
      </xdr:blipFill>
      <xdr:spPr>
        <a:xfrm>
          <a:off x="2839357" y="71791279"/>
          <a:ext cx="2033814" cy="1374834"/>
        </a:xfrm>
        <a:prstGeom prst="rect">
          <a:avLst/>
        </a:prstGeom>
      </xdr:spPr>
    </xdr:pic>
    <xdr:clientData/>
  </xdr:twoCellAnchor>
  <xdr:oneCellAnchor>
    <xdr:from>
      <xdr:col>5</xdr:col>
      <xdr:colOff>108857</xdr:colOff>
      <xdr:row>336</xdr:row>
      <xdr:rowOff>163279</xdr:rowOff>
    </xdr:from>
    <xdr:ext cx="2033814" cy="1374834"/>
    <xdr:pic>
      <xdr:nvPicPr>
        <xdr:cNvPr id="56" name="Picture 55">
          <a:extLst>
            <a:ext uri="{FF2B5EF4-FFF2-40B4-BE49-F238E27FC236}">
              <a16:creationId xmlns:a16="http://schemas.microsoft.com/office/drawing/2014/main" id="{37C5D142-28BA-4328-A7A8-E42385664498}"/>
            </a:ext>
          </a:extLst>
        </xdr:cNvPr>
        <xdr:cNvPicPr>
          <a:picLocks noChangeAspect="1"/>
        </xdr:cNvPicPr>
      </xdr:nvPicPr>
      <xdr:blipFill>
        <a:blip xmlns:r="http://schemas.openxmlformats.org/officeDocument/2006/relationships" r:embed="rId19"/>
        <a:stretch>
          <a:fillRect/>
        </a:stretch>
      </xdr:blipFill>
      <xdr:spPr>
        <a:xfrm>
          <a:off x="2839357" y="71791279"/>
          <a:ext cx="2033814" cy="1374834"/>
        </a:xfrm>
        <a:prstGeom prst="rect">
          <a:avLst/>
        </a:prstGeom>
      </xdr:spPr>
    </xdr:pic>
    <xdr:clientData/>
  </xdr:oneCellAnchor>
  <xdr:oneCellAnchor>
    <xdr:from>
      <xdr:col>5</xdr:col>
      <xdr:colOff>108857</xdr:colOff>
      <xdr:row>347</xdr:row>
      <xdr:rowOff>163279</xdr:rowOff>
    </xdr:from>
    <xdr:ext cx="2033814" cy="1374834"/>
    <xdr:pic>
      <xdr:nvPicPr>
        <xdr:cNvPr id="57" name="Picture 56">
          <a:extLst>
            <a:ext uri="{FF2B5EF4-FFF2-40B4-BE49-F238E27FC236}">
              <a16:creationId xmlns:a16="http://schemas.microsoft.com/office/drawing/2014/main" id="{1F15495F-226F-4372-9DCE-1B3ACD41DF12}"/>
            </a:ext>
          </a:extLst>
        </xdr:cNvPr>
        <xdr:cNvPicPr>
          <a:picLocks noChangeAspect="1"/>
        </xdr:cNvPicPr>
      </xdr:nvPicPr>
      <xdr:blipFill>
        <a:blip xmlns:r="http://schemas.openxmlformats.org/officeDocument/2006/relationships" r:embed="rId19"/>
        <a:stretch>
          <a:fillRect/>
        </a:stretch>
      </xdr:blipFill>
      <xdr:spPr>
        <a:xfrm>
          <a:off x="2839357" y="73886779"/>
          <a:ext cx="2033814" cy="1374834"/>
        </a:xfrm>
        <a:prstGeom prst="rect">
          <a:avLst/>
        </a:prstGeom>
      </xdr:spPr>
    </xdr:pic>
    <xdr:clientData/>
  </xdr:oneCellAnchor>
  <xdr:twoCellAnchor editAs="oneCell">
    <xdr:from>
      <xdr:col>5</xdr:col>
      <xdr:colOff>18146</xdr:colOff>
      <xdr:row>376</xdr:row>
      <xdr:rowOff>126997</xdr:rowOff>
    </xdr:from>
    <xdr:to>
      <xdr:col>13</xdr:col>
      <xdr:colOff>254004</xdr:colOff>
      <xdr:row>392</xdr:row>
      <xdr:rowOff>154211</xdr:rowOff>
    </xdr:to>
    <xdr:pic>
      <xdr:nvPicPr>
        <xdr:cNvPr id="60" name="Picture 59">
          <a:extLst>
            <a:ext uri="{FF2B5EF4-FFF2-40B4-BE49-F238E27FC236}">
              <a16:creationId xmlns:a16="http://schemas.microsoft.com/office/drawing/2014/main" id="{8381AB97-141D-4398-BDA0-1C4AA888D36B}"/>
            </a:ext>
          </a:extLst>
        </xdr:cNvPr>
        <xdr:cNvPicPr>
          <a:picLocks noChangeAspect="1"/>
        </xdr:cNvPicPr>
      </xdr:nvPicPr>
      <xdr:blipFill rotWithShape="1">
        <a:blip xmlns:r="http://schemas.openxmlformats.org/officeDocument/2006/relationships" r:embed="rId20"/>
        <a:srcRect l="2950" t="862" r="1932" b="1723"/>
        <a:stretch/>
      </xdr:blipFill>
      <xdr:spPr>
        <a:xfrm>
          <a:off x="2748646" y="65468497"/>
          <a:ext cx="2340429" cy="3075214"/>
        </a:xfrm>
        <a:prstGeom prst="rect">
          <a:avLst/>
        </a:prstGeom>
      </xdr:spPr>
    </xdr:pic>
    <xdr:clientData/>
  </xdr:twoCellAnchor>
  <xdr:twoCellAnchor editAs="oneCell">
    <xdr:from>
      <xdr:col>5</xdr:col>
      <xdr:colOff>145129</xdr:colOff>
      <xdr:row>442</xdr:row>
      <xdr:rowOff>99787</xdr:rowOff>
    </xdr:from>
    <xdr:to>
      <xdr:col>12</xdr:col>
      <xdr:colOff>154201</xdr:colOff>
      <xdr:row>449</xdr:row>
      <xdr:rowOff>176791</xdr:rowOff>
    </xdr:to>
    <xdr:pic>
      <xdr:nvPicPr>
        <xdr:cNvPr id="61" name="Picture 3163">
          <a:extLst>
            <a:ext uri="{FF2B5EF4-FFF2-40B4-BE49-F238E27FC236}">
              <a16:creationId xmlns:a16="http://schemas.microsoft.com/office/drawing/2014/main" id="{45C30C99-E403-4921-A1A2-A8EA23F43E74}"/>
            </a:ext>
          </a:extLst>
        </xdr:cNvPr>
        <xdr:cNvPicPr>
          <a:picLocks noChangeAspect="1" noChangeArrowheads="1"/>
        </xdr:cNvPicPr>
      </xdr:nvPicPr>
      <xdr:blipFill>
        <a:blip xmlns:r="http://schemas.openxmlformats.org/officeDocument/2006/relationships" r:embed="rId21"/>
        <a:srcRect l="18207" t="18346" r="19379" b="13669"/>
        <a:stretch>
          <a:fillRect/>
        </a:stretch>
      </xdr:blipFill>
      <xdr:spPr bwMode="auto">
        <a:xfrm>
          <a:off x="2875629" y="78014287"/>
          <a:ext cx="1850572" cy="1410504"/>
        </a:xfrm>
        <a:prstGeom prst="rect">
          <a:avLst/>
        </a:prstGeom>
        <a:noFill/>
        <a:ln w="9525">
          <a:noFill/>
          <a:miter lim="800000"/>
          <a:headEnd/>
          <a:tailEnd/>
        </a:ln>
      </xdr:spPr>
    </xdr:pic>
    <xdr:clientData/>
  </xdr:twoCellAnchor>
  <xdr:twoCellAnchor>
    <xdr:from>
      <xdr:col>7</xdr:col>
      <xdr:colOff>163287</xdr:colOff>
      <xdr:row>452</xdr:row>
      <xdr:rowOff>45357</xdr:rowOff>
    </xdr:from>
    <xdr:to>
      <xdr:col>12</xdr:col>
      <xdr:colOff>145144</xdr:colOff>
      <xdr:row>457</xdr:row>
      <xdr:rowOff>18143</xdr:rowOff>
    </xdr:to>
    <xdr:grpSp>
      <xdr:nvGrpSpPr>
        <xdr:cNvPr id="62" name="Group 1078">
          <a:extLst>
            <a:ext uri="{FF2B5EF4-FFF2-40B4-BE49-F238E27FC236}">
              <a16:creationId xmlns:a16="http://schemas.microsoft.com/office/drawing/2014/main" id="{3B77BBEE-731C-47F0-985E-8AB93BED32AD}"/>
            </a:ext>
          </a:extLst>
        </xdr:cNvPr>
        <xdr:cNvGrpSpPr>
          <a:grpSpLocks/>
        </xdr:cNvGrpSpPr>
      </xdr:nvGrpSpPr>
      <xdr:grpSpPr bwMode="auto">
        <a:xfrm>
          <a:off x="3384007" y="87299437"/>
          <a:ext cx="1302657" cy="937986"/>
          <a:chOff x="81" y="1311"/>
          <a:chExt cx="190" cy="215"/>
        </a:xfrm>
      </xdr:grpSpPr>
      <xdr:sp macro="" textlink="">
        <xdr:nvSpPr>
          <xdr:cNvPr id="63" name="Line 645">
            <a:extLst>
              <a:ext uri="{FF2B5EF4-FFF2-40B4-BE49-F238E27FC236}">
                <a16:creationId xmlns:a16="http://schemas.microsoft.com/office/drawing/2014/main" id="{4D4434C0-F108-4530-BE81-D3CB5E489207}"/>
              </a:ext>
            </a:extLst>
          </xdr:cNvPr>
          <xdr:cNvSpPr>
            <a:spLocks noChangeShapeType="1"/>
          </xdr:cNvSpPr>
        </xdr:nvSpPr>
        <xdr:spPr bwMode="auto">
          <a:xfrm>
            <a:off x="135" y="1327"/>
            <a:ext cx="0" cy="160"/>
          </a:xfrm>
          <a:prstGeom prst="line">
            <a:avLst/>
          </a:prstGeom>
          <a:noFill/>
          <a:ln w="9525">
            <a:solidFill>
              <a:srgbClr val="000000"/>
            </a:solidFill>
            <a:round/>
            <a:headEnd/>
            <a:tailEnd/>
          </a:ln>
        </xdr:spPr>
      </xdr:sp>
      <xdr:sp macro="" textlink="">
        <xdr:nvSpPr>
          <xdr:cNvPr id="64" name="Line 646">
            <a:extLst>
              <a:ext uri="{FF2B5EF4-FFF2-40B4-BE49-F238E27FC236}">
                <a16:creationId xmlns:a16="http://schemas.microsoft.com/office/drawing/2014/main" id="{DD4BFBA4-C89D-4193-8815-83C0CD0705B8}"/>
              </a:ext>
            </a:extLst>
          </xdr:cNvPr>
          <xdr:cNvSpPr>
            <a:spLocks noChangeShapeType="1"/>
          </xdr:cNvSpPr>
        </xdr:nvSpPr>
        <xdr:spPr bwMode="auto">
          <a:xfrm>
            <a:off x="156" y="1327"/>
            <a:ext cx="0" cy="160"/>
          </a:xfrm>
          <a:prstGeom prst="line">
            <a:avLst/>
          </a:prstGeom>
          <a:noFill/>
          <a:ln w="9525">
            <a:solidFill>
              <a:srgbClr val="000000"/>
            </a:solidFill>
            <a:round/>
            <a:headEnd/>
            <a:tailEnd/>
          </a:ln>
        </xdr:spPr>
      </xdr:sp>
      <xdr:sp macro="" textlink="">
        <xdr:nvSpPr>
          <xdr:cNvPr id="65" name="Line 647">
            <a:extLst>
              <a:ext uri="{FF2B5EF4-FFF2-40B4-BE49-F238E27FC236}">
                <a16:creationId xmlns:a16="http://schemas.microsoft.com/office/drawing/2014/main" id="{5161F43B-AABF-4265-9031-484E5D07CAE4}"/>
              </a:ext>
            </a:extLst>
          </xdr:cNvPr>
          <xdr:cNvSpPr>
            <a:spLocks noChangeShapeType="1"/>
          </xdr:cNvSpPr>
        </xdr:nvSpPr>
        <xdr:spPr bwMode="auto">
          <a:xfrm>
            <a:off x="130" y="1486"/>
            <a:ext cx="31" cy="0"/>
          </a:xfrm>
          <a:prstGeom prst="line">
            <a:avLst/>
          </a:prstGeom>
          <a:noFill/>
          <a:ln w="9525">
            <a:solidFill>
              <a:srgbClr val="000000"/>
            </a:solidFill>
            <a:round/>
            <a:headEnd/>
            <a:tailEnd/>
          </a:ln>
        </xdr:spPr>
      </xdr:sp>
      <xdr:sp macro="" textlink="">
        <xdr:nvSpPr>
          <xdr:cNvPr id="66" name="Line 648">
            <a:extLst>
              <a:ext uri="{FF2B5EF4-FFF2-40B4-BE49-F238E27FC236}">
                <a16:creationId xmlns:a16="http://schemas.microsoft.com/office/drawing/2014/main" id="{C527BBEE-DD83-4C93-945D-B9CF76E9005D}"/>
              </a:ext>
            </a:extLst>
          </xdr:cNvPr>
          <xdr:cNvSpPr>
            <a:spLocks noChangeShapeType="1"/>
          </xdr:cNvSpPr>
        </xdr:nvSpPr>
        <xdr:spPr bwMode="auto">
          <a:xfrm flipH="1">
            <a:off x="104" y="1485"/>
            <a:ext cx="26" cy="37"/>
          </a:xfrm>
          <a:prstGeom prst="line">
            <a:avLst/>
          </a:prstGeom>
          <a:noFill/>
          <a:ln w="9525">
            <a:solidFill>
              <a:srgbClr val="000000"/>
            </a:solidFill>
            <a:round/>
            <a:headEnd/>
            <a:tailEnd/>
          </a:ln>
        </xdr:spPr>
      </xdr:sp>
      <xdr:sp macro="" textlink="">
        <xdr:nvSpPr>
          <xdr:cNvPr id="67" name="Line 649">
            <a:extLst>
              <a:ext uri="{FF2B5EF4-FFF2-40B4-BE49-F238E27FC236}">
                <a16:creationId xmlns:a16="http://schemas.microsoft.com/office/drawing/2014/main" id="{62C38E12-9C99-4153-A2F6-560160548E52}"/>
              </a:ext>
            </a:extLst>
          </xdr:cNvPr>
          <xdr:cNvSpPr>
            <a:spLocks noChangeShapeType="1"/>
          </xdr:cNvSpPr>
        </xdr:nvSpPr>
        <xdr:spPr bwMode="auto">
          <a:xfrm>
            <a:off x="161" y="1486"/>
            <a:ext cx="28" cy="36"/>
          </a:xfrm>
          <a:prstGeom prst="line">
            <a:avLst/>
          </a:prstGeom>
          <a:noFill/>
          <a:ln w="9525">
            <a:solidFill>
              <a:srgbClr val="000000"/>
            </a:solidFill>
            <a:round/>
            <a:headEnd/>
            <a:tailEnd/>
          </a:ln>
        </xdr:spPr>
      </xdr:sp>
      <xdr:sp macro="" textlink="">
        <xdr:nvSpPr>
          <xdr:cNvPr id="68" name="Freeform 650">
            <a:extLst>
              <a:ext uri="{FF2B5EF4-FFF2-40B4-BE49-F238E27FC236}">
                <a16:creationId xmlns:a16="http://schemas.microsoft.com/office/drawing/2014/main" id="{ADD29E57-53DB-42D8-BAB4-6E1B172C7E9E}"/>
              </a:ext>
            </a:extLst>
          </xdr:cNvPr>
          <xdr:cNvSpPr>
            <a:spLocks/>
          </xdr:cNvSpPr>
        </xdr:nvSpPr>
        <xdr:spPr bwMode="auto">
          <a:xfrm>
            <a:off x="81" y="1508"/>
            <a:ext cx="133" cy="18"/>
          </a:xfrm>
          <a:custGeom>
            <a:avLst/>
            <a:gdLst>
              <a:gd name="T0" fmla="*/ 0 w 133"/>
              <a:gd name="T1" fmla="*/ 1 h 18"/>
              <a:gd name="T2" fmla="*/ 3 w 133"/>
              <a:gd name="T3" fmla="*/ 5 h 18"/>
              <a:gd name="T4" fmla="*/ 10 w 133"/>
              <a:gd name="T5" fmla="*/ 11 h 18"/>
              <a:gd name="T6" fmla="*/ 20 w 133"/>
              <a:gd name="T7" fmla="*/ 13 h 18"/>
              <a:gd name="T8" fmla="*/ 30 w 133"/>
              <a:gd name="T9" fmla="*/ 14 h 18"/>
              <a:gd name="T10" fmla="*/ 52 w 133"/>
              <a:gd name="T11" fmla="*/ 12 h 18"/>
              <a:gd name="T12" fmla="*/ 57 w 133"/>
              <a:gd name="T13" fmla="*/ 8 h 18"/>
              <a:gd name="T14" fmla="*/ 73 w 133"/>
              <a:gd name="T15" fmla="*/ 4 h 18"/>
              <a:gd name="T16" fmla="*/ 80 w 133"/>
              <a:gd name="T17" fmla="*/ 2 h 18"/>
              <a:gd name="T18" fmla="*/ 91 w 133"/>
              <a:gd name="T19" fmla="*/ 1 h 18"/>
              <a:gd name="T20" fmla="*/ 103 w 133"/>
              <a:gd name="T21" fmla="*/ 9 h 18"/>
              <a:gd name="T22" fmla="*/ 109 w 133"/>
              <a:gd name="T23" fmla="*/ 15 h 18"/>
              <a:gd name="T24" fmla="*/ 117 w 133"/>
              <a:gd name="T25" fmla="*/ 17 h 18"/>
              <a:gd name="T26" fmla="*/ 129 w 133"/>
              <a:gd name="T27" fmla="*/ 12 h 18"/>
              <a:gd name="T28" fmla="*/ 133 w 133"/>
              <a:gd name="T29" fmla="*/ 10 h 1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33"/>
              <a:gd name="T46" fmla="*/ 0 h 18"/>
              <a:gd name="T47" fmla="*/ 133 w 133"/>
              <a:gd name="T48" fmla="*/ 18 h 18"/>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33" h="18">
                <a:moveTo>
                  <a:pt x="0" y="1"/>
                </a:moveTo>
                <a:cubicBezTo>
                  <a:pt x="0" y="2"/>
                  <a:pt x="1" y="3"/>
                  <a:pt x="3" y="5"/>
                </a:cubicBezTo>
                <a:cubicBezTo>
                  <a:pt x="5" y="7"/>
                  <a:pt x="7" y="10"/>
                  <a:pt x="10" y="11"/>
                </a:cubicBezTo>
                <a:cubicBezTo>
                  <a:pt x="13" y="12"/>
                  <a:pt x="17" y="12"/>
                  <a:pt x="20" y="13"/>
                </a:cubicBezTo>
                <a:cubicBezTo>
                  <a:pt x="23" y="14"/>
                  <a:pt x="25" y="14"/>
                  <a:pt x="30" y="14"/>
                </a:cubicBezTo>
                <a:cubicBezTo>
                  <a:pt x="35" y="14"/>
                  <a:pt x="48" y="13"/>
                  <a:pt x="52" y="12"/>
                </a:cubicBezTo>
                <a:cubicBezTo>
                  <a:pt x="56" y="11"/>
                  <a:pt x="54" y="9"/>
                  <a:pt x="57" y="8"/>
                </a:cubicBezTo>
                <a:cubicBezTo>
                  <a:pt x="60" y="7"/>
                  <a:pt x="69" y="5"/>
                  <a:pt x="73" y="4"/>
                </a:cubicBezTo>
                <a:cubicBezTo>
                  <a:pt x="77" y="3"/>
                  <a:pt x="77" y="2"/>
                  <a:pt x="80" y="2"/>
                </a:cubicBezTo>
                <a:cubicBezTo>
                  <a:pt x="83" y="2"/>
                  <a:pt x="87" y="0"/>
                  <a:pt x="91" y="1"/>
                </a:cubicBezTo>
                <a:cubicBezTo>
                  <a:pt x="95" y="2"/>
                  <a:pt x="100" y="7"/>
                  <a:pt x="103" y="9"/>
                </a:cubicBezTo>
                <a:cubicBezTo>
                  <a:pt x="106" y="11"/>
                  <a:pt x="107" y="14"/>
                  <a:pt x="109" y="15"/>
                </a:cubicBezTo>
                <a:cubicBezTo>
                  <a:pt x="111" y="16"/>
                  <a:pt x="114" y="18"/>
                  <a:pt x="117" y="17"/>
                </a:cubicBezTo>
                <a:cubicBezTo>
                  <a:pt x="120" y="16"/>
                  <a:pt x="126" y="13"/>
                  <a:pt x="129" y="12"/>
                </a:cubicBezTo>
                <a:cubicBezTo>
                  <a:pt x="132" y="11"/>
                  <a:pt x="132" y="10"/>
                  <a:pt x="133" y="10"/>
                </a:cubicBezTo>
              </a:path>
            </a:pathLst>
          </a:custGeom>
          <a:noFill/>
          <a:ln w="9525">
            <a:solidFill>
              <a:srgbClr val="000000"/>
            </a:solidFill>
            <a:round/>
            <a:headEnd/>
            <a:tailEnd/>
          </a:ln>
        </xdr:spPr>
      </xdr:sp>
      <xdr:sp macro="" textlink="">
        <xdr:nvSpPr>
          <xdr:cNvPr id="69" name="Freeform 654">
            <a:extLst>
              <a:ext uri="{FF2B5EF4-FFF2-40B4-BE49-F238E27FC236}">
                <a16:creationId xmlns:a16="http://schemas.microsoft.com/office/drawing/2014/main" id="{51CF164A-D392-41B7-BF7D-CEA565087DCD}"/>
              </a:ext>
            </a:extLst>
          </xdr:cNvPr>
          <xdr:cNvSpPr>
            <a:spLocks/>
          </xdr:cNvSpPr>
        </xdr:nvSpPr>
        <xdr:spPr bwMode="auto">
          <a:xfrm>
            <a:off x="117" y="1332"/>
            <a:ext cx="51" cy="7"/>
          </a:xfrm>
          <a:custGeom>
            <a:avLst/>
            <a:gdLst>
              <a:gd name="T0" fmla="*/ 0 w 51"/>
              <a:gd name="T1" fmla="*/ 7 h 7"/>
              <a:gd name="T2" fmla="*/ 8 w 51"/>
              <a:gd name="T3" fmla="*/ 3 h 7"/>
              <a:gd name="T4" fmla="*/ 20 w 51"/>
              <a:gd name="T5" fmla="*/ 3 h 7"/>
              <a:gd name="T6" fmla="*/ 27 w 51"/>
              <a:gd name="T7" fmla="*/ 5 h 7"/>
              <a:gd name="T8" fmla="*/ 32 w 51"/>
              <a:gd name="T9" fmla="*/ 6 h 7"/>
              <a:gd name="T10" fmla="*/ 38 w 51"/>
              <a:gd name="T11" fmla="*/ 5 h 7"/>
              <a:gd name="T12" fmla="*/ 46 w 51"/>
              <a:gd name="T13" fmla="*/ 4 h 7"/>
              <a:gd name="T14" fmla="*/ 51 w 51"/>
              <a:gd name="T15" fmla="*/ 0 h 7"/>
              <a:gd name="T16" fmla="*/ 0 60000 65536"/>
              <a:gd name="T17" fmla="*/ 0 60000 65536"/>
              <a:gd name="T18" fmla="*/ 0 60000 65536"/>
              <a:gd name="T19" fmla="*/ 0 60000 65536"/>
              <a:gd name="T20" fmla="*/ 0 60000 65536"/>
              <a:gd name="T21" fmla="*/ 0 60000 65536"/>
              <a:gd name="T22" fmla="*/ 0 60000 65536"/>
              <a:gd name="T23" fmla="*/ 0 60000 65536"/>
              <a:gd name="T24" fmla="*/ 0 w 51"/>
              <a:gd name="T25" fmla="*/ 0 h 7"/>
              <a:gd name="T26" fmla="*/ 51 w 51"/>
              <a:gd name="T27" fmla="*/ 7 h 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51" h="7">
                <a:moveTo>
                  <a:pt x="0" y="7"/>
                </a:moveTo>
                <a:cubicBezTo>
                  <a:pt x="2" y="5"/>
                  <a:pt x="5" y="4"/>
                  <a:pt x="8" y="3"/>
                </a:cubicBezTo>
                <a:cubicBezTo>
                  <a:pt x="11" y="2"/>
                  <a:pt x="17" y="3"/>
                  <a:pt x="20" y="3"/>
                </a:cubicBezTo>
                <a:cubicBezTo>
                  <a:pt x="23" y="3"/>
                  <a:pt x="25" y="4"/>
                  <a:pt x="27" y="5"/>
                </a:cubicBezTo>
                <a:cubicBezTo>
                  <a:pt x="29" y="6"/>
                  <a:pt x="30" y="6"/>
                  <a:pt x="32" y="6"/>
                </a:cubicBezTo>
                <a:cubicBezTo>
                  <a:pt x="34" y="6"/>
                  <a:pt x="36" y="5"/>
                  <a:pt x="38" y="5"/>
                </a:cubicBezTo>
                <a:cubicBezTo>
                  <a:pt x="40" y="5"/>
                  <a:pt x="44" y="5"/>
                  <a:pt x="46" y="4"/>
                </a:cubicBezTo>
                <a:cubicBezTo>
                  <a:pt x="48" y="3"/>
                  <a:pt x="50" y="0"/>
                  <a:pt x="51" y="0"/>
                </a:cubicBezTo>
              </a:path>
            </a:pathLst>
          </a:custGeom>
          <a:noFill/>
          <a:ln w="9525">
            <a:solidFill>
              <a:srgbClr val="000000"/>
            </a:solidFill>
            <a:round/>
            <a:headEnd/>
            <a:tailEnd/>
          </a:ln>
        </xdr:spPr>
      </xdr:sp>
      <xdr:sp macro="" textlink="">
        <xdr:nvSpPr>
          <xdr:cNvPr id="70" name="Line 655">
            <a:extLst>
              <a:ext uri="{FF2B5EF4-FFF2-40B4-BE49-F238E27FC236}">
                <a16:creationId xmlns:a16="http://schemas.microsoft.com/office/drawing/2014/main" id="{CAAD3A34-60A1-4A0F-A598-55867F86F30D}"/>
              </a:ext>
            </a:extLst>
          </xdr:cNvPr>
          <xdr:cNvSpPr>
            <a:spLocks noChangeShapeType="1"/>
          </xdr:cNvSpPr>
        </xdr:nvSpPr>
        <xdr:spPr bwMode="auto">
          <a:xfrm>
            <a:off x="134" y="1460"/>
            <a:ext cx="23" cy="0"/>
          </a:xfrm>
          <a:prstGeom prst="line">
            <a:avLst/>
          </a:prstGeom>
          <a:noFill/>
          <a:ln w="9525">
            <a:solidFill>
              <a:srgbClr val="000000"/>
            </a:solidFill>
            <a:round/>
            <a:headEnd/>
            <a:tailEnd/>
          </a:ln>
        </xdr:spPr>
      </xdr:sp>
      <xdr:grpSp>
        <xdr:nvGrpSpPr>
          <xdr:cNvPr id="71" name="Group 664">
            <a:extLst>
              <a:ext uri="{FF2B5EF4-FFF2-40B4-BE49-F238E27FC236}">
                <a16:creationId xmlns:a16="http://schemas.microsoft.com/office/drawing/2014/main" id="{6C613810-75AB-45C3-A6ED-561C4F139544}"/>
              </a:ext>
            </a:extLst>
          </xdr:cNvPr>
          <xdr:cNvGrpSpPr>
            <a:grpSpLocks/>
          </xdr:cNvGrpSpPr>
        </xdr:nvGrpSpPr>
        <xdr:grpSpPr bwMode="auto">
          <a:xfrm>
            <a:off x="81" y="1323"/>
            <a:ext cx="133" cy="199"/>
            <a:chOff x="81" y="1327"/>
            <a:chExt cx="133" cy="195"/>
          </a:xfrm>
        </xdr:grpSpPr>
        <xdr:sp macro="" textlink="">
          <xdr:nvSpPr>
            <xdr:cNvPr id="176" name="Line 656">
              <a:extLst>
                <a:ext uri="{FF2B5EF4-FFF2-40B4-BE49-F238E27FC236}">
                  <a16:creationId xmlns:a16="http://schemas.microsoft.com/office/drawing/2014/main" id="{6DDAE263-D597-4EEB-A1FE-B87D78201E72}"/>
                </a:ext>
              </a:extLst>
            </xdr:cNvPr>
            <xdr:cNvSpPr>
              <a:spLocks noChangeShapeType="1"/>
            </xdr:cNvSpPr>
          </xdr:nvSpPr>
          <xdr:spPr bwMode="auto">
            <a:xfrm>
              <a:off x="135" y="1327"/>
              <a:ext cx="0" cy="156"/>
            </a:xfrm>
            <a:prstGeom prst="line">
              <a:avLst/>
            </a:prstGeom>
            <a:noFill/>
            <a:ln w="19050">
              <a:solidFill>
                <a:srgbClr val="000000"/>
              </a:solidFill>
              <a:round/>
              <a:headEnd/>
              <a:tailEnd/>
            </a:ln>
          </xdr:spPr>
        </xdr:sp>
        <xdr:sp macro="" textlink="">
          <xdr:nvSpPr>
            <xdr:cNvPr id="177" name="Line 657">
              <a:extLst>
                <a:ext uri="{FF2B5EF4-FFF2-40B4-BE49-F238E27FC236}">
                  <a16:creationId xmlns:a16="http://schemas.microsoft.com/office/drawing/2014/main" id="{BC3F7F2A-9881-45DE-AF9C-564275E32519}"/>
                </a:ext>
              </a:extLst>
            </xdr:cNvPr>
            <xdr:cNvSpPr>
              <a:spLocks noChangeShapeType="1"/>
            </xdr:cNvSpPr>
          </xdr:nvSpPr>
          <xdr:spPr bwMode="auto">
            <a:xfrm>
              <a:off x="156" y="1327"/>
              <a:ext cx="0" cy="156"/>
            </a:xfrm>
            <a:prstGeom prst="line">
              <a:avLst/>
            </a:prstGeom>
            <a:noFill/>
            <a:ln w="19050">
              <a:solidFill>
                <a:srgbClr val="000000"/>
              </a:solidFill>
              <a:round/>
              <a:headEnd/>
              <a:tailEnd/>
            </a:ln>
          </xdr:spPr>
        </xdr:sp>
        <xdr:sp macro="" textlink="">
          <xdr:nvSpPr>
            <xdr:cNvPr id="178" name="Line 658">
              <a:extLst>
                <a:ext uri="{FF2B5EF4-FFF2-40B4-BE49-F238E27FC236}">
                  <a16:creationId xmlns:a16="http://schemas.microsoft.com/office/drawing/2014/main" id="{A23EE9F3-7D23-482C-8216-B11247B6728C}"/>
                </a:ext>
              </a:extLst>
            </xdr:cNvPr>
            <xdr:cNvSpPr>
              <a:spLocks noChangeShapeType="1"/>
            </xdr:cNvSpPr>
          </xdr:nvSpPr>
          <xdr:spPr bwMode="auto">
            <a:xfrm>
              <a:off x="130" y="1482"/>
              <a:ext cx="31" cy="0"/>
            </a:xfrm>
            <a:prstGeom prst="line">
              <a:avLst/>
            </a:prstGeom>
            <a:noFill/>
            <a:ln w="19050">
              <a:solidFill>
                <a:srgbClr val="000000"/>
              </a:solidFill>
              <a:round/>
              <a:headEnd/>
              <a:tailEnd/>
            </a:ln>
          </xdr:spPr>
        </xdr:sp>
        <xdr:sp macro="" textlink="">
          <xdr:nvSpPr>
            <xdr:cNvPr id="179" name="Line 659">
              <a:extLst>
                <a:ext uri="{FF2B5EF4-FFF2-40B4-BE49-F238E27FC236}">
                  <a16:creationId xmlns:a16="http://schemas.microsoft.com/office/drawing/2014/main" id="{921401FD-81C4-4213-B767-BD5344749EE6}"/>
                </a:ext>
              </a:extLst>
            </xdr:cNvPr>
            <xdr:cNvSpPr>
              <a:spLocks noChangeShapeType="1"/>
            </xdr:cNvSpPr>
          </xdr:nvSpPr>
          <xdr:spPr bwMode="auto">
            <a:xfrm flipH="1">
              <a:off x="104" y="1481"/>
              <a:ext cx="26" cy="37"/>
            </a:xfrm>
            <a:prstGeom prst="line">
              <a:avLst/>
            </a:prstGeom>
            <a:noFill/>
            <a:ln w="19050">
              <a:solidFill>
                <a:srgbClr val="000000"/>
              </a:solidFill>
              <a:round/>
              <a:headEnd/>
              <a:tailEnd/>
            </a:ln>
          </xdr:spPr>
        </xdr:sp>
        <xdr:sp macro="" textlink="">
          <xdr:nvSpPr>
            <xdr:cNvPr id="180" name="Line 660">
              <a:extLst>
                <a:ext uri="{FF2B5EF4-FFF2-40B4-BE49-F238E27FC236}">
                  <a16:creationId xmlns:a16="http://schemas.microsoft.com/office/drawing/2014/main" id="{C2571158-3C70-4330-8D83-2A63C8E8EF6D}"/>
                </a:ext>
              </a:extLst>
            </xdr:cNvPr>
            <xdr:cNvSpPr>
              <a:spLocks noChangeShapeType="1"/>
            </xdr:cNvSpPr>
          </xdr:nvSpPr>
          <xdr:spPr bwMode="auto">
            <a:xfrm>
              <a:off x="161" y="1482"/>
              <a:ext cx="28" cy="36"/>
            </a:xfrm>
            <a:prstGeom prst="line">
              <a:avLst/>
            </a:prstGeom>
            <a:noFill/>
            <a:ln w="19050">
              <a:solidFill>
                <a:srgbClr val="000000"/>
              </a:solidFill>
              <a:round/>
              <a:headEnd/>
              <a:tailEnd/>
            </a:ln>
          </xdr:spPr>
        </xdr:sp>
        <xdr:sp macro="" textlink="">
          <xdr:nvSpPr>
            <xdr:cNvPr id="181" name="Freeform 661">
              <a:extLst>
                <a:ext uri="{FF2B5EF4-FFF2-40B4-BE49-F238E27FC236}">
                  <a16:creationId xmlns:a16="http://schemas.microsoft.com/office/drawing/2014/main" id="{109E0ED4-782A-447A-8A73-59AD0413FD8E}"/>
                </a:ext>
              </a:extLst>
            </xdr:cNvPr>
            <xdr:cNvSpPr>
              <a:spLocks/>
            </xdr:cNvSpPr>
          </xdr:nvSpPr>
          <xdr:spPr bwMode="auto">
            <a:xfrm>
              <a:off x="81" y="1504"/>
              <a:ext cx="133" cy="18"/>
            </a:xfrm>
            <a:custGeom>
              <a:avLst/>
              <a:gdLst>
                <a:gd name="T0" fmla="*/ 0 w 133"/>
                <a:gd name="T1" fmla="*/ 1 h 18"/>
                <a:gd name="T2" fmla="*/ 3 w 133"/>
                <a:gd name="T3" fmla="*/ 5 h 18"/>
                <a:gd name="T4" fmla="*/ 10 w 133"/>
                <a:gd name="T5" fmla="*/ 11 h 18"/>
                <a:gd name="T6" fmla="*/ 20 w 133"/>
                <a:gd name="T7" fmla="*/ 13 h 18"/>
                <a:gd name="T8" fmla="*/ 30 w 133"/>
                <a:gd name="T9" fmla="*/ 14 h 18"/>
                <a:gd name="T10" fmla="*/ 52 w 133"/>
                <a:gd name="T11" fmla="*/ 12 h 18"/>
                <a:gd name="T12" fmla="*/ 57 w 133"/>
                <a:gd name="T13" fmla="*/ 8 h 18"/>
                <a:gd name="T14" fmla="*/ 73 w 133"/>
                <a:gd name="T15" fmla="*/ 4 h 18"/>
                <a:gd name="T16" fmla="*/ 80 w 133"/>
                <a:gd name="T17" fmla="*/ 2 h 18"/>
                <a:gd name="T18" fmla="*/ 91 w 133"/>
                <a:gd name="T19" fmla="*/ 1 h 18"/>
                <a:gd name="T20" fmla="*/ 103 w 133"/>
                <a:gd name="T21" fmla="*/ 9 h 18"/>
                <a:gd name="T22" fmla="*/ 109 w 133"/>
                <a:gd name="T23" fmla="*/ 15 h 18"/>
                <a:gd name="T24" fmla="*/ 117 w 133"/>
                <a:gd name="T25" fmla="*/ 17 h 18"/>
                <a:gd name="T26" fmla="*/ 129 w 133"/>
                <a:gd name="T27" fmla="*/ 12 h 18"/>
                <a:gd name="T28" fmla="*/ 133 w 133"/>
                <a:gd name="T29" fmla="*/ 10 h 1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33"/>
                <a:gd name="T46" fmla="*/ 0 h 18"/>
                <a:gd name="T47" fmla="*/ 133 w 133"/>
                <a:gd name="T48" fmla="*/ 18 h 18"/>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33" h="18">
                  <a:moveTo>
                    <a:pt x="0" y="1"/>
                  </a:moveTo>
                  <a:cubicBezTo>
                    <a:pt x="0" y="2"/>
                    <a:pt x="1" y="3"/>
                    <a:pt x="3" y="5"/>
                  </a:cubicBezTo>
                  <a:cubicBezTo>
                    <a:pt x="5" y="7"/>
                    <a:pt x="7" y="10"/>
                    <a:pt x="10" y="11"/>
                  </a:cubicBezTo>
                  <a:cubicBezTo>
                    <a:pt x="13" y="12"/>
                    <a:pt x="17" y="12"/>
                    <a:pt x="20" y="13"/>
                  </a:cubicBezTo>
                  <a:cubicBezTo>
                    <a:pt x="23" y="14"/>
                    <a:pt x="25" y="14"/>
                    <a:pt x="30" y="14"/>
                  </a:cubicBezTo>
                  <a:cubicBezTo>
                    <a:pt x="35" y="14"/>
                    <a:pt x="48" y="13"/>
                    <a:pt x="52" y="12"/>
                  </a:cubicBezTo>
                  <a:cubicBezTo>
                    <a:pt x="56" y="11"/>
                    <a:pt x="54" y="9"/>
                    <a:pt x="57" y="8"/>
                  </a:cubicBezTo>
                  <a:cubicBezTo>
                    <a:pt x="60" y="7"/>
                    <a:pt x="69" y="5"/>
                    <a:pt x="73" y="4"/>
                  </a:cubicBezTo>
                  <a:cubicBezTo>
                    <a:pt x="77" y="3"/>
                    <a:pt x="77" y="2"/>
                    <a:pt x="80" y="2"/>
                  </a:cubicBezTo>
                  <a:cubicBezTo>
                    <a:pt x="83" y="2"/>
                    <a:pt x="87" y="0"/>
                    <a:pt x="91" y="1"/>
                  </a:cubicBezTo>
                  <a:cubicBezTo>
                    <a:pt x="95" y="2"/>
                    <a:pt x="100" y="7"/>
                    <a:pt x="103" y="9"/>
                  </a:cubicBezTo>
                  <a:cubicBezTo>
                    <a:pt x="106" y="11"/>
                    <a:pt x="107" y="14"/>
                    <a:pt x="109" y="15"/>
                  </a:cubicBezTo>
                  <a:cubicBezTo>
                    <a:pt x="111" y="16"/>
                    <a:pt x="114" y="18"/>
                    <a:pt x="117" y="17"/>
                  </a:cubicBezTo>
                  <a:cubicBezTo>
                    <a:pt x="120" y="16"/>
                    <a:pt x="126" y="13"/>
                    <a:pt x="129" y="12"/>
                  </a:cubicBezTo>
                  <a:cubicBezTo>
                    <a:pt x="132" y="11"/>
                    <a:pt x="132" y="10"/>
                    <a:pt x="133" y="10"/>
                  </a:cubicBezTo>
                </a:path>
              </a:pathLst>
            </a:custGeom>
            <a:noFill/>
            <a:ln w="19050">
              <a:solidFill>
                <a:srgbClr val="000000"/>
              </a:solidFill>
              <a:round/>
              <a:headEnd/>
              <a:tailEnd/>
            </a:ln>
          </xdr:spPr>
        </xdr:sp>
        <xdr:sp macro="" textlink="">
          <xdr:nvSpPr>
            <xdr:cNvPr id="182" name="Freeform 662">
              <a:extLst>
                <a:ext uri="{FF2B5EF4-FFF2-40B4-BE49-F238E27FC236}">
                  <a16:creationId xmlns:a16="http://schemas.microsoft.com/office/drawing/2014/main" id="{109DC072-F627-45AD-BB2A-2051789488AF}"/>
                </a:ext>
              </a:extLst>
            </xdr:cNvPr>
            <xdr:cNvSpPr>
              <a:spLocks/>
            </xdr:cNvSpPr>
          </xdr:nvSpPr>
          <xdr:spPr bwMode="auto">
            <a:xfrm>
              <a:off x="117" y="1332"/>
              <a:ext cx="51" cy="7"/>
            </a:xfrm>
            <a:custGeom>
              <a:avLst/>
              <a:gdLst>
                <a:gd name="T0" fmla="*/ 0 w 51"/>
                <a:gd name="T1" fmla="*/ 7 h 7"/>
                <a:gd name="T2" fmla="*/ 8 w 51"/>
                <a:gd name="T3" fmla="*/ 3 h 7"/>
                <a:gd name="T4" fmla="*/ 20 w 51"/>
                <a:gd name="T5" fmla="*/ 3 h 7"/>
                <a:gd name="T6" fmla="*/ 27 w 51"/>
                <a:gd name="T7" fmla="*/ 5 h 7"/>
                <a:gd name="T8" fmla="*/ 32 w 51"/>
                <a:gd name="T9" fmla="*/ 6 h 7"/>
                <a:gd name="T10" fmla="*/ 38 w 51"/>
                <a:gd name="T11" fmla="*/ 5 h 7"/>
                <a:gd name="T12" fmla="*/ 46 w 51"/>
                <a:gd name="T13" fmla="*/ 4 h 7"/>
                <a:gd name="T14" fmla="*/ 51 w 51"/>
                <a:gd name="T15" fmla="*/ 0 h 7"/>
                <a:gd name="T16" fmla="*/ 0 60000 65536"/>
                <a:gd name="T17" fmla="*/ 0 60000 65536"/>
                <a:gd name="T18" fmla="*/ 0 60000 65536"/>
                <a:gd name="T19" fmla="*/ 0 60000 65536"/>
                <a:gd name="T20" fmla="*/ 0 60000 65536"/>
                <a:gd name="T21" fmla="*/ 0 60000 65536"/>
                <a:gd name="T22" fmla="*/ 0 60000 65536"/>
                <a:gd name="T23" fmla="*/ 0 60000 65536"/>
                <a:gd name="T24" fmla="*/ 0 w 51"/>
                <a:gd name="T25" fmla="*/ 0 h 7"/>
                <a:gd name="T26" fmla="*/ 51 w 51"/>
                <a:gd name="T27" fmla="*/ 7 h 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51" h="7">
                  <a:moveTo>
                    <a:pt x="0" y="7"/>
                  </a:moveTo>
                  <a:cubicBezTo>
                    <a:pt x="2" y="5"/>
                    <a:pt x="5" y="4"/>
                    <a:pt x="8" y="3"/>
                  </a:cubicBezTo>
                  <a:cubicBezTo>
                    <a:pt x="11" y="2"/>
                    <a:pt x="17" y="3"/>
                    <a:pt x="20" y="3"/>
                  </a:cubicBezTo>
                  <a:cubicBezTo>
                    <a:pt x="23" y="3"/>
                    <a:pt x="25" y="4"/>
                    <a:pt x="27" y="5"/>
                  </a:cubicBezTo>
                  <a:cubicBezTo>
                    <a:pt x="29" y="6"/>
                    <a:pt x="30" y="6"/>
                    <a:pt x="32" y="6"/>
                  </a:cubicBezTo>
                  <a:cubicBezTo>
                    <a:pt x="34" y="6"/>
                    <a:pt x="36" y="5"/>
                    <a:pt x="38" y="5"/>
                  </a:cubicBezTo>
                  <a:cubicBezTo>
                    <a:pt x="40" y="5"/>
                    <a:pt x="44" y="5"/>
                    <a:pt x="46" y="4"/>
                  </a:cubicBezTo>
                  <a:cubicBezTo>
                    <a:pt x="48" y="3"/>
                    <a:pt x="50" y="0"/>
                    <a:pt x="51" y="0"/>
                  </a:cubicBezTo>
                </a:path>
              </a:pathLst>
            </a:custGeom>
            <a:noFill/>
            <a:ln w="19050">
              <a:solidFill>
                <a:srgbClr val="000000"/>
              </a:solidFill>
              <a:round/>
              <a:headEnd/>
              <a:tailEnd/>
            </a:ln>
          </xdr:spPr>
        </xdr:sp>
        <xdr:sp macro="" textlink="">
          <xdr:nvSpPr>
            <xdr:cNvPr id="183" name="Line 663">
              <a:extLst>
                <a:ext uri="{FF2B5EF4-FFF2-40B4-BE49-F238E27FC236}">
                  <a16:creationId xmlns:a16="http://schemas.microsoft.com/office/drawing/2014/main" id="{DC8E27A1-A359-418E-8026-A25ADC46751E}"/>
                </a:ext>
              </a:extLst>
            </xdr:cNvPr>
            <xdr:cNvSpPr>
              <a:spLocks noChangeShapeType="1"/>
            </xdr:cNvSpPr>
          </xdr:nvSpPr>
          <xdr:spPr bwMode="auto">
            <a:xfrm>
              <a:off x="134" y="1456"/>
              <a:ext cx="23" cy="0"/>
            </a:xfrm>
            <a:prstGeom prst="line">
              <a:avLst/>
            </a:prstGeom>
            <a:noFill/>
            <a:ln w="19050">
              <a:solidFill>
                <a:srgbClr val="000000"/>
              </a:solidFill>
              <a:round/>
              <a:headEnd/>
              <a:tailEnd/>
            </a:ln>
          </xdr:spPr>
        </xdr:sp>
      </xdr:grpSp>
      <xdr:sp macro="" textlink="">
        <xdr:nvSpPr>
          <xdr:cNvPr id="72" name="Line 674">
            <a:extLst>
              <a:ext uri="{FF2B5EF4-FFF2-40B4-BE49-F238E27FC236}">
                <a16:creationId xmlns:a16="http://schemas.microsoft.com/office/drawing/2014/main" id="{81D64FB7-8037-4592-9EE1-BB6ED4D90D9B}"/>
              </a:ext>
            </a:extLst>
          </xdr:cNvPr>
          <xdr:cNvSpPr>
            <a:spLocks noChangeShapeType="1"/>
          </xdr:cNvSpPr>
        </xdr:nvSpPr>
        <xdr:spPr bwMode="auto">
          <a:xfrm>
            <a:off x="135" y="1369"/>
            <a:ext cx="22" cy="0"/>
          </a:xfrm>
          <a:prstGeom prst="line">
            <a:avLst/>
          </a:prstGeom>
          <a:noFill/>
          <a:ln w="9525">
            <a:solidFill>
              <a:srgbClr val="000000"/>
            </a:solidFill>
            <a:round/>
            <a:headEnd/>
            <a:tailEnd/>
          </a:ln>
        </xdr:spPr>
      </xdr:sp>
      <xdr:sp macro="" textlink="">
        <xdr:nvSpPr>
          <xdr:cNvPr id="73" name="Line 677">
            <a:extLst>
              <a:ext uri="{FF2B5EF4-FFF2-40B4-BE49-F238E27FC236}">
                <a16:creationId xmlns:a16="http://schemas.microsoft.com/office/drawing/2014/main" id="{7281417B-F06D-4F7B-AEFA-97D208073952}"/>
              </a:ext>
            </a:extLst>
          </xdr:cNvPr>
          <xdr:cNvSpPr>
            <a:spLocks noChangeShapeType="1"/>
          </xdr:cNvSpPr>
        </xdr:nvSpPr>
        <xdr:spPr bwMode="auto">
          <a:xfrm>
            <a:off x="138" y="1484"/>
            <a:ext cx="15" cy="0"/>
          </a:xfrm>
          <a:prstGeom prst="line">
            <a:avLst/>
          </a:prstGeom>
          <a:noFill/>
          <a:ln w="9525">
            <a:solidFill>
              <a:srgbClr val="000000"/>
            </a:solidFill>
            <a:round/>
            <a:headEnd/>
            <a:tailEnd/>
          </a:ln>
        </xdr:spPr>
      </xdr:sp>
      <xdr:sp macro="" textlink="">
        <xdr:nvSpPr>
          <xdr:cNvPr id="74" name="Line 685">
            <a:extLst>
              <a:ext uri="{FF2B5EF4-FFF2-40B4-BE49-F238E27FC236}">
                <a16:creationId xmlns:a16="http://schemas.microsoft.com/office/drawing/2014/main" id="{6E59E69F-FDDC-4ED1-9093-61FE46714413}"/>
              </a:ext>
            </a:extLst>
          </xdr:cNvPr>
          <xdr:cNvSpPr>
            <a:spLocks noChangeShapeType="1"/>
          </xdr:cNvSpPr>
        </xdr:nvSpPr>
        <xdr:spPr bwMode="auto">
          <a:xfrm flipV="1">
            <a:off x="136" y="1369"/>
            <a:ext cx="16" cy="9"/>
          </a:xfrm>
          <a:prstGeom prst="line">
            <a:avLst/>
          </a:prstGeom>
          <a:noFill/>
          <a:ln w="9525">
            <a:solidFill>
              <a:srgbClr val="000000"/>
            </a:solidFill>
            <a:round/>
            <a:headEnd/>
            <a:tailEnd/>
          </a:ln>
        </xdr:spPr>
      </xdr:sp>
      <xdr:sp macro="" textlink="">
        <xdr:nvSpPr>
          <xdr:cNvPr id="75" name="Line 686">
            <a:extLst>
              <a:ext uri="{FF2B5EF4-FFF2-40B4-BE49-F238E27FC236}">
                <a16:creationId xmlns:a16="http://schemas.microsoft.com/office/drawing/2014/main" id="{ABD6F27B-C7C0-4CEF-8B44-CF4EA8E07F9C}"/>
              </a:ext>
            </a:extLst>
          </xdr:cNvPr>
          <xdr:cNvSpPr>
            <a:spLocks noChangeShapeType="1"/>
          </xdr:cNvSpPr>
        </xdr:nvSpPr>
        <xdr:spPr bwMode="auto">
          <a:xfrm flipV="1">
            <a:off x="135" y="1374"/>
            <a:ext cx="21" cy="13"/>
          </a:xfrm>
          <a:prstGeom prst="line">
            <a:avLst/>
          </a:prstGeom>
          <a:noFill/>
          <a:ln w="9525">
            <a:solidFill>
              <a:srgbClr val="000000"/>
            </a:solidFill>
            <a:round/>
            <a:headEnd/>
            <a:tailEnd/>
          </a:ln>
        </xdr:spPr>
      </xdr:sp>
      <xdr:sp macro="" textlink="">
        <xdr:nvSpPr>
          <xdr:cNvPr id="76" name="Line 687">
            <a:extLst>
              <a:ext uri="{FF2B5EF4-FFF2-40B4-BE49-F238E27FC236}">
                <a16:creationId xmlns:a16="http://schemas.microsoft.com/office/drawing/2014/main" id="{B454B2CD-5951-4915-9CA1-16323502F4BF}"/>
              </a:ext>
            </a:extLst>
          </xdr:cNvPr>
          <xdr:cNvSpPr>
            <a:spLocks noChangeShapeType="1"/>
          </xdr:cNvSpPr>
        </xdr:nvSpPr>
        <xdr:spPr bwMode="auto">
          <a:xfrm flipV="1">
            <a:off x="135" y="1383"/>
            <a:ext cx="21" cy="14"/>
          </a:xfrm>
          <a:prstGeom prst="line">
            <a:avLst/>
          </a:prstGeom>
          <a:noFill/>
          <a:ln w="9525">
            <a:solidFill>
              <a:srgbClr val="000000"/>
            </a:solidFill>
            <a:round/>
            <a:headEnd/>
            <a:tailEnd/>
          </a:ln>
        </xdr:spPr>
      </xdr:sp>
      <xdr:sp macro="" textlink="">
        <xdr:nvSpPr>
          <xdr:cNvPr id="77" name="Line 688">
            <a:extLst>
              <a:ext uri="{FF2B5EF4-FFF2-40B4-BE49-F238E27FC236}">
                <a16:creationId xmlns:a16="http://schemas.microsoft.com/office/drawing/2014/main" id="{8A3354BA-0B35-4DB6-A634-2D09D8E78492}"/>
              </a:ext>
            </a:extLst>
          </xdr:cNvPr>
          <xdr:cNvSpPr>
            <a:spLocks noChangeShapeType="1"/>
          </xdr:cNvSpPr>
        </xdr:nvSpPr>
        <xdr:spPr bwMode="auto">
          <a:xfrm flipV="1">
            <a:off x="135" y="1394"/>
            <a:ext cx="21" cy="14"/>
          </a:xfrm>
          <a:prstGeom prst="line">
            <a:avLst/>
          </a:prstGeom>
          <a:noFill/>
          <a:ln w="9525">
            <a:solidFill>
              <a:srgbClr val="000000"/>
            </a:solidFill>
            <a:round/>
            <a:headEnd/>
            <a:tailEnd/>
          </a:ln>
        </xdr:spPr>
      </xdr:sp>
      <xdr:sp macro="" textlink="">
        <xdr:nvSpPr>
          <xdr:cNvPr id="78" name="Line 689">
            <a:extLst>
              <a:ext uri="{FF2B5EF4-FFF2-40B4-BE49-F238E27FC236}">
                <a16:creationId xmlns:a16="http://schemas.microsoft.com/office/drawing/2014/main" id="{33FD6A85-286A-4454-9530-2B4AB6731824}"/>
              </a:ext>
            </a:extLst>
          </xdr:cNvPr>
          <xdr:cNvSpPr>
            <a:spLocks noChangeShapeType="1"/>
          </xdr:cNvSpPr>
        </xdr:nvSpPr>
        <xdr:spPr bwMode="auto">
          <a:xfrm flipV="1">
            <a:off x="135" y="1404"/>
            <a:ext cx="21" cy="14"/>
          </a:xfrm>
          <a:prstGeom prst="line">
            <a:avLst/>
          </a:prstGeom>
          <a:noFill/>
          <a:ln w="9525">
            <a:solidFill>
              <a:srgbClr val="000000"/>
            </a:solidFill>
            <a:round/>
            <a:headEnd/>
            <a:tailEnd/>
          </a:ln>
        </xdr:spPr>
      </xdr:sp>
      <xdr:sp macro="" textlink="">
        <xdr:nvSpPr>
          <xdr:cNvPr id="79" name="Line 690">
            <a:extLst>
              <a:ext uri="{FF2B5EF4-FFF2-40B4-BE49-F238E27FC236}">
                <a16:creationId xmlns:a16="http://schemas.microsoft.com/office/drawing/2014/main" id="{8C4E5FB0-8A45-4144-A18F-577986B6C93A}"/>
              </a:ext>
            </a:extLst>
          </xdr:cNvPr>
          <xdr:cNvSpPr>
            <a:spLocks noChangeShapeType="1"/>
          </xdr:cNvSpPr>
        </xdr:nvSpPr>
        <xdr:spPr bwMode="auto">
          <a:xfrm flipV="1">
            <a:off x="135" y="1414"/>
            <a:ext cx="21" cy="18"/>
          </a:xfrm>
          <a:prstGeom prst="line">
            <a:avLst/>
          </a:prstGeom>
          <a:noFill/>
          <a:ln w="9525">
            <a:solidFill>
              <a:srgbClr val="000000"/>
            </a:solidFill>
            <a:round/>
            <a:headEnd/>
            <a:tailEnd/>
          </a:ln>
        </xdr:spPr>
      </xdr:sp>
      <xdr:sp macro="" textlink="">
        <xdr:nvSpPr>
          <xdr:cNvPr id="80" name="Line 691">
            <a:extLst>
              <a:ext uri="{FF2B5EF4-FFF2-40B4-BE49-F238E27FC236}">
                <a16:creationId xmlns:a16="http://schemas.microsoft.com/office/drawing/2014/main" id="{EE23AEB1-BF26-43F3-98F5-B94B955D9908}"/>
              </a:ext>
            </a:extLst>
          </xdr:cNvPr>
          <xdr:cNvSpPr>
            <a:spLocks noChangeShapeType="1"/>
          </xdr:cNvSpPr>
        </xdr:nvSpPr>
        <xdr:spPr bwMode="auto">
          <a:xfrm flipV="1">
            <a:off x="135" y="1424"/>
            <a:ext cx="21" cy="18"/>
          </a:xfrm>
          <a:prstGeom prst="line">
            <a:avLst/>
          </a:prstGeom>
          <a:noFill/>
          <a:ln w="9525">
            <a:solidFill>
              <a:srgbClr val="000000"/>
            </a:solidFill>
            <a:round/>
            <a:headEnd/>
            <a:tailEnd/>
          </a:ln>
        </xdr:spPr>
      </xdr:sp>
      <xdr:sp macro="" textlink="">
        <xdr:nvSpPr>
          <xdr:cNvPr id="81" name="Line 692">
            <a:extLst>
              <a:ext uri="{FF2B5EF4-FFF2-40B4-BE49-F238E27FC236}">
                <a16:creationId xmlns:a16="http://schemas.microsoft.com/office/drawing/2014/main" id="{F549255D-B382-47C7-A2C3-84267FBADDB6}"/>
              </a:ext>
            </a:extLst>
          </xdr:cNvPr>
          <xdr:cNvSpPr>
            <a:spLocks noChangeShapeType="1"/>
          </xdr:cNvSpPr>
        </xdr:nvSpPr>
        <xdr:spPr bwMode="auto">
          <a:xfrm flipV="1">
            <a:off x="136" y="1436"/>
            <a:ext cx="20" cy="14"/>
          </a:xfrm>
          <a:prstGeom prst="line">
            <a:avLst/>
          </a:prstGeom>
          <a:noFill/>
          <a:ln w="9525">
            <a:solidFill>
              <a:srgbClr val="000000"/>
            </a:solidFill>
            <a:round/>
            <a:headEnd/>
            <a:tailEnd/>
          </a:ln>
        </xdr:spPr>
      </xdr:sp>
      <xdr:sp macro="" textlink="">
        <xdr:nvSpPr>
          <xdr:cNvPr id="82" name="Line 694">
            <a:extLst>
              <a:ext uri="{FF2B5EF4-FFF2-40B4-BE49-F238E27FC236}">
                <a16:creationId xmlns:a16="http://schemas.microsoft.com/office/drawing/2014/main" id="{A7130C31-4EE4-4FA6-B20C-DFFF62EFBA29}"/>
              </a:ext>
            </a:extLst>
          </xdr:cNvPr>
          <xdr:cNvSpPr>
            <a:spLocks noChangeShapeType="1"/>
          </xdr:cNvSpPr>
        </xdr:nvSpPr>
        <xdr:spPr bwMode="auto">
          <a:xfrm flipV="1">
            <a:off x="147" y="1454"/>
            <a:ext cx="9" cy="5"/>
          </a:xfrm>
          <a:prstGeom prst="line">
            <a:avLst/>
          </a:prstGeom>
          <a:noFill/>
          <a:ln w="9525">
            <a:solidFill>
              <a:srgbClr val="000000"/>
            </a:solidFill>
            <a:round/>
            <a:headEnd/>
            <a:tailEnd/>
          </a:ln>
        </xdr:spPr>
      </xdr:sp>
      <xdr:sp macro="" textlink="">
        <xdr:nvSpPr>
          <xdr:cNvPr id="83" name="Line 695">
            <a:extLst>
              <a:ext uri="{FF2B5EF4-FFF2-40B4-BE49-F238E27FC236}">
                <a16:creationId xmlns:a16="http://schemas.microsoft.com/office/drawing/2014/main" id="{196BB86A-CBE4-40D4-ACAB-F2B37E6BDAAC}"/>
              </a:ext>
            </a:extLst>
          </xdr:cNvPr>
          <xdr:cNvSpPr>
            <a:spLocks noChangeShapeType="1"/>
          </xdr:cNvSpPr>
        </xdr:nvSpPr>
        <xdr:spPr bwMode="auto">
          <a:xfrm>
            <a:off x="135" y="1373"/>
            <a:ext cx="21" cy="12"/>
          </a:xfrm>
          <a:prstGeom prst="line">
            <a:avLst/>
          </a:prstGeom>
          <a:noFill/>
          <a:ln w="9525">
            <a:solidFill>
              <a:srgbClr val="000000"/>
            </a:solidFill>
            <a:round/>
            <a:headEnd/>
            <a:tailEnd/>
          </a:ln>
        </xdr:spPr>
      </xdr:sp>
      <xdr:sp macro="" textlink="">
        <xdr:nvSpPr>
          <xdr:cNvPr id="84" name="Line 696">
            <a:extLst>
              <a:ext uri="{FF2B5EF4-FFF2-40B4-BE49-F238E27FC236}">
                <a16:creationId xmlns:a16="http://schemas.microsoft.com/office/drawing/2014/main" id="{F71B59BA-566D-4957-8E09-D2C6C3FC3CF9}"/>
              </a:ext>
            </a:extLst>
          </xdr:cNvPr>
          <xdr:cNvSpPr>
            <a:spLocks noChangeShapeType="1"/>
          </xdr:cNvSpPr>
        </xdr:nvSpPr>
        <xdr:spPr bwMode="auto">
          <a:xfrm>
            <a:off x="144" y="1369"/>
            <a:ext cx="13" cy="8"/>
          </a:xfrm>
          <a:prstGeom prst="line">
            <a:avLst/>
          </a:prstGeom>
          <a:noFill/>
          <a:ln w="9525">
            <a:solidFill>
              <a:srgbClr val="000000"/>
            </a:solidFill>
            <a:round/>
            <a:headEnd/>
            <a:tailEnd/>
          </a:ln>
        </xdr:spPr>
      </xdr:sp>
      <xdr:sp macro="" textlink="">
        <xdr:nvSpPr>
          <xdr:cNvPr id="85" name="Line 697">
            <a:extLst>
              <a:ext uri="{FF2B5EF4-FFF2-40B4-BE49-F238E27FC236}">
                <a16:creationId xmlns:a16="http://schemas.microsoft.com/office/drawing/2014/main" id="{B2F86692-6AC7-4029-A64B-BA66600A63D4}"/>
              </a:ext>
            </a:extLst>
          </xdr:cNvPr>
          <xdr:cNvSpPr>
            <a:spLocks noChangeShapeType="1"/>
          </xdr:cNvSpPr>
        </xdr:nvSpPr>
        <xdr:spPr bwMode="auto">
          <a:xfrm>
            <a:off x="135" y="1382"/>
            <a:ext cx="21" cy="14"/>
          </a:xfrm>
          <a:prstGeom prst="line">
            <a:avLst/>
          </a:prstGeom>
          <a:noFill/>
          <a:ln w="9525">
            <a:solidFill>
              <a:srgbClr val="000000"/>
            </a:solidFill>
            <a:round/>
            <a:headEnd/>
            <a:tailEnd/>
          </a:ln>
        </xdr:spPr>
      </xdr:sp>
      <xdr:sp macro="" textlink="">
        <xdr:nvSpPr>
          <xdr:cNvPr id="86" name="Line 698">
            <a:extLst>
              <a:ext uri="{FF2B5EF4-FFF2-40B4-BE49-F238E27FC236}">
                <a16:creationId xmlns:a16="http://schemas.microsoft.com/office/drawing/2014/main" id="{D9E15DCC-FE5B-4364-A1E8-4700BEBEDF4B}"/>
              </a:ext>
            </a:extLst>
          </xdr:cNvPr>
          <xdr:cNvSpPr>
            <a:spLocks noChangeShapeType="1"/>
          </xdr:cNvSpPr>
        </xdr:nvSpPr>
        <xdr:spPr bwMode="auto">
          <a:xfrm>
            <a:off x="135" y="1393"/>
            <a:ext cx="22" cy="15"/>
          </a:xfrm>
          <a:prstGeom prst="line">
            <a:avLst/>
          </a:prstGeom>
          <a:noFill/>
          <a:ln w="9525">
            <a:solidFill>
              <a:srgbClr val="000000"/>
            </a:solidFill>
            <a:round/>
            <a:headEnd/>
            <a:tailEnd/>
          </a:ln>
        </xdr:spPr>
      </xdr:sp>
      <xdr:sp macro="" textlink="">
        <xdr:nvSpPr>
          <xdr:cNvPr id="87" name="Line 699">
            <a:extLst>
              <a:ext uri="{FF2B5EF4-FFF2-40B4-BE49-F238E27FC236}">
                <a16:creationId xmlns:a16="http://schemas.microsoft.com/office/drawing/2014/main" id="{9D4E92B2-3E23-425F-ACD5-F80AC5818CA5}"/>
              </a:ext>
            </a:extLst>
          </xdr:cNvPr>
          <xdr:cNvSpPr>
            <a:spLocks noChangeShapeType="1"/>
          </xdr:cNvSpPr>
        </xdr:nvSpPr>
        <xdr:spPr bwMode="auto">
          <a:xfrm>
            <a:off x="135" y="1403"/>
            <a:ext cx="21" cy="16"/>
          </a:xfrm>
          <a:prstGeom prst="line">
            <a:avLst/>
          </a:prstGeom>
          <a:noFill/>
          <a:ln w="9525">
            <a:solidFill>
              <a:srgbClr val="000000"/>
            </a:solidFill>
            <a:round/>
            <a:headEnd/>
            <a:tailEnd/>
          </a:ln>
        </xdr:spPr>
      </xdr:sp>
      <xdr:sp macro="" textlink="">
        <xdr:nvSpPr>
          <xdr:cNvPr id="88" name="Line 700">
            <a:extLst>
              <a:ext uri="{FF2B5EF4-FFF2-40B4-BE49-F238E27FC236}">
                <a16:creationId xmlns:a16="http://schemas.microsoft.com/office/drawing/2014/main" id="{22E36958-90B6-4C14-83FD-FA9E9C0CED93}"/>
              </a:ext>
            </a:extLst>
          </xdr:cNvPr>
          <xdr:cNvSpPr>
            <a:spLocks noChangeShapeType="1"/>
          </xdr:cNvSpPr>
        </xdr:nvSpPr>
        <xdr:spPr bwMode="auto">
          <a:xfrm>
            <a:off x="136" y="1415"/>
            <a:ext cx="19" cy="21"/>
          </a:xfrm>
          <a:prstGeom prst="line">
            <a:avLst/>
          </a:prstGeom>
          <a:noFill/>
          <a:ln w="9525">
            <a:solidFill>
              <a:srgbClr val="000000"/>
            </a:solidFill>
            <a:round/>
            <a:headEnd/>
            <a:tailEnd/>
          </a:ln>
        </xdr:spPr>
      </xdr:sp>
      <xdr:sp macro="" textlink="">
        <xdr:nvSpPr>
          <xdr:cNvPr id="89" name="Line 703">
            <a:extLst>
              <a:ext uri="{FF2B5EF4-FFF2-40B4-BE49-F238E27FC236}">
                <a16:creationId xmlns:a16="http://schemas.microsoft.com/office/drawing/2014/main" id="{57AD4D55-5ABB-4007-8FBC-496C26C4D145}"/>
              </a:ext>
            </a:extLst>
          </xdr:cNvPr>
          <xdr:cNvSpPr>
            <a:spLocks noChangeShapeType="1"/>
          </xdr:cNvSpPr>
        </xdr:nvSpPr>
        <xdr:spPr bwMode="auto">
          <a:xfrm>
            <a:off x="135" y="1450"/>
            <a:ext cx="10" cy="10"/>
          </a:xfrm>
          <a:prstGeom prst="line">
            <a:avLst/>
          </a:prstGeom>
          <a:noFill/>
          <a:ln w="9525">
            <a:solidFill>
              <a:srgbClr val="000000"/>
            </a:solidFill>
            <a:round/>
            <a:headEnd/>
            <a:tailEnd/>
          </a:ln>
        </xdr:spPr>
      </xdr:sp>
      <xdr:sp macro="" textlink="">
        <xdr:nvSpPr>
          <xdr:cNvPr id="90" name="Line 716">
            <a:extLst>
              <a:ext uri="{FF2B5EF4-FFF2-40B4-BE49-F238E27FC236}">
                <a16:creationId xmlns:a16="http://schemas.microsoft.com/office/drawing/2014/main" id="{516CC8AC-1C25-4767-8AAB-B4D3FBA6DA7C}"/>
              </a:ext>
            </a:extLst>
          </xdr:cNvPr>
          <xdr:cNvSpPr>
            <a:spLocks noChangeShapeType="1"/>
          </xdr:cNvSpPr>
        </xdr:nvSpPr>
        <xdr:spPr bwMode="auto">
          <a:xfrm>
            <a:off x="124" y="1319"/>
            <a:ext cx="49" cy="0"/>
          </a:xfrm>
          <a:prstGeom prst="line">
            <a:avLst/>
          </a:prstGeom>
          <a:noFill/>
          <a:ln w="9525">
            <a:solidFill>
              <a:srgbClr val="000000"/>
            </a:solidFill>
            <a:round/>
            <a:headEnd/>
            <a:tailEnd/>
          </a:ln>
        </xdr:spPr>
      </xdr:sp>
      <xdr:sp macro="" textlink="">
        <xdr:nvSpPr>
          <xdr:cNvPr id="91" name="Line 718">
            <a:extLst>
              <a:ext uri="{FF2B5EF4-FFF2-40B4-BE49-F238E27FC236}">
                <a16:creationId xmlns:a16="http://schemas.microsoft.com/office/drawing/2014/main" id="{6E4E0C02-12F6-4146-AF09-711474947D1A}"/>
              </a:ext>
            </a:extLst>
          </xdr:cNvPr>
          <xdr:cNvSpPr>
            <a:spLocks noChangeShapeType="1"/>
          </xdr:cNvSpPr>
        </xdr:nvSpPr>
        <xdr:spPr bwMode="auto">
          <a:xfrm flipV="1">
            <a:off x="156" y="1314"/>
            <a:ext cx="0" cy="9"/>
          </a:xfrm>
          <a:prstGeom prst="line">
            <a:avLst/>
          </a:prstGeom>
          <a:noFill/>
          <a:ln w="9525">
            <a:solidFill>
              <a:srgbClr val="000000"/>
            </a:solidFill>
            <a:round/>
            <a:headEnd/>
            <a:tailEnd/>
          </a:ln>
        </xdr:spPr>
      </xdr:sp>
      <xdr:sp macro="" textlink="">
        <xdr:nvSpPr>
          <xdr:cNvPr id="92" name="Line 720">
            <a:extLst>
              <a:ext uri="{FF2B5EF4-FFF2-40B4-BE49-F238E27FC236}">
                <a16:creationId xmlns:a16="http://schemas.microsoft.com/office/drawing/2014/main" id="{F4E32E92-F330-4324-BE01-78A02CC44D87}"/>
              </a:ext>
            </a:extLst>
          </xdr:cNvPr>
          <xdr:cNvSpPr>
            <a:spLocks noChangeShapeType="1"/>
          </xdr:cNvSpPr>
        </xdr:nvSpPr>
        <xdr:spPr bwMode="auto">
          <a:xfrm flipV="1">
            <a:off x="135" y="1312"/>
            <a:ext cx="0" cy="11"/>
          </a:xfrm>
          <a:prstGeom prst="line">
            <a:avLst/>
          </a:prstGeom>
          <a:noFill/>
          <a:ln w="9525">
            <a:solidFill>
              <a:srgbClr val="000000"/>
            </a:solidFill>
            <a:round/>
            <a:headEnd/>
            <a:tailEnd/>
          </a:ln>
        </xdr:spPr>
      </xdr:sp>
      <xdr:sp macro="" textlink="">
        <xdr:nvSpPr>
          <xdr:cNvPr id="93" name="Line 721">
            <a:extLst>
              <a:ext uri="{FF2B5EF4-FFF2-40B4-BE49-F238E27FC236}">
                <a16:creationId xmlns:a16="http://schemas.microsoft.com/office/drawing/2014/main" id="{EA1B34E4-E196-4C8B-946D-35971609F5E9}"/>
              </a:ext>
            </a:extLst>
          </xdr:cNvPr>
          <xdr:cNvSpPr>
            <a:spLocks noChangeShapeType="1"/>
          </xdr:cNvSpPr>
        </xdr:nvSpPr>
        <xdr:spPr bwMode="auto">
          <a:xfrm flipV="1">
            <a:off x="271" y="1311"/>
            <a:ext cx="0" cy="9"/>
          </a:xfrm>
          <a:prstGeom prst="line">
            <a:avLst/>
          </a:prstGeom>
          <a:noFill/>
          <a:ln w="9525">
            <a:solidFill>
              <a:srgbClr val="000000"/>
            </a:solidFill>
            <a:round/>
            <a:headEnd/>
            <a:tailEnd/>
          </a:ln>
        </xdr:spPr>
      </xdr:sp>
      <xdr:sp macro="" textlink="">
        <xdr:nvSpPr>
          <xdr:cNvPr id="94" name="Line 723">
            <a:extLst>
              <a:ext uri="{FF2B5EF4-FFF2-40B4-BE49-F238E27FC236}">
                <a16:creationId xmlns:a16="http://schemas.microsoft.com/office/drawing/2014/main" id="{B210A434-B39A-4255-8392-B1383833E4A1}"/>
              </a:ext>
            </a:extLst>
          </xdr:cNvPr>
          <xdr:cNvSpPr>
            <a:spLocks noChangeShapeType="1"/>
          </xdr:cNvSpPr>
        </xdr:nvSpPr>
        <xdr:spPr bwMode="auto">
          <a:xfrm flipV="1">
            <a:off x="131" y="1315"/>
            <a:ext cx="8" cy="7"/>
          </a:xfrm>
          <a:prstGeom prst="line">
            <a:avLst/>
          </a:prstGeom>
          <a:noFill/>
          <a:ln w="19050">
            <a:solidFill>
              <a:srgbClr val="000000"/>
            </a:solidFill>
            <a:round/>
            <a:headEnd/>
            <a:tailEnd/>
          </a:ln>
        </xdr:spPr>
      </xdr:sp>
      <xdr:sp macro="" textlink="">
        <xdr:nvSpPr>
          <xdr:cNvPr id="95" name="Line 724">
            <a:extLst>
              <a:ext uri="{FF2B5EF4-FFF2-40B4-BE49-F238E27FC236}">
                <a16:creationId xmlns:a16="http://schemas.microsoft.com/office/drawing/2014/main" id="{D4D56143-9F3A-4384-8D1A-65984693F374}"/>
              </a:ext>
            </a:extLst>
          </xdr:cNvPr>
          <xdr:cNvSpPr>
            <a:spLocks noChangeShapeType="1"/>
          </xdr:cNvSpPr>
        </xdr:nvSpPr>
        <xdr:spPr bwMode="auto">
          <a:xfrm flipV="1">
            <a:off x="153" y="1315"/>
            <a:ext cx="7" cy="6"/>
          </a:xfrm>
          <a:prstGeom prst="line">
            <a:avLst/>
          </a:prstGeom>
          <a:noFill/>
          <a:ln w="19050">
            <a:solidFill>
              <a:srgbClr val="000000"/>
            </a:solidFill>
            <a:round/>
            <a:headEnd/>
            <a:tailEnd/>
          </a:ln>
        </xdr:spPr>
      </xdr:sp>
      <xdr:sp macro="" textlink="">
        <xdr:nvSpPr>
          <xdr:cNvPr id="96" name="Line 727">
            <a:extLst>
              <a:ext uri="{FF2B5EF4-FFF2-40B4-BE49-F238E27FC236}">
                <a16:creationId xmlns:a16="http://schemas.microsoft.com/office/drawing/2014/main" id="{373B7D8C-1C73-45DD-8466-D975A0C3982D}"/>
              </a:ext>
            </a:extLst>
          </xdr:cNvPr>
          <xdr:cNvSpPr>
            <a:spLocks noChangeShapeType="1"/>
          </xdr:cNvSpPr>
        </xdr:nvSpPr>
        <xdr:spPr bwMode="auto">
          <a:xfrm>
            <a:off x="164" y="1364"/>
            <a:ext cx="0" cy="103"/>
          </a:xfrm>
          <a:prstGeom prst="line">
            <a:avLst/>
          </a:prstGeom>
          <a:noFill/>
          <a:ln w="9525">
            <a:solidFill>
              <a:srgbClr val="000000"/>
            </a:solidFill>
            <a:round/>
            <a:headEnd/>
            <a:tailEnd/>
          </a:ln>
        </xdr:spPr>
      </xdr:sp>
      <xdr:sp macro="" textlink="">
        <xdr:nvSpPr>
          <xdr:cNvPr id="97" name="Line 729">
            <a:extLst>
              <a:ext uri="{FF2B5EF4-FFF2-40B4-BE49-F238E27FC236}">
                <a16:creationId xmlns:a16="http://schemas.microsoft.com/office/drawing/2014/main" id="{C59AA3AC-1C02-4859-8298-F0ADEC6F0C7D}"/>
              </a:ext>
            </a:extLst>
          </xdr:cNvPr>
          <xdr:cNvSpPr>
            <a:spLocks noChangeShapeType="1"/>
          </xdr:cNvSpPr>
        </xdr:nvSpPr>
        <xdr:spPr bwMode="auto">
          <a:xfrm>
            <a:off x="160" y="1369"/>
            <a:ext cx="18" cy="0"/>
          </a:xfrm>
          <a:prstGeom prst="line">
            <a:avLst/>
          </a:prstGeom>
          <a:noFill/>
          <a:ln w="9525">
            <a:solidFill>
              <a:srgbClr val="000000"/>
            </a:solidFill>
            <a:round/>
            <a:headEnd/>
            <a:tailEnd/>
          </a:ln>
        </xdr:spPr>
      </xdr:sp>
      <xdr:sp macro="" textlink="">
        <xdr:nvSpPr>
          <xdr:cNvPr id="98" name="Line 730">
            <a:extLst>
              <a:ext uri="{FF2B5EF4-FFF2-40B4-BE49-F238E27FC236}">
                <a16:creationId xmlns:a16="http://schemas.microsoft.com/office/drawing/2014/main" id="{1FCEA26E-D5C1-43B5-BF1E-3D46894427AA}"/>
              </a:ext>
            </a:extLst>
          </xdr:cNvPr>
          <xdr:cNvSpPr>
            <a:spLocks noChangeShapeType="1"/>
          </xdr:cNvSpPr>
        </xdr:nvSpPr>
        <xdr:spPr bwMode="auto">
          <a:xfrm>
            <a:off x="159" y="1460"/>
            <a:ext cx="19" cy="0"/>
          </a:xfrm>
          <a:prstGeom prst="line">
            <a:avLst/>
          </a:prstGeom>
          <a:noFill/>
          <a:ln w="9525">
            <a:solidFill>
              <a:srgbClr val="000000"/>
            </a:solidFill>
            <a:round/>
            <a:headEnd/>
            <a:tailEnd/>
          </a:ln>
        </xdr:spPr>
      </xdr:sp>
      <xdr:sp macro="" textlink="">
        <xdr:nvSpPr>
          <xdr:cNvPr id="99" name="Line 733">
            <a:extLst>
              <a:ext uri="{FF2B5EF4-FFF2-40B4-BE49-F238E27FC236}">
                <a16:creationId xmlns:a16="http://schemas.microsoft.com/office/drawing/2014/main" id="{C7FC5CA9-3D39-40B5-91F7-3D7EE53CB176}"/>
              </a:ext>
            </a:extLst>
          </xdr:cNvPr>
          <xdr:cNvSpPr>
            <a:spLocks noChangeShapeType="1"/>
          </xdr:cNvSpPr>
        </xdr:nvSpPr>
        <xdr:spPr bwMode="auto">
          <a:xfrm flipV="1">
            <a:off x="161" y="1363"/>
            <a:ext cx="7" cy="10"/>
          </a:xfrm>
          <a:prstGeom prst="line">
            <a:avLst/>
          </a:prstGeom>
          <a:noFill/>
          <a:ln w="19050">
            <a:solidFill>
              <a:srgbClr val="000000"/>
            </a:solidFill>
            <a:round/>
            <a:headEnd/>
            <a:tailEnd/>
          </a:ln>
        </xdr:spPr>
      </xdr:sp>
      <xdr:sp macro="" textlink="">
        <xdr:nvSpPr>
          <xdr:cNvPr id="100" name="Line 734">
            <a:extLst>
              <a:ext uri="{FF2B5EF4-FFF2-40B4-BE49-F238E27FC236}">
                <a16:creationId xmlns:a16="http://schemas.microsoft.com/office/drawing/2014/main" id="{727FEDD2-837D-4672-AC76-1705DC7B48DB}"/>
              </a:ext>
            </a:extLst>
          </xdr:cNvPr>
          <xdr:cNvSpPr>
            <a:spLocks noChangeShapeType="1"/>
          </xdr:cNvSpPr>
        </xdr:nvSpPr>
        <xdr:spPr bwMode="auto">
          <a:xfrm flipV="1">
            <a:off x="160" y="1456"/>
            <a:ext cx="9" cy="7"/>
          </a:xfrm>
          <a:prstGeom prst="line">
            <a:avLst/>
          </a:prstGeom>
          <a:noFill/>
          <a:ln w="19050">
            <a:solidFill>
              <a:srgbClr val="000000"/>
            </a:solidFill>
            <a:round/>
            <a:headEnd/>
            <a:tailEnd/>
          </a:ln>
        </xdr:spPr>
      </xdr:sp>
      <xdr:sp macro="" textlink="">
        <xdr:nvSpPr>
          <xdr:cNvPr id="101" name="Freeform 737">
            <a:extLst>
              <a:ext uri="{FF2B5EF4-FFF2-40B4-BE49-F238E27FC236}">
                <a16:creationId xmlns:a16="http://schemas.microsoft.com/office/drawing/2014/main" id="{E86981E4-FAC0-444D-AEB9-4435312C7465}"/>
              </a:ext>
            </a:extLst>
          </xdr:cNvPr>
          <xdr:cNvSpPr>
            <a:spLocks/>
          </xdr:cNvSpPr>
        </xdr:nvSpPr>
        <xdr:spPr bwMode="auto">
          <a:xfrm>
            <a:off x="122" y="1487"/>
            <a:ext cx="26" cy="29"/>
          </a:xfrm>
          <a:custGeom>
            <a:avLst/>
            <a:gdLst>
              <a:gd name="T0" fmla="*/ 18 w 26"/>
              <a:gd name="T1" fmla="*/ 1 h 29"/>
              <a:gd name="T2" fmla="*/ 14 w 26"/>
              <a:gd name="T3" fmla="*/ 1 h 29"/>
              <a:gd name="T4" fmla="*/ 9 w 26"/>
              <a:gd name="T5" fmla="*/ 2 h 29"/>
              <a:gd name="T6" fmla="*/ 5 w 26"/>
              <a:gd name="T7" fmla="*/ 3 h 29"/>
              <a:gd name="T8" fmla="*/ 2 w 26"/>
              <a:gd name="T9" fmla="*/ 9 h 29"/>
              <a:gd name="T10" fmla="*/ 0 w 26"/>
              <a:gd name="T11" fmla="*/ 17 h 29"/>
              <a:gd name="T12" fmla="*/ 1 w 26"/>
              <a:gd name="T13" fmla="*/ 24 h 29"/>
              <a:gd name="T14" fmla="*/ 6 w 26"/>
              <a:gd name="T15" fmla="*/ 28 h 29"/>
              <a:gd name="T16" fmla="*/ 16 w 26"/>
              <a:gd name="T17" fmla="*/ 28 h 29"/>
              <a:gd name="T18" fmla="*/ 22 w 26"/>
              <a:gd name="T19" fmla="*/ 26 h 29"/>
              <a:gd name="T20" fmla="*/ 25 w 26"/>
              <a:gd name="T21" fmla="*/ 19 h 29"/>
              <a:gd name="T22" fmla="*/ 25 w 26"/>
              <a:gd name="T23" fmla="*/ 10 h 29"/>
              <a:gd name="T24" fmla="*/ 23 w 26"/>
              <a:gd name="T25" fmla="*/ 2 h 29"/>
              <a:gd name="T26" fmla="*/ 18 w 26"/>
              <a:gd name="T27" fmla="*/ 1 h 29"/>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26"/>
              <a:gd name="T43" fmla="*/ 0 h 29"/>
              <a:gd name="T44" fmla="*/ 26 w 26"/>
              <a:gd name="T45" fmla="*/ 29 h 29"/>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6" h="29">
                <a:moveTo>
                  <a:pt x="18" y="1"/>
                </a:moveTo>
                <a:cubicBezTo>
                  <a:pt x="17" y="1"/>
                  <a:pt x="15" y="1"/>
                  <a:pt x="14" y="1"/>
                </a:cubicBezTo>
                <a:cubicBezTo>
                  <a:pt x="13" y="1"/>
                  <a:pt x="10" y="2"/>
                  <a:pt x="9" y="2"/>
                </a:cubicBezTo>
                <a:cubicBezTo>
                  <a:pt x="8" y="2"/>
                  <a:pt x="6" y="2"/>
                  <a:pt x="5" y="3"/>
                </a:cubicBezTo>
                <a:cubicBezTo>
                  <a:pt x="4" y="4"/>
                  <a:pt x="3" y="7"/>
                  <a:pt x="2" y="9"/>
                </a:cubicBezTo>
                <a:cubicBezTo>
                  <a:pt x="1" y="11"/>
                  <a:pt x="0" y="15"/>
                  <a:pt x="0" y="17"/>
                </a:cubicBezTo>
                <a:cubicBezTo>
                  <a:pt x="0" y="19"/>
                  <a:pt x="0" y="22"/>
                  <a:pt x="1" y="24"/>
                </a:cubicBezTo>
                <a:cubicBezTo>
                  <a:pt x="2" y="26"/>
                  <a:pt x="4" y="27"/>
                  <a:pt x="6" y="28"/>
                </a:cubicBezTo>
                <a:cubicBezTo>
                  <a:pt x="8" y="29"/>
                  <a:pt x="13" y="28"/>
                  <a:pt x="16" y="28"/>
                </a:cubicBezTo>
                <a:cubicBezTo>
                  <a:pt x="19" y="28"/>
                  <a:pt x="21" y="27"/>
                  <a:pt x="22" y="26"/>
                </a:cubicBezTo>
                <a:cubicBezTo>
                  <a:pt x="23" y="25"/>
                  <a:pt x="24" y="22"/>
                  <a:pt x="25" y="19"/>
                </a:cubicBezTo>
                <a:cubicBezTo>
                  <a:pt x="26" y="16"/>
                  <a:pt x="25" y="13"/>
                  <a:pt x="25" y="10"/>
                </a:cubicBezTo>
                <a:cubicBezTo>
                  <a:pt x="25" y="7"/>
                  <a:pt x="24" y="4"/>
                  <a:pt x="23" y="2"/>
                </a:cubicBezTo>
                <a:cubicBezTo>
                  <a:pt x="22" y="0"/>
                  <a:pt x="19" y="1"/>
                  <a:pt x="18" y="1"/>
                </a:cubicBezTo>
                <a:close/>
              </a:path>
            </a:pathLst>
          </a:custGeom>
          <a:solidFill>
            <a:srgbClr val="FFFFFF"/>
          </a:solidFill>
          <a:ln w="9525">
            <a:solidFill>
              <a:srgbClr val="000000"/>
            </a:solidFill>
            <a:round/>
            <a:headEnd/>
            <a:tailEnd/>
          </a:ln>
        </xdr:spPr>
      </xdr:sp>
      <xdr:sp macro="" textlink="">
        <xdr:nvSpPr>
          <xdr:cNvPr id="102" name="Freeform 741">
            <a:extLst>
              <a:ext uri="{FF2B5EF4-FFF2-40B4-BE49-F238E27FC236}">
                <a16:creationId xmlns:a16="http://schemas.microsoft.com/office/drawing/2014/main" id="{92CE152F-3A1A-49A2-99C1-A305D401A1CF}"/>
              </a:ext>
            </a:extLst>
          </xdr:cNvPr>
          <xdr:cNvSpPr>
            <a:spLocks/>
          </xdr:cNvSpPr>
        </xdr:nvSpPr>
        <xdr:spPr bwMode="auto">
          <a:xfrm>
            <a:off x="111" y="1501"/>
            <a:ext cx="21" cy="19"/>
          </a:xfrm>
          <a:custGeom>
            <a:avLst/>
            <a:gdLst>
              <a:gd name="T0" fmla="*/ 13 w 21"/>
              <a:gd name="T1" fmla="*/ 1 h 19"/>
              <a:gd name="T2" fmla="*/ 9 w 21"/>
              <a:gd name="T3" fmla="*/ 2 h 19"/>
              <a:gd name="T4" fmla="*/ 5 w 21"/>
              <a:gd name="T5" fmla="*/ 6 h 19"/>
              <a:gd name="T6" fmla="*/ 0 w 21"/>
              <a:gd name="T7" fmla="*/ 13 h 19"/>
              <a:gd name="T8" fmla="*/ 3 w 21"/>
              <a:gd name="T9" fmla="*/ 16 h 19"/>
              <a:gd name="T10" fmla="*/ 12 w 21"/>
              <a:gd name="T11" fmla="*/ 18 h 19"/>
              <a:gd name="T12" fmla="*/ 19 w 21"/>
              <a:gd name="T13" fmla="*/ 18 h 19"/>
              <a:gd name="T14" fmla="*/ 20 w 21"/>
              <a:gd name="T15" fmla="*/ 14 h 19"/>
              <a:gd name="T16" fmla="*/ 20 w 21"/>
              <a:gd name="T17" fmla="*/ 6 h 19"/>
              <a:gd name="T18" fmla="*/ 13 w 21"/>
              <a:gd name="T19" fmla="*/ 1 h 19"/>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1"/>
              <a:gd name="T31" fmla="*/ 0 h 19"/>
              <a:gd name="T32" fmla="*/ 21 w 21"/>
              <a:gd name="T33" fmla="*/ 19 h 19"/>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1" h="19">
                <a:moveTo>
                  <a:pt x="13" y="1"/>
                </a:moveTo>
                <a:cubicBezTo>
                  <a:pt x="11" y="0"/>
                  <a:pt x="10" y="1"/>
                  <a:pt x="9" y="2"/>
                </a:cubicBezTo>
                <a:cubicBezTo>
                  <a:pt x="8" y="3"/>
                  <a:pt x="6" y="4"/>
                  <a:pt x="5" y="6"/>
                </a:cubicBezTo>
                <a:cubicBezTo>
                  <a:pt x="4" y="8"/>
                  <a:pt x="0" y="11"/>
                  <a:pt x="0" y="13"/>
                </a:cubicBezTo>
                <a:cubicBezTo>
                  <a:pt x="0" y="15"/>
                  <a:pt x="1" y="15"/>
                  <a:pt x="3" y="16"/>
                </a:cubicBezTo>
                <a:cubicBezTo>
                  <a:pt x="5" y="17"/>
                  <a:pt x="9" y="18"/>
                  <a:pt x="12" y="18"/>
                </a:cubicBezTo>
                <a:cubicBezTo>
                  <a:pt x="15" y="18"/>
                  <a:pt x="18" y="19"/>
                  <a:pt x="19" y="18"/>
                </a:cubicBezTo>
                <a:cubicBezTo>
                  <a:pt x="20" y="17"/>
                  <a:pt x="20" y="16"/>
                  <a:pt x="20" y="14"/>
                </a:cubicBezTo>
                <a:cubicBezTo>
                  <a:pt x="20" y="12"/>
                  <a:pt x="21" y="8"/>
                  <a:pt x="20" y="6"/>
                </a:cubicBezTo>
                <a:cubicBezTo>
                  <a:pt x="19" y="4"/>
                  <a:pt x="15" y="2"/>
                  <a:pt x="13" y="1"/>
                </a:cubicBezTo>
                <a:close/>
              </a:path>
            </a:pathLst>
          </a:custGeom>
          <a:solidFill>
            <a:srgbClr val="FFFFFF"/>
          </a:solidFill>
          <a:ln w="9525">
            <a:solidFill>
              <a:srgbClr val="000000"/>
            </a:solidFill>
            <a:round/>
            <a:headEnd/>
            <a:tailEnd/>
          </a:ln>
        </xdr:spPr>
      </xdr:sp>
      <xdr:sp macro="" textlink="">
        <xdr:nvSpPr>
          <xdr:cNvPr id="103" name="Freeform 742">
            <a:extLst>
              <a:ext uri="{FF2B5EF4-FFF2-40B4-BE49-F238E27FC236}">
                <a16:creationId xmlns:a16="http://schemas.microsoft.com/office/drawing/2014/main" id="{6FA24C1B-A35A-496F-8586-927CC623730D}"/>
              </a:ext>
            </a:extLst>
          </xdr:cNvPr>
          <xdr:cNvSpPr>
            <a:spLocks/>
          </xdr:cNvSpPr>
        </xdr:nvSpPr>
        <xdr:spPr bwMode="auto">
          <a:xfrm>
            <a:off x="145" y="1488"/>
            <a:ext cx="23" cy="22"/>
          </a:xfrm>
          <a:custGeom>
            <a:avLst/>
            <a:gdLst>
              <a:gd name="T0" fmla="*/ 19 w 23"/>
              <a:gd name="T1" fmla="*/ 4 h 22"/>
              <a:gd name="T2" fmla="*/ 14 w 23"/>
              <a:gd name="T3" fmla="*/ 1 h 22"/>
              <a:gd name="T4" fmla="*/ 9 w 23"/>
              <a:gd name="T5" fmla="*/ 0 h 22"/>
              <a:gd name="T6" fmla="*/ 3 w 23"/>
              <a:gd name="T7" fmla="*/ 4 h 22"/>
              <a:gd name="T8" fmla="*/ 1 w 23"/>
              <a:gd name="T9" fmla="*/ 11 h 22"/>
              <a:gd name="T10" fmla="*/ 1 w 23"/>
              <a:gd name="T11" fmla="*/ 18 h 22"/>
              <a:gd name="T12" fmla="*/ 7 w 23"/>
              <a:gd name="T13" fmla="*/ 19 h 22"/>
              <a:gd name="T14" fmla="*/ 20 w 23"/>
              <a:gd name="T15" fmla="*/ 22 h 22"/>
              <a:gd name="T16" fmla="*/ 23 w 23"/>
              <a:gd name="T17" fmla="*/ 17 h 22"/>
              <a:gd name="T18" fmla="*/ 23 w 23"/>
              <a:gd name="T19" fmla="*/ 12 h 22"/>
              <a:gd name="T20" fmla="*/ 19 w 23"/>
              <a:gd name="T21" fmla="*/ 4 h 22"/>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23"/>
              <a:gd name="T34" fmla="*/ 0 h 22"/>
              <a:gd name="T35" fmla="*/ 23 w 23"/>
              <a:gd name="T36" fmla="*/ 22 h 22"/>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23" h="22">
                <a:moveTo>
                  <a:pt x="19" y="4"/>
                </a:moveTo>
                <a:cubicBezTo>
                  <a:pt x="18" y="2"/>
                  <a:pt x="15" y="2"/>
                  <a:pt x="14" y="1"/>
                </a:cubicBezTo>
                <a:cubicBezTo>
                  <a:pt x="13" y="0"/>
                  <a:pt x="11" y="0"/>
                  <a:pt x="9" y="0"/>
                </a:cubicBezTo>
                <a:cubicBezTo>
                  <a:pt x="7" y="0"/>
                  <a:pt x="4" y="2"/>
                  <a:pt x="3" y="4"/>
                </a:cubicBezTo>
                <a:cubicBezTo>
                  <a:pt x="2" y="6"/>
                  <a:pt x="1" y="9"/>
                  <a:pt x="1" y="11"/>
                </a:cubicBezTo>
                <a:cubicBezTo>
                  <a:pt x="1" y="13"/>
                  <a:pt x="0" y="17"/>
                  <a:pt x="1" y="18"/>
                </a:cubicBezTo>
                <a:cubicBezTo>
                  <a:pt x="2" y="19"/>
                  <a:pt x="4" y="18"/>
                  <a:pt x="7" y="19"/>
                </a:cubicBezTo>
                <a:cubicBezTo>
                  <a:pt x="10" y="20"/>
                  <a:pt x="17" y="22"/>
                  <a:pt x="20" y="22"/>
                </a:cubicBezTo>
                <a:cubicBezTo>
                  <a:pt x="23" y="22"/>
                  <a:pt x="23" y="19"/>
                  <a:pt x="23" y="17"/>
                </a:cubicBezTo>
                <a:cubicBezTo>
                  <a:pt x="23" y="15"/>
                  <a:pt x="23" y="14"/>
                  <a:pt x="23" y="12"/>
                </a:cubicBezTo>
                <a:cubicBezTo>
                  <a:pt x="23" y="10"/>
                  <a:pt x="20" y="6"/>
                  <a:pt x="19" y="4"/>
                </a:cubicBezTo>
                <a:close/>
              </a:path>
            </a:pathLst>
          </a:custGeom>
          <a:solidFill>
            <a:srgbClr val="FFFFFF"/>
          </a:solidFill>
          <a:ln w="9525">
            <a:solidFill>
              <a:srgbClr val="000000"/>
            </a:solidFill>
            <a:round/>
            <a:headEnd/>
            <a:tailEnd/>
          </a:ln>
        </xdr:spPr>
      </xdr:sp>
      <xdr:grpSp>
        <xdr:nvGrpSpPr>
          <xdr:cNvPr id="104" name="Group 771">
            <a:extLst>
              <a:ext uri="{FF2B5EF4-FFF2-40B4-BE49-F238E27FC236}">
                <a16:creationId xmlns:a16="http://schemas.microsoft.com/office/drawing/2014/main" id="{FC79D664-2C5E-4149-A236-85491930A838}"/>
              </a:ext>
            </a:extLst>
          </xdr:cNvPr>
          <xdr:cNvGrpSpPr>
            <a:grpSpLocks/>
          </xdr:cNvGrpSpPr>
        </xdr:nvGrpSpPr>
        <xdr:grpSpPr bwMode="auto">
          <a:xfrm>
            <a:off x="81" y="1323"/>
            <a:ext cx="133" cy="199"/>
            <a:chOff x="81" y="1327"/>
            <a:chExt cx="133" cy="195"/>
          </a:xfrm>
        </xdr:grpSpPr>
        <xdr:sp macro="" textlink="">
          <xdr:nvSpPr>
            <xdr:cNvPr id="168" name="Line 772">
              <a:extLst>
                <a:ext uri="{FF2B5EF4-FFF2-40B4-BE49-F238E27FC236}">
                  <a16:creationId xmlns:a16="http://schemas.microsoft.com/office/drawing/2014/main" id="{4C5CAB20-CA3F-48B4-80EC-5D23494E2749}"/>
                </a:ext>
              </a:extLst>
            </xdr:cNvPr>
            <xdr:cNvSpPr>
              <a:spLocks noChangeShapeType="1"/>
            </xdr:cNvSpPr>
          </xdr:nvSpPr>
          <xdr:spPr bwMode="auto">
            <a:xfrm>
              <a:off x="135" y="1327"/>
              <a:ext cx="0" cy="156"/>
            </a:xfrm>
            <a:prstGeom prst="line">
              <a:avLst/>
            </a:prstGeom>
            <a:noFill/>
            <a:ln w="19050">
              <a:solidFill>
                <a:srgbClr val="000000"/>
              </a:solidFill>
              <a:round/>
              <a:headEnd/>
              <a:tailEnd/>
            </a:ln>
          </xdr:spPr>
        </xdr:sp>
        <xdr:sp macro="" textlink="">
          <xdr:nvSpPr>
            <xdr:cNvPr id="169" name="Line 773">
              <a:extLst>
                <a:ext uri="{FF2B5EF4-FFF2-40B4-BE49-F238E27FC236}">
                  <a16:creationId xmlns:a16="http://schemas.microsoft.com/office/drawing/2014/main" id="{EEF84A2C-A90E-4E90-A5E4-82E5B6E86260}"/>
                </a:ext>
              </a:extLst>
            </xdr:cNvPr>
            <xdr:cNvSpPr>
              <a:spLocks noChangeShapeType="1"/>
            </xdr:cNvSpPr>
          </xdr:nvSpPr>
          <xdr:spPr bwMode="auto">
            <a:xfrm>
              <a:off x="156" y="1327"/>
              <a:ext cx="0" cy="156"/>
            </a:xfrm>
            <a:prstGeom prst="line">
              <a:avLst/>
            </a:prstGeom>
            <a:noFill/>
            <a:ln w="19050">
              <a:solidFill>
                <a:srgbClr val="000000"/>
              </a:solidFill>
              <a:round/>
              <a:headEnd/>
              <a:tailEnd/>
            </a:ln>
          </xdr:spPr>
        </xdr:sp>
        <xdr:sp macro="" textlink="">
          <xdr:nvSpPr>
            <xdr:cNvPr id="170" name="Line 774">
              <a:extLst>
                <a:ext uri="{FF2B5EF4-FFF2-40B4-BE49-F238E27FC236}">
                  <a16:creationId xmlns:a16="http://schemas.microsoft.com/office/drawing/2014/main" id="{7F822A95-B35C-441B-94AD-40F9A8A74250}"/>
                </a:ext>
              </a:extLst>
            </xdr:cNvPr>
            <xdr:cNvSpPr>
              <a:spLocks noChangeShapeType="1"/>
            </xdr:cNvSpPr>
          </xdr:nvSpPr>
          <xdr:spPr bwMode="auto">
            <a:xfrm>
              <a:off x="130" y="1482"/>
              <a:ext cx="31" cy="0"/>
            </a:xfrm>
            <a:prstGeom prst="line">
              <a:avLst/>
            </a:prstGeom>
            <a:noFill/>
            <a:ln w="19050">
              <a:solidFill>
                <a:srgbClr val="000000"/>
              </a:solidFill>
              <a:round/>
              <a:headEnd/>
              <a:tailEnd/>
            </a:ln>
          </xdr:spPr>
        </xdr:sp>
        <xdr:sp macro="" textlink="">
          <xdr:nvSpPr>
            <xdr:cNvPr id="171" name="Line 775">
              <a:extLst>
                <a:ext uri="{FF2B5EF4-FFF2-40B4-BE49-F238E27FC236}">
                  <a16:creationId xmlns:a16="http://schemas.microsoft.com/office/drawing/2014/main" id="{8060F770-D1D9-4623-B541-7B8AF4EAD885}"/>
                </a:ext>
              </a:extLst>
            </xdr:cNvPr>
            <xdr:cNvSpPr>
              <a:spLocks noChangeShapeType="1"/>
            </xdr:cNvSpPr>
          </xdr:nvSpPr>
          <xdr:spPr bwMode="auto">
            <a:xfrm flipH="1">
              <a:off x="104" y="1481"/>
              <a:ext cx="26" cy="37"/>
            </a:xfrm>
            <a:prstGeom prst="line">
              <a:avLst/>
            </a:prstGeom>
            <a:noFill/>
            <a:ln w="19050">
              <a:solidFill>
                <a:srgbClr val="000000"/>
              </a:solidFill>
              <a:round/>
              <a:headEnd/>
              <a:tailEnd/>
            </a:ln>
          </xdr:spPr>
        </xdr:sp>
        <xdr:sp macro="" textlink="">
          <xdr:nvSpPr>
            <xdr:cNvPr id="172" name="Line 776">
              <a:extLst>
                <a:ext uri="{FF2B5EF4-FFF2-40B4-BE49-F238E27FC236}">
                  <a16:creationId xmlns:a16="http://schemas.microsoft.com/office/drawing/2014/main" id="{4E13250F-7690-4C37-96C5-BF7E48B7F557}"/>
                </a:ext>
              </a:extLst>
            </xdr:cNvPr>
            <xdr:cNvSpPr>
              <a:spLocks noChangeShapeType="1"/>
            </xdr:cNvSpPr>
          </xdr:nvSpPr>
          <xdr:spPr bwMode="auto">
            <a:xfrm>
              <a:off x="161" y="1482"/>
              <a:ext cx="28" cy="36"/>
            </a:xfrm>
            <a:prstGeom prst="line">
              <a:avLst/>
            </a:prstGeom>
            <a:noFill/>
            <a:ln w="19050">
              <a:solidFill>
                <a:srgbClr val="000000"/>
              </a:solidFill>
              <a:round/>
              <a:headEnd/>
              <a:tailEnd/>
            </a:ln>
          </xdr:spPr>
        </xdr:sp>
        <xdr:sp macro="" textlink="">
          <xdr:nvSpPr>
            <xdr:cNvPr id="173" name="Freeform 777">
              <a:extLst>
                <a:ext uri="{FF2B5EF4-FFF2-40B4-BE49-F238E27FC236}">
                  <a16:creationId xmlns:a16="http://schemas.microsoft.com/office/drawing/2014/main" id="{B6EE2822-36B6-4E68-8091-2610F5A0846E}"/>
                </a:ext>
              </a:extLst>
            </xdr:cNvPr>
            <xdr:cNvSpPr>
              <a:spLocks/>
            </xdr:cNvSpPr>
          </xdr:nvSpPr>
          <xdr:spPr bwMode="auto">
            <a:xfrm>
              <a:off x="81" y="1504"/>
              <a:ext cx="133" cy="18"/>
            </a:xfrm>
            <a:custGeom>
              <a:avLst/>
              <a:gdLst>
                <a:gd name="T0" fmla="*/ 0 w 133"/>
                <a:gd name="T1" fmla="*/ 1 h 18"/>
                <a:gd name="T2" fmla="*/ 3 w 133"/>
                <a:gd name="T3" fmla="*/ 5 h 18"/>
                <a:gd name="T4" fmla="*/ 10 w 133"/>
                <a:gd name="T5" fmla="*/ 11 h 18"/>
                <a:gd name="T6" fmla="*/ 20 w 133"/>
                <a:gd name="T7" fmla="*/ 13 h 18"/>
                <a:gd name="T8" fmla="*/ 30 w 133"/>
                <a:gd name="T9" fmla="*/ 14 h 18"/>
                <a:gd name="T10" fmla="*/ 52 w 133"/>
                <a:gd name="T11" fmla="*/ 12 h 18"/>
                <a:gd name="T12" fmla="*/ 57 w 133"/>
                <a:gd name="T13" fmla="*/ 8 h 18"/>
                <a:gd name="T14" fmla="*/ 73 w 133"/>
                <a:gd name="T15" fmla="*/ 4 h 18"/>
                <a:gd name="T16" fmla="*/ 80 w 133"/>
                <a:gd name="T17" fmla="*/ 2 h 18"/>
                <a:gd name="T18" fmla="*/ 91 w 133"/>
                <a:gd name="T19" fmla="*/ 1 h 18"/>
                <a:gd name="T20" fmla="*/ 103 w 133"/>
                <a:gd name="T21" fmla="*/ 9 h 18"/>
                <a:gd name="T22" fmla="*/ 109 w 133"/>
                <a:gd name="T23" fmla="*/ 15 h 18"/>
                <a:gd name="T24" fmla="*/ 117 w 133"/>
                <a:gd name="T25" fmla="*/ 17 h 18"/>
                <a:gd name="T26" fmla="*/ 129 w 133"/>
                <a:gd name="T27" fmla="*/ 12 h 18"/>
                <a:gd name="T28" fmla="*/ 133 w 133"/>
                <a:gd name="T29" fmla="*/ 10 h 1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33"/>
                <a:gd name="T46" fmla="*/ 0 h 18"/>
                <a:gd name="T47" fmla="*/ 133 w 133"/>
                <a:gd name="T48" fmla="*/ 18 h 18"/>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33" h="18">
                  <a:moveTo>
                    <a:pt x="0" y="1"/>
                  </a:moveTo>
                  <a:cubicBezTo>
                    <a:pt x="0" y="2"/>
                    <a:pt x="1" y="3"/>
                    <a:pt x="3" y="5"/>
                  </a:cubicBezTo>
                  <a:cubicBezTo>
                    <a:pt x="5" y="7"/>
                    <a:pt x="7" y="10"/>
                    <a:pt x="10" y="11"/>
                  </a:cubicBezTo>
                  <a:cubicBezTo>
                    <a:pt x="13" y="12"/>
                    <a:pt x="17" y="12"/>
                    <a:pt x="20" y="13"/>
                  </a:cubicBezTo>
                  <a:cubicBezTo>
                    <a:pt x="23" y="14"/>
                    <a:pt x="25" y="14"/>
                    <a:pt x="30" y="14"/>
                  </a:cubicBezTo>
                  <a:cubicBezTo>
                    <a:pt x="35" y="14"/>
                    <a:pt x="48" y="13"/>
                    <a:pt x="52" y="12"/>
                  </a:cubicBezTo>
                  <a:cubicBezTo>
                    <a:pt x="56" y="11"/>
                    <a:pt x="54" y="9"/>
                    <a:pt x="57" y="8"/>
                  </a:cubicBezTo>
                  <a:cubicBezTo>
                    <a:pt x="60" y="7"/>
                    <a:pt x="69" y="5"/>
                    <a:pt x="73" y="4"/>
                  </a:cubicBezTo>
                  <a:cubicBezTo>
                    <a:pt x="77" y="3"/>
                    <a:pt x="77" y="2"/>
                    <a:pt x="80" y="2"/>
                  </a:cubicBezTo>
                  <a:cubicBezTo>
                    <a:pt x="83" y="2"/>
                    <a:pt x="87" y="0"/>
                    <a:pt x="91" y="1"/>
                  </a:cubicBezTo>
                  <a:cubicBezTo>
                    <a:pt x="95" y="2"/>
                    <a:pt x="100" y="7"/>
                    <a:pt x="103" y="9"/>
                  </a:cubicBezTo>
                  <a:cubicBezTo>
                    <a:pt x="106" y="11"/>
                    <a:pt x="107" y="14"/>
                    <a:pt x="109" y="15"/>
                  </a:cubicBezTo>
                  <a:cubicBezTo>
                    <a:pt x="111" y="16"/>
                    <a:pt x="114" y="18"/>
                    <a:pt x="117" y="17"/>
                  </a:cubicBezTo>
                  <a:cubicBezTo>
                    <a:pt x="120" y="16"/>
                    <a:pt x="126" y="13"/>
                    <a:pt x="129" y="12"/>
                  </a:cubicBezTo>
                  <a:cubicBezTo>
                    <a:pt x="132" y="11"/>
                    <a:pt x="132" y="10"/>
                    <a:pt x="133" y="10"/>
                  </a:cubicBezTo>
                </a:path>
              </a:pathLst>
            </a:custGeom>
            <a:noFill/>
            <a:ln w="19050">
              <a:solidFill>
                <a:srgbClr val="000000"/>
              </a:solidFill>
              <a:round/>
              <a:headEnd/>
              <a:tailEnd/>
            </a:ln>
          </xdr:spPr>
        </xdr:sp>
        <xdr:sp macro="" textlink="">
          <xdr:nvSpPr>
            <xdr:cNvPr id="174" name="Freeform 778">
              <a:extLst>
                <a:ext uri="{FF2B5EF4-FFF2-40B4-BE49-F238E27FC236}">
                  <a16:creationId xmlns:a16="http://schemas.microsoft.com/office/drawing/2014/main" id="{71F976B5-658D-4A5A-92D0-94C379471818}"/>
                </a:ext>
              </a:extLst>
            </xdr:cNvPr>
            <xdr:cNvSpPr>
              <a:spLocks/>
            </xdr:cNvSpPr>
          </xdr:nvSpPr>
          <xdr:spPr bwMode="auto">
            <a:xfrm>
              <a:off x="117" y="1332"/>
              <a:ext cx="51" cy="7"/>
            </a:xfrm>
            <a:custGeom>
              <a:avLst/>
              <a:gdLst>
                <a:gd name="T0" fmla="*/ 0 w 51"/>
                <a:gd name="T1" fmla="*/ 7 h 7"/>
                <a:gd name="T2" fmla="*/ 8 w 51"/>
                <a:gd name="T3" fmla="*/ 3 h 7"/>
                <a:gd name="T4" fmla="*/ 20 w 51"/>
                <a:gd name="T5" fmla="*/ 3 h 7"/>
                <a:gd name="T6" fmla="*/ 27 w 51"/>
                <a:gd name="T7" fmla="*/ 5 h 7"/>
                <a:gd name="T8" fmla="*/ 32 w 51"/>
                <a:gd name="T9" fmla="*/ 6 h 7"/>
                <a:gd name="T10" fmla="*/ 38 w 51"/>
                <a:gd name="T11" fmla="*/ 5 h 7"/>
                <a:gd name="T12" fmla="*/ 46 w 51"/>
                <a:gd name="T13" fmla="*/ 4 h 7"/>
                <a:gd name="T14" fmla="*/ 51 w 51"/>
                <a:gd name="T15" fmla="*/ 0 h 7"/>
                <a:gd name="T16" fmla="*/ 0 60000 65536"/>
                <a:gd name="T17" fmla="*/ 0 60000 65536"/>
                <a:gd name="T18" fmla="*/ 0 60000 65536"/>
                <a:gd name="T19" fmla="*/ 0 60000 65536"/>
                <a:gd name="T20" fmla="*/ 0 60000 65536"/>
                <a:gd name="T21" fmla="*/ 0 60000 65536"/>
                <a:gd name="T22" fmla="*/ 0 60000 65536"/>
                <a:gd name="T23" fmla="*/ 0 60000 65536"/>
                <a:gd name="T24" fmla="*/ 0 w 51"/>
                <a:gd name="T25" fmla="*/ 0 h 7"/>
                <a:gd name="T26" fmla="*/ 51 w 51"/>
                <a:gd name="T27" fmla="*/ 7 h 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51" h="7">
                  <a:moveTo>
                    <a:pt x="0" y="7"/>
                  </a:moveTo>
                  <a:cubicBezTo>
                    <a:pt x="2" y="5"/>
                    <a:pt x="5" y="4"/>
                    <a:pt x="8" y="3"/>
                  </a:cubicBezTo>
                  <a:cubicBezTo>
                    <a:pt x="11" y="2"/>
                    <a:pt x="17" y="3"/>
                    <a:pt x="20" y="3"/>
                  </a:cubicBezTo>
                  <a:cubicBezTo>
                    <a:pt x="23" y="3"/>
                    <a:pt x="25" y="4"/>
                    <a:pt x="27" y="5"/>
                  </a:cubicBezTo>
                  <a:cubicBezTo>
                    <a:pt x="29" y="6"/>
                    <a:pt x="30" y="6"/>
                    <a:pt x="32" y="6"/>
                  </a:cubicBezTo>
                  <a:cubicBezTo>
                    <a:pt x="34" y="6"/>
                    <a:pt x="36" y="5"/>
                    <a:pt x="38" y="5"/>
                  </a:cubicBezTo>
                  <a:cubicBezTo>
                    <a:pt x="40" y="5"/>
                    <a:pt x="44" y="5"/>
                    <a:pt x="46" y="4"/>
                  </a:cubicBezTo>
                  <a:cubicBezTo>
                    <a:pt x="48" y="3"/>
                    <a:pt x="50" y="0"/>
                    <a:pt x="51" y="0"/>
                  </a:cubicBezTo>
                </a:path>
              </a:pathLst>
            </a:custGeom>
            <a:noFill/>
            <a:ln w="19050">
              <a:solidFill>
                <a:srgbClr val="000000"/>
              </a:solidFill>
              <a:round/>
              <a:headEnd/>
              <a:tailEnd/>
            </a:ln>
          </xdr:spPr>
        </xdr:sp>
        <xdr:sp macro="" textlink="">
          <xdr:nvSpPr>
            <xdr:cNvPr id="175" name="Line 779">
              <a:extLst>
                <a:ext uri="{FF2B5EF4-FFF2-40B4-BE49-F238E27FC236}">
                  <a16:creationId xmlns:a16="http://schemas.microsoft.com/office/drawing/2014/main" id="{55CDB37F-18F4-4BF6-A00F-93638859DEB4}"/>
                </a:ext>
              </a:extLst>
            </xdr:cNvPr>
            <xdr:cNvSpPr>
              <a:spLocks noChangeShapeType="1"/>
            </xdr:cNvSpPr>
          </xdr:nvSpPr>
          <xdr:spPr bwMode="auto">
            <a:xfrm>
              <a:off x="134" y="1456"/>
              <a:ext cx="23" cy="0"/>
            </a:xfrm>
            <a:prstGeom prst="line">
              <a:avLst/>
            </a:prstGeom>
            <a:noFill/>
            <a:ln w="19050">
              <a:solidFill>
                <a:srgbClr val="000000"/>
              </a:solidFill>
              <a:round/>
              <a:headEnd/>
              <a:tailEnd/>
            </a:ln>
          </xdr:spPr>
        </xdr:sp>
      </xdr:grpSp>
      <xdr:sp macro="" textlink="">
        <xdr:nvSpPr>
          <xdr:cNvPr id="105" name="Line 780">
            <a:extLst>
              <a:ext uri="{FF2B5EF4-FFF2-40B4-BE49-F238E27FC236}">
                <a16:creationId xmlns:a16="http://schemas.microsoft.com/office/drawing/2014/main" id="{FFB9DA70-E33C-45B7-B69D-F97EC23940B8}"/>
              </a:ext>
            </a:extLst>
          </xdr:cNvPr>
          <xdr:cNvSpPr>
            <a:spLocks noChangeShapeType="1"/>
          </xdr:cNvSpPr>
        </xdr:nvSpPr>
        <xdr:spPr bwMode="auto">
          <a:xfrm>
            <a:off x="135" y="1369"/>
            <a:ext cx="22" cy="0"/>
          </a:xfrm>
          <a:prstGeom prst="line">
            <a:avLst/>
          </a:prstGeom>
          <a:noFill/>
          <a:ln w="9525">
            <a:solidFill>
              <a:srgbClr val="000000"/>
            </a:solidFill>
            <a:round/>
            <a:headEnd/>
            <a:tailEnd/>
          </a:ln>
        </xdr:spPr>
      </xdr:sp>
      <xdr:sp macro="" textlink="">
        <xdr:nvSpPr>
          <xdr:cNvPr id="106" name="Line 781">
            <a:extLst>
              <a:ext uri="{FF2B5EF4-FFF2-40B4-BE49-F238E27FC236}">
                <a16:creationId xmlns:a16="http://schemas.microsoft.com/office/drawing/2014/main" id="{5F673247-9BA2-4172-B18C-EE4A77322930}"/>
              </a:ext>
            </a:extLst>
          </xdr:cNvPr>
          <xdr:cNvSpPr>
            <a:spLocks noChangeShapeType="1"/>
          </xdr:cNvSpPr>
        </xdr:nvSpPr>
        <xdr:spPr bwMode="auto">
          <a:xfrm flipV="1">
            <a:off x="136" y="1369"/>
            <a:ext cx="16" cy="9"/>
          </a:xfrm>
          <a:prstGeom prst="line">
            <a:avLst/>
          </a:prstGeom>
          <a:noFill/>
          <a:ln w="9525">
            <a:solidFill>
              <a:srgbClr val="000000"/>
            </a:solidFill>
            <a:round/>
            <a:headEnd/>
            <a:tailEnd/>
          </a:ln>
        </xdr:spPr>
      </xdr:sp>
      <xdr:sp macro="" textlink="">
        <xdr:nvSpPr>
          <xdr:cNvPr id="107" name="Line 782">
            <a:extLst>
              <a:ext uri="{FF2B5EF4-FFF2-40B4-BE49-F238E27FC236}">
                <a16:creationId xmlns:a16="http://schemas.microsoft.com/office/drawing/2014/main" id="{B3FCE7C8-42EA-49D8-A8EF-49DDE364B140}"/>
              </a:ext>
            </a:extLst>
          </xdr:cNvPr>
          <xdr:cNvSpPr>
            <a:spLocks noChangeShapeType="1"/>
          </xdr:cNvSpPr>
        </xdr:nvSpPr>
        <xdr:spPr bwMode="auto">
          <a:xfrm flipV="1">
            <a:off x="135" y="1374"/>
            <a:ext cx="21" cy="13"/>
          </a:xfrm>
          <a:prstGeom prst="line">
            <a:avLst/>
          </a:prstGeom>
          <a:noFill/>
          <a:ln w="9525">
            <a:solidFill>
              <a:srgbClr val="000000"/>
            </a:solidFill>
            <a:round/>
            <a:headEnd/>
            <a:tailEnd/>
          </a:ln>
        </xdr:spPr>
      </xdr:sp>
      <xdr:sp macro="" textlink="">
        <xdr:nvSpPr>
          <xdr:cNvPr id="108" name="Line 783">
            <a:extLst>
              <a:ext uri="{FF2B5EF4-FFF2-40B4-BE49-F238E27FC236}">
                <a16:creationId xmlns:a16="http://schemas.microsoft.com/office/drawing/2014/main" id="{88F91741-BED4-43D3-AA1A-621AC402B120}"/>
              </a:ext>
            </a:extLst>
          </xdr:cNvPr>
          <xdr:cNvSpPr>
            <a:spLocks noChangeShapeType="1"/>
          </xdr:cNvSpPr>
        </xdr:nvSpPr>
        <xdr:spPr bwMode="auto">
          <a:xfrm flipV="1">
            <a:off x="135" y="1383"/>
            <a:ext cx="21" cy="14"/>
          </a:xfrm>
          <a:prstGeom prst="line">
            <a:avLst/>
          </a:prstGeom>
          <a:noFill/>
          <a:ln w="9525">
            <a:solidFill>
              <a:srgbClr val="000000"/>
            </a:solidFill>
            <a:round/>
            <a:headEnd/>
            <a:tailEnd/>
          </a:ln>
        </xdr:spPr>
      </xdr:sp>
      <xdr:sp macro="" textlink="">
        <xdr:nvSpPr>
          <xdr:cNvPr id="109" name="Line 784">
            <a:extLst>
              <a:ext uri="{FF2B5EF4-FFF2-40B4-BE49-F238E27FC236}">
                <a16:creationId xmlns:a16="http://schemas.microsoft.com/office/drawing/2014/main" id="{BC4CD215-135B-4EA8-B94A-C2B62AF24C56}"/>
              </a:ext>
            </a:extLst>
          </xdr:cNvPr>
          <xdr:cNvSpPr>
            <a:spLocks noChangeShapeType="1"/>
          </xdr:cNvSpPr>
        </xdr:nvSpPr>
        <xdr:spPr bwMode="auto">
          <a:xfrm flipV="1">
            <a:off x="135" y="1404"/>
            <a:ext cx="21" cy="14"/>
          </a:xfrm>
          <a:prstGeom prst="line">
            <a:avLst/>
          </a:prstGeom>
          <a:noFill/>
          <a:ln w="9525">
            <a:solidFill>
              <a:srgbClr val="000000"/>
            </a:solidFill>
            <a:round/>
            <a:headEnd/>
            <a:tailEnd/>
          </a:ln>
        </xdr:spPr>
      </xdr:sp>
      <xdr:sp macro="" textlink="">
        <xdr:nvSpPr>
          <xdr:cNvPr id="110" name="Line 785">
            <a:extLst>
              <a:ext uri="{FF2B5EF4-FFF2-40B4-BE49-F238E27FC236}">
                <a16:creationId xmlns:a16="http://schemas.microsoft.com/office/drawing/2014/main" id="{AAEC1D17-3C26-43AD-AB84-F6478B79ABCE}"/>
              </a:ext>
            </a:extLst>
          </xdr:cNvPr>
          <xdr:cNvSpPr>
            <a:spLocks noChangeShapeType="1"/>
          </xdr:cNvSpPr>
        </xdr:nvSpPr>
        <xdr:spPr bwMode="auto">
          <a:xfrm>
            <a:off x="135" y="1373"/>
            <a:ext cx="21" cy="12"/>
          </a:xfrm>
          <a:prstGeom prst="line">
            <a:avLst/>
          </a:prstGeom>
          <a:noFill/>
          <a:ln w="9525">
            <a:solidFill>
              <a:srgbClr val="000000"/>
            </a:solidFill>
            <a:round/>
            <a:headEnd/>
            <a:tailEnd/>
          </a:ln>
        </xdr:spPr>
      </xdr:sp>
      <xdr:sp macro="" textlink="">
        <xdr:nvSpPr>
          <xdr:cNvPr id="111" name="Line 786">
            <a:extLst>
              <a:ext uri="{FF2B5EF4-FFF2-40B4-BE49-F238E27FC236}">
                <a16:creationId xmlns:a16="http://schemas.microsoft.com/office/drawing/2014/main" id="{32D7AAA6-FF2C-4B06-8D6B-023B3174B9C8}"/>
              </a:ext>
            </a:extLst>
          </xdr:cNvPr>
          <xdr:cNvSpPr>
            <a:spLocks noChangeShapeType="1"/>
          </xdr:cNvSpPr>
        </xdr:nvSpPr>
        <xdr:spPr bwMode="auto">
          <a:xfrm>
            <a:off x="144" y="1369"/>
            <a:ext cx="13" cy="8"/>
          </a:xfrm>
          <a:prstGeom prst="line">
            <a:avLst/>
          </a:prstGeom>
          <a:noFill/>
          <a:ln w="9525">
            <a:solidFill>
              <a:srgbClr val="000000"/>
            </a:solidFill>
            <a:round/>
            <a:headEnd/>
            <a:tailEnd/>
          </a:ln>
        </xdr:spPr>
      </xdr:sp>
      <xdr:sp macro="" textlink="">
        <xdr:nvSpPr>
          <xdr:cNvPr id="112" name="Line 787">
            <a:extLst>
              <a:ext uri="{FF2B5EF4-FFF2-40B4-BE49-F238E27FC236}">
                <a16:creationId xmlns:a16="http://schemas.microsoft.com/office/drawing/2014/main" id="{39222712-5E81-4C31-A663-2C3135F829AC}"/>
              </a:ext>
            </a:extLst>
          </xdr:cNvPr>
          <xdr:cNvSpPr>
            <a:spLocks noChangeShapeType="1"/>
          </xdr:cNvSpPr>
        </xdr:nvSpPr>
        <xdr:spPr bwMode="auto">
          <a:xfrm>
            <a:off x="135" y="1382"/>
            <a:ext cx="21" cy="14"/>
          </a:xfrm>
          <a:prstGeom prst="line">
            <a:avLst/>
          </a:prstGeom>
          <a:noFill/>
          <a:ln w="9525">
            <a:solidFill>
              <a:srgbClr val="000000"/>
            </a:solidFill>
            <a:round/>
            <a:headEnd/>
            <a:tailEnd/>
          </a:ln>
        </xdr:spPr>
      </xdr:sp>
      <xdr:sp macro="" textlink="">
        <xdr:nvSpPr>
          <xdr:cNvPr id="113" name="Line 788">
            <a:extLst>
              <a:ext uri="{FF2B5EF4-FFF2-40B4-BE49-F238E27FC236}">
                <a16:creationId xmlns:a16="http://schemas.microsoft.com/office/drawing/2014/main" id="{40CA2578-5189-4336-BD96-CD1D496BF335}"/>
              </a:ext>
            </a:extLst>
          </xdr:cNvPr>
          <xdr:cNvSpPr>
            <a:spLocks noChangeShapeType="1"/>
          </xdr:cNvSpPr>
        </xdr:nvSpPr>
        <xdr:spPr bwMode="auto">
          <a:xfrm>
            <a:off x="135" y="1393"/>
            <a:ext cx="22" cy="15"/>
          </a:xfrm>
          <a:prstGeom prst="line">
            <a:avLst/>
          </a:prstGeom>
          <a:noFill/>
          <a:ln w="9525">
            <a:solidFill>
              <a:srgbClr val="000000"/>
            </a:solidFill>
            <a:round/>
            <a:headEnd/>
            <a:tailEnd/>
          </a:ln>
        </xdr:spPr>
      </xdr:sp>
      <xdr:sp macro="" textlink="">
        <xdr:nvSpPr>
          <xdr:cNvPr id="114" name="Line 789">
            <a:extLst>
              <a:ext uri="{FF2B5EF4-FFF2-40B4-BE49-F238E27FC236}">
                <a16:creationId xmlns:a16="http://schemas.microsoft.com/office/drawing/2014/main" id="{55300BBB-84EA-49F5-A7E5-4CAF90674FD3}"/>
              </a:ext>
            </a:extLst>
          </xdr:cNvPr>
          <xdr:cNvSpPr>
            <a:spLocks noChangeShapeType="1"/>
          </xdr:cNvSpPr>
        </xdr:nvSpPr>
        <xdr:spPr bwMode="auto">
          <a:xfrm>
            <a:off x="135" y="1403"/>
            <a:ext cx="21" cy="16"/>
          </a:xfrm>
          <a:prstGeom prst="line">
            <a:avLst/>
          </a:prstGeom>
          <a:noFill/>
          <a:ln w="9525">
            <a:solidFill>
              <a:srgbClr val="000000"/>
            </a:solidFill>
            <a:round/>
            <a:headEnd/>
            <a:tailEnd/>
          </a:ln>
        </xdr:spPr>
      </xdr:sp>
      <xdr:sp macro="" textlink="">
        <xdr:nvSpPr>
          <xdr:cNvPr id="115" name="Line 790">
            <a:extLst>
              <a:ext uri="{FF2B5EF4-FFF2-40B4-BE49-F238E27FC236}">
                <a16:creationId xmlns:a16="http://schemas.microsoft.com/office/drawing/2014/main" id="{5379C59D-78B0-4656-9B43-7DA220104C6C}"/>
              </a:ext>
            </a:extLst>
          </xdr:cNvPr>
          <xdr:cNvSpPr>
            <a:spLocks noChangeShapeType="1"/>
          </xdr:cNvSpPr>
        </xdr:nvSpPr>
        <xdr:spPr bwMode="auto">
          <a:xfrm flipV="1">
            <a:off x="135" y="1394"/>
            <a:ext cx="21" cy="14"/>
          </a:xfrm>
          <a:prstGeom prst="line">
            <a:avLst/>
          </a:prstGeom>
          <a:noFill/>
          <a:ln w="9525">
            <a:solidFill>
              <a:srgbClr val="000000"/>
            </a:solidFill>
            <a:round/>
            <a:headEnd/>
            <a:tailEnd/>
          </a:ln>
        </xdr:spPr>
      </xdr:sp>
      <xdr:sp macro="" textlink="">
        <xdr:nvSpPr>
          <xdr:cNvPr id="116" name="Line 791">
            <a:extLst>
              <a:ext uri="{FF2B5EF4-FFF2-40B4-BE49-F238E27FC236}">
                <a16:creationId xmlns:a16="http://schemas.microsoft.com/office/drawing/2014/main" id="{91A2937B-904C-4D11-BF64-EC70DD6D50F3}"/>
              </a:ext>
            </a:extLst>
          </xdr:cNvPr>
          <xdr:cNvSpPr>
            <a:spLocks noChangeShapeType="1"/>
          </xdr:cNvSpPr>
        </xdr:nvSpPr>
        <xdr:spPr bwMode="auto">
          <a:xfrm flipV="1">
            <a:off x="135" y="1414"/>
            <a:ext cx="21" cy="18"/>
          </a:xfrm>
          <a:prstGeom prst="line">
            <a:avLst/>
          </a:prstGeom>
          <a:noFill/>
          <a:ln w="9525">
            <a:solidFill>
              <a:srgbClr val="000000"/>
            </a:solidFill>
            <a:round/>
            <a:headEnd/>
            <a:tailEnd/>
          </a:ln>
        </xdr:spPr>
      </xdr:sp>
      <xdr:sp macro="" textlink="">
        <xdr:nvSpPr>
          <xdr:cNvPr id="117" name="Line 792">
            <a:extLst>
              <a:ext uri="{FF2B5EF4-FFF2-40B4-BE49-F238E27FC236}">
                <a16:creationId xmlns:a16="http://schemas.microsoft.com/office/drawing/2014/main" id="{C9F5E8B8-4C43-4EA7-833F-BF344BAC6E23}"/>
              </a:ext>
            </a:extLst>
          </xdr:cNvPr>
          <xdr:cNvSpPr>
            <a:spLocks noChangeShapeType="1"/>
          </xdr:cNvSpPr>
        </xdr:nvSpPr>
        <xdr:spPr bwMode="auto">
          <a:xfrm flipV="1">
            <a:off x="135" y="1424"/>
            <a:ext cx="21" cy="18"/>
          </a:xfrm>
          <a:prstGeom prst="line">
            <a:avLst/>
          </a:prstGeom>
          <a:noFill/>
          <a:ln w="9525">
            <a:solidFill>
              <a:srgbClr val="000000"/>
            </a:solidFill>
            <a:round/>
            <a:headEnd/>
            <a:tailEnd/>
          </a:ln>
        </xdr:spPr>
      </xdr:sp>
      <xdr:grpSp>
        <xdr:nvGrpSpPr>
          <xdr:cNvPr id="118" name="Group 793">
            <a:extLst>
              <a:ext uri="{FF2B5EF4-FFF2-40B4-BE49-F238E27FC236}">
                <a16:creationId xmlns:a16="http://schemas.microsoft.com/office/drawing/2014/main" id="{153FC810-4EBE-43F0-97EE-B464590A7F38}"/>
              </a:ext>
            </a:extLst>
          </xdr:cNvPr>
          <xdr:cNvGrpSpPr>
            <a:grpSpLocks/>
          </xdr:cNvGrpSpPr>
        </xdr:nvGrpSpPr>
        <xdr:grpSpPr bwMode="auto">
          <a:xfrm>
            <a:off x="81" y="1323"/>
            <a:ext cx="133" cy="199"/>
            <a:chOff x="81" y="1327"/>
            <a:chExt cx="133" cy="195"/>
          </a:xfrm>
        </xdr:grpSpPr>
        <xdr:sp macro="" textlink="">
          <xdr:nvSpPr>
            <xdr:cNvPr id="160" name="Line 794">
              <a:extLst>
                <a:ext uri="{FF2B5EF4-FFF2-40B4-BE49-F238E27FC236}">
                  <a16:creationId xmlns:a16="http://schemas.microsoft.com/office/drawing/2014/main" id="{BE470F65-2D18-4522-AE85-D4E09D43D501}"/>
                </a:ext>
              </a:extLst>
            </xdr:cNvPr>
            <xdr:cNvSpPr>
              <a:spLocks noChangeShapeType="1"/>
            </xdr:cNvSpPr>
          </xdr:nvSpPr>
          <xdr:spPr bwMode="auto">
            <a:xfrm>
              <a:off x="135" y="1327"/>
              <a:ext cx="0" cy="156"/>
            </a:xfrm>
            <a:prstGeom prst="line">
              <a:avLst/>
            </a:prstGeom>
            <a:noFill/>
            <a:ln w="19050">
              <a:solidFill>
                <a:srgbClr val="000000"/>
              </a:solidFill>
              <a:round/>
              <a:headEnd/>
              <a:tailEnd/>
            </a:ln>
          </xdr:spPr>
        </xdr:sp>
        <xdr:sp macro="" textlink="">
          <xdr:nvSpPr>
            <xdr:cNvPr id="161" name="Line 795">
              <a:extLst>
                <a:ext uri="{FF2B5EF4-FFF2-40B4-BE49-F238E27FC236}">
                  <a16:creationId xmlns:a16="http://schemas.microsoft.com/office/drawing/2014/main" id="{13DCCBCE-2BB4-425D-9A6F-BB89A04E5B67}"/>
                </a:ext>
              </a:extLst>
            </xdr:cNvPr>
            <xdr:cNvSpPr>
              <a:spLocks noChangeShapeType="1"/>
            </xdr:cNvSpPr>
          </xdr:nvSpPr>
          <xdr:spPr bwMode="auto">
            <a:xfrm>
              <a:off x="156" y="1327"/>
              <a:ext cx="0" cy="156"/>
            </a:xfrm>
            <a:prstGeom prst="line">
              <a:avLst/>
            </a:prstGeom>
            <a:noFill/>
            <a:ln w="19050">
              <a:solidFill>
                <a:srgbClr val="000000"/>
              </a:solidFill>
              <a:round/>
              <a:headEnd/>
              <a:tailEnd/>
            </a:ln>
          </xdr:spPr>
        </xdr:sp>
        <xdr:sp macro="" textlink="">
          <xdr:nvSpPr>
            <xdr:cNvPr id="162" name="Line 796">
              <a:extLst>
                <a:ext uri="{FF2B5EF4-FFF2-40B4-BE49-F238E27FC236}">
                  <a16:creationId xmlns:a16="http://schemas.microsoft.com/office/drawing/2014/main" id="{EAE901C5-877C-4A9D-9723-B2DFC2388810}"/>
                </a:ext>
              </a:extLst>
            </xdr:cNvPr>
            <xdr:cNvSpPr>
              <a:spLocks noChangeShapeType="1"/>
            </xdr:cNvSpPr>
          </xdr:nvSpPr>
          <xdr:spPr bwMode="auto">
            <a:xfrm>
              <a:off x="130" y="1482"/>
              <a:ext cx="31" cy="0"/>
            </a:xfrm>
            <a:prstGeom prst="line">
              <a:avLst/>
            </a:prstGeom>
            <a:noFill/>
            <a:ln w="19050">
              <a:solidFill>
                <a:srgbClr val="000000"/>
              </a:solidFill>
              <a:round/>
              <a:headEnd/>
              <a:tailEnd/>
            </a:ln>
          </xdr:spPr>
        </xdr:sp>
        <xdr:sp macro="" textlink="">
          <xdr:nvSpPr>
            <xdr:cNvPr id="163" name="Line 797">
              <a:extLst>
                <a:ext uri="{FF2B5EF4-FFF2-40B4-BE49-F238E27FC236}">
                  <a16:creationId xmlns:a16="http://schemas.microsoft.com/office/drawing/2014/main" id="{7F2E98EA-6170-43B0-9A78-414F5E64A420}"/>
                </a:ext>
              </a:extLst>
            </xdr:cNvPr>
            <xdr:cNvSpPr>
              <a:spLocks noChangeShapeType="1"/>
            </xdr:cNvSpPr>
          </xdr:nvSpPr>
          <xdr:spPr bwMode="auto">
            <a:xfrm flipH="1">
              <a:off x="104" y="1481"/>
              <a:ext cx="26" cy="37"/>
            </a:xfrm>
            <a:prstGeom prst="line">
              <a:avLst/>
            </a:prstGeom>
            <a:noFill/>
            <a:ln w="19050">
              <a:solidFill>
                <a:srgbClr val="000000"/>
              </a:solidFill>
              <a:round/>
              <a:headEnd/>
              <a:tailEnd/>
            </a:ln>
          </xdr:spPr>
        </xdr:sp>
        <xdr:sp macro="" textlink="">
          <xdr:nvSpPr>
            <xdr:cNvPr id="164" name="Line 798">
              <a:extLst>
                <a:ext uri="{FF2B5EF4-FFF2-40B4-BE49-F238E27FC236}">
                  <a16:creationId xmlns:a16="http://schemas.microsoft.com/office/drawing/2014/main" id="{D349D8EF-3243-41BD-8656-9C07B34E49AF}"/>
                </a:ext>
              </a:extLst>
            </xdr:cNvPr>
            <xdr:cNvSpPr>
              <a:spLocks noChangeShapeType="1"/>
            </xdr:cNvSpPr>
          </xdr:nvSpPr>
          <xdr:spPr bwMode="auto">
            <a:xfrm>
              <a:off x="161" y="1482"/>
              <a:ext cx="28" cy="36"/>
            </a:xfrm>
            <a:prstGeom prst="line">
              <a:avLst/>
            </a:prstGeom>
            <a:noFill/>
            <a:ln w="19050">
              <a:solidFill>
                <a:srgbClr val="000000"/>
              </a:solidFill>
              <a:round/>
              <a:headEnd/>
              <a:tailEnd/>
            </a:ln>
          </xdr:spPr>
        </xdr:sp>
        <xdr:sp macro="" textlink="">
          <xdr:nvSpPr>
            <xdr:cNvPr id="165" name="Freeform 799">
              <a:extLst>
                <a:ext uri="{FF2B5EF4-FFF2-40B4-BE49-F238E27FC236}">
                  <a16:creationId xmlns:a16="http://schemas.microsoft.com/office/drawing/2014/main" id="{D393BD4B-B64F-475C-A451-62DECC5A24E3}"/>
                </a:ext>
              </a:extLst>
            </xdr:cNvPr>
            <xdr:cNvSpPr>
              <a:spLocks/>
            </xdr:cNvSpPr>
          </xdr:nvSpPr>
          <xdr:spPr bwMode="auto">
            <a:xfrm>
              <a:off x="81" y="1504"/>
              <a:ext cx="133" cy="18"/>
            </a:xfrm>
            <a:custGeom>
              <a:avLst/>
              <a:gdLst>
                <a:gd name="T0" fmla="*/ 0 w 133"/>
                <a:gd name="T1" fmla="*/ 1 h 18"/>
                <a:gd name="T2" fmla="*/ 3 w 133"/>
                <a:gd name="T3" fmla="*/ 5 h 18"/>
                <a:gd name="T4" fmla="*/ 10 w 133"/>
                <a:gd name="T5" fmla="*/ 11 h 18"/>
                <a:gd name="T6" fmla="*/ 20 w 133"/>
                <a:gd name="T7" fmla="*/ 13 h 18"/>
                <a:gd name="T8" fmla="*/ 30 w 133"/>
                <a:gd name="T9" fmla="*/ 14 h 18"/>
                <a:gd name="T10" fmla="*/ 52 w 133"/>
                <a:gd name="T11" fmla="*/ 12 h 18"/>
                <a:gd name="T12" fmla="*/ 57 w 133"/>
                <a:gd name="T13" fmla="*/ 8 h 18"/>
                <a:gd name="T14" fmla="*/ 73 w 133"/>
                <a:gd name="T15" fmla="*/ 4 h 18"/>
                <a:gd name="T16" fmla="*/ 80 w 133"/>
                <a:gd name="T17" fmla="*/ 2 h 18"/>
                <a:gd name="T18" fmla="*/ 91 w 133"/>
                <a:gd name="T19" fmla="*/ 1 h 18"/>
                <a:gd name="T20" fmla="*/ 103 w 133"/>
                <a:gd name="T21" fmla="*/ 9 h 18"/>
                <a:gd name="T22" fmla="*/ 109 w 133"/>
                <a:gd name="T23" fmla="*/ 15 h 18"/>
                <a:gd name="T24" fmla="*/ 117 w 133"/>
                <a:gd name="T25" fmla="*/ 17 h 18"/>
                <a:gd name="T26" fmla="*/ 129 w 133"/>
                <a:gd name="T27" fmla="*/ 12 h 18"/>
                <a:gd name="T28" fmla="*/ 133 w 133"/>
                <a:gd name="T29" fmla="*/ 10 h 1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33"/>
                <a:gd name="T46" fmla="*/ 0 h 18"/>
                <a:gd name="T47" fmla="*/ 133 w 133"/>
                <a:gd name="T48" fmla="*/ 18 h 18"/>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33" h="18">
                  <a:moveTo>
                    <a:pt x="0" y="1"/>
                  </a:moveTo>
                  <a:cubicBezTo>
                    <a:pt x="0" y="2"/>
                    <a:pt x="1" y="3"/>
                    <a:pt x="3" y="5"/>
                  </a:cubicBezTo>
                  <a:cubicBezTo>
                    <a:pt x="5" y="7"/>
                    <a:pt x="7" y="10"/>
                    <a:pt x="10" y="11"/>
                  </a:cubicBezTo>
                  <a:cubicBezTo>
                    <a:pt x="13" y="12"/>
                    <a:pt x="17" y="12"/>
                    <a:pt x="20" y="13"/>
                  </a:cubicBezTo>
                  <a:cubicBezTo>
                    <a:pt x="23" y="14"/>
                    <a:pt x="25" y="14"/>
                    <a:pt x="30" y="14"/>
                  </a:cubicBezTo>
                  <a:cubicBezTo>
                    <a:pt x="35" y="14"/>
                    <a:pt x="48" y="13"/>
                    <a:pt x="52" y="12"/>
                  </a:cubicBezTo>
                  <a:cubicBezTo>
                    <a:pt x="56" y="11"/>
                    <a:pt x="54" y="9"/>
                    <a:pt x="57" y="8"/>
                  </a:cubicBezTo>
                  <a:cubicBezTo>
                    <a:pt x="60" y="7"/>
                    <a:pt x="69" y="5"/>
                    <a:pt x="73" y="4"/>
                  </a:cubicBezTo>
                  <a:cubicBezTo>
                    <a:pt x="77" y="3"/>
                    <a:pt x="77" y="2"/>
                    <a:pt x="80" y="2"/>
                  </a:cubicBezTo>
                  <a:cubicBezTo>
                    <a:pt x="83" y="2"/>
                    <a:pt x="87" y="0"/>
                    <a:pt x="91" y="1"/>
                  </a:cubicBezTo>
                  <a:cubicBezTo>
                    <a:pt x="95" y="2"/>
                    <a:pt x="100" y="7"/>
                    <a:pt x="103" y="9"/>
                  </a:cubicBezTo>
                  <a:cubicBezTo>
                    <a:pt x="106" y="11"/>
                    <a:pt x="107" y="14"/>
                    <a:pt x="109" y="15"/>
                  </a:cubicBezTo>
                  <a:cubicBezTo>
                    <a:pt x="111" y="16"/>
                    <a:pt x="114" y="18"/>
                    <a:pt x="117" y="17"/>
                  </a:cubicBezTo>
                  <a:cubicBezTo>
                    <a:pt x="120" y="16"/>
                    <a:pt x="126" y="13"/>
                    <a:pt x="129" y="12"/>
                  </a:cubicBezTo>
                  <a:cubicBezTo>
                    <a:pt x="132" y="11"/>
                    <a:pt x="132" y="10"/>
                    <a:pt x="133" y="10"/>
                  </a:cubicBezTo>
                </a:path>
              </a:pathLst>
            </a:custGeom>
            <a:noFill/>
            <a:ln w="19050">
              <a:solidFill>
                <a:srgbClr val="000000"/>
              </a:solidFill>
              <a:round/>
              <a:headEnd/>
              <a:tailEnd/>
            </a:ln>
          </xdr:spPr>
        </xdr:sp>
        <xdr:sp macro="" textlink="">
          <xdr:nvSpPr>
            <xdr:cNvPr id="166" name="Freeform 800">
              <a:extLst>
                <a:ext uri="{FF2B5EF4-FFF2-40B4-BE49-F238E27FC236}">
                  <a16:creationId xmlns:a16="http://schemas.microsoft.com/office/drawing/2014/main" id="{5F9796A1-805C-4E90-B997-BCA44310C2FB}"/>
                </a:ext>
              </a:extLst>
            </xdr:cNvPr>
            <xdr:cNvSpPr>
              <a:spLocks/>
            </xdr:cNvSpPr>
          </xdr:nvSpPr>
          <xdr:spPr bwMode="auto">
            <a:xfrm>
              <a:off x="117" y="1332"/>
              <a:ext cx="51" cy="7"/>
            </a:xfrm>
            <a:custGeom>
              <a:avLst/>
              <a:gdLst>
                <a:gd name="T0" fmla="*/ 0 w 51"/>
                <a:gd name="T1" fmla="*/ 7 h 7"/>
                <a:gd name="T2" fmla="*/ 8 w 51"/>
                <a:gd name="T3" fmla="*/ 3 h 7"/>
                <a:gd name="T4" fmla="*/ 20 w 51"/>
                <a:gd name="T5" fmla="*/ 3 h 7"/>
                <a:gd name="T6" fmla="*/ 27 w 51"/>
                <a:gd name="T7" fmla="*/ 5 h 7"/>
                <a:gd name="T8" fmla="*/ 32 w 51"/>
                <a:gd name="T9" fmla="*/ 6 h 7"/>
                <a:gd name="T10" fmla="*/ 38 w 51"/>
                <a:gd name="T11" fmla="*/ 5 h 7"/>
                <a:gd name="T12" fmla="*/ 46 w 51"/>
                <a:gd name="T13" fmla="*/ 4 h 7"/>
                <a:gd name="T14" fmla="*/ 51 w 51"/>
                <a:gd name="T15" fmla="*/ 0 h 7"/>
                <a:gd name="T16" fmla="*/ 0 60000 65536"/>
                <a:gd name="T17" fmla="*/ 0 60000 65536"/>
                <a:gd name="T18" fmla="*/ 0 60000 65536"/>
                <a:gd name="T19" fmla="*/ 0 60000 65536"/>
                <a:gd name="T20" fmla="*/ 0 60000 65536"/>
                <a:gd name="T21" fmla="*/ 0 60000 65536"/>
                <a:gd name="T22" fmla="*/ 0 60000 65536"/>
                <a:gd name="T23" fmla="*/ 0 60000 65536"/>
                <a:gd name="T24" fmla="*/ 0 w 51"/>
                <a:gd name="T25" fmla="*/ 0 h 7"/>
                <a:gd name="T26" fmla="*/ 51 w 51"/>
                <a:gd name="T27" fmla="*/ 7 h 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51" h="7">
                  <a:moveTo>
                    <a:pt x="0" y="7"/>
                  </a:moveTo>
                  <a:cubicBezTo>
                    <a:pt x="2" y="5"/>
                    <a:pt x="5" y="4"/>
                    <a:pt x="8" y="3"/>
                  </a:cubicBezTo>
                  <a:cubicBezTo>
                    <a:pt x="11" y="2"/>
                    <a:pt x="17" y="3"/>
                    <a:pt x="20" y="3"/>
                  </a:cubicBezTo>
                  <a:cubicBezTo>
                    <a:pt x="23" y="3"/>
                    <a:pt x="25" y="4"/>
                    <a:pt x="27" y="5"/>
                  </a:cubicBezTo>
                  <a:cubicBezTo>
                    <a:pt x="29" y="6"/>
                    <a:pt x="30" y="6"/>
                    <a:pt x="32" y="6"/>
                  </a:cubicBezTo>
                  <a:cubicBezTo>
                    <a:pt x="34" y="6"/>
                    <a:pt x="36" y="5"/>
                    <a:pt x="38" y="5"/>
                  </a:cubicBezTo>
                  <a:cubicBezTo>
                    <a:pt x="40" y="5"/>
                    <a:pt x="44" y="5"/>
                    <a:pt x="46" y="4"/>
                  </a:cubicBezTo>
                  <a:cubicBezTo>
                    <a:pt x="48" y="3"/>
                    <a:pt x="50" y="0"/>
                    <a:pt x="51" y="0"/>
                  </a:cubicBezTo>
                </a:path>
              </a:pathLst>
            </a:custGeom>
            <a:noFill/>
            <a:ln w="19050">
              <a:solidFill>
                <a:srgbClr val="000000"/>
              </a:solidFill>
              <a:round/>
              <a:headEnd/>
              <a:tailEnd/>
            </a:ln>
          </xdr:spPr>
        </xdr:sp>
        <xdr:sp macro="" textlink="">
          <xdr:nvSpPr>
            <xdr:cNvPr id="167" name="Line 801">
              <a:extLst>
                <a:ext uri="{FF2B5EF4-FFF2-40B4-BE49-F238E27FC236}">
                  <a16:creationId xmlns:a16="http://schemas.microsoft.com/office/drawing/2014/main" id="{8FEACF4D-3E30-43BC-8DA9-B76EF64E131A}"/>
                </a:ext>
              </a:extLst>
            </xdr:cNvPr>
            <xdr:cNvSpPr>
              <a:spLocks noChangeShapeType="1"/>
            </xdr:cNvSpPr>
          </xdr:nvSpPr>
          <xdr:spPr bwMode="auto">
            <a:xfrm>
              <a:off x="134" y="1456"/>
              <a:ext cx="23" cy="0"/>
            </a:xfrm>
            <a:prstGeom prst="line">
              <a:avLst/>
            </a:prstGeom>
            <a:noFill/>
            <a:ln w="19050">
              <a:solidFill>
                <a:srgbClr val="000000"/>
              </a:solidFill>
              <a:round/>
              <a:headEnd/>
              <a:tailEnd/>
            </a:ln>
          </xdr:spPr>
        </xdr:sp>
      </xdr:grpSp>
      <xdr:sp macro="" textlink="">
        <xdr:nvSpPr>
          <xdr:cNvPr id="119" name="Line 802">
            <a:extLst>
              <a:ext uri="{FF2B5EF4-FFF2-40B4-BE49-F238E27FC236}">
                <a16:creationId xmlns:a16="http://schemas.microsoft.com/office/drawing/2014/main" id="{D7D49C5D-C848-4251-BFED-0D44894A2EDA}"/>
              </a:ext>
            </a:extLst>
          </xdr:cNvPr>
          <xdr:cNvSpPr>
            <a:spLocks noChangeShapeType="1"/>
          </xdr:cNvSpPr>
        </xdr:nvSpPr>
        <xdr:spPr bwMode="auto">
          <a:xfrm>
            <a:off x="135" y="1369"/>
            <a:ext cx="22" cy="0"/>
          </a:xfrm>
          <a:prstGeom prst="line">
            <a:avLst/>
          </a:prstGeom>
          <a:noFill/>
          <a:ln w="9525">
            <a:solidFill>
              <a:srgbClr val="000000"/>
            </a:solidFill>
            <a:round/>
            <a:headEnd/>
            <a:tailEnd/>
          </a:ln>
        </xdr:spPr>
      </xdr:sp>
      <xdr:sp macro="" textlink="">
        <xdr:nvSpPr>
          <xdr:cNvPr id="120" name="Line 803">
            <a:extLst>
              <a:ext uri="{FF2B5EF4-FFF2-40B4-BE49-F238E27FC236}">
                <a16:creationId xmlns:a16="http://schemas.microsoft.com/office/drawing/2014/main" id="{10F82361-3B3F-4A16-AC55-E1591246DD1F}"/>
              </a:ext>
            </a:extLst>
          </xdr:cNvPr>
          <xdr:cNvSpPr>
            <a:spLocks noChangeShapeType="1"/>
          </xdr:cNvSpPr>
        </xdr:nvSpPr>
        <xdr:spPr bwMode="auto">
          <a:xfrm flipV="1">
            <a:off x="136" y="1369"/>
            <a:ext cx="16" cy="9"/>
          </a:xfrm>
          <a:prstGeom prst="line">
            <a:avLst/>
          </a:prstGeom>
          <a:noFill/>
          <a:ln w="9525">
            <a:solidFill>
              <a:srgbClr val="000000"/>
            </a:solidFill>
            <a:round/>
            <a:headEnd/>
            <a:tailEnd/>
          </a:ln>
        </xdr:spPr>
      </xdr:sp>
      <xdr:sp macro="" textlink="">
        <xdr:nvSpPr>
          <xdr:cNvPr id="121" name="Line 804">
            <a:extLst>
              <a:ext uri="{FF2B5EF4-FFF2-40B4-BE49-F238E27FC236}">
                <a16:creationId xmlns:a16="http://schemas.microsoft.com/office/drawing/2014/main" id="{9D2229E4-29B2-4779-8AF3-4C0DC4C1577A}"/>
              </a:ext>
            </a:extLst>
          </xdr:cNvPr>
          <xdr:cNvSpPr>
            <a:spLocks noChangeShapeType="1"/>
          </xdr:cNvSpPr>
        </xdr:nvSpPr>
        <xdr:spPr bwMode="auto">
          <a:xfrm flipV="1">
            <a:off x="135" y="1374"/>
            <a:ext cx="21" cy="13"/>
          </a:xfrm>
          <a:prstGeom prst="line">
            <a:avLst/>
          </a:prstGeom>
          <a:noFill/>
          <a:ln w="9525">
            <a:solidFill>
              <a:srgbClr val="000000"/>
            </a:solidFill>
            <a:round/>
            <a:headEnd/>
            <a:tailEnd/>
          </a:ln>
        </xdr:spPr>
      </xdr:sp>
      <xdr:sp macro="" textlink="">
        <xdr:nvSpPr>
          <xdr:cNvPr id="122" name="Line 805">
            <a:extLst>
              <a:ext uri="{FF2B5EF4-FFF2-40B4-BE49-F238E27FC236}">
                <a16:creationId xmlns:a16="http://schemas.microsoft.com/office/drawing/2014/main" id="{60DD0707-9175-4A05-A92D-48DC63157ADD}"/>
              </a:ext>
            </a:extLst>
          </xdr:cNvPr>
          <xdr:cNvSpPr>
            <a:spLocks noChangeShapeType="1"/>
          </xdr:cNvSpPr>
        </xdr:nvSpPr>
        <xdr:spPr bwMode="auto">
          <a:xfrm flipV="1">
            <a:off x="135" y="1383"/>
            <a:ext cx="21" cy="14"/>
          </a:xfrm>
          <a:prstGeom prst="line">
            <a:avLst/>
          </a:prstGeom>
          <a:noFill/>
          <a:ln w="9525">
            <a:solidFill>
              <a:srgbClr val="000000"/>
            </a:solidFill>
            <a:round/>
            <a:headEnd/>
            <a:tailEnd/>
          </a:ln>
        </xdr:spPr>
      </xdr:sp>
      <xdr:sp macro="" textlink="">
        <xdr:nvSpPr>
          <xdr:cNvPr id="123" name="Line 806">
            <a:extLst>
              <a:ext uri="{FF2B5EF4-FFF2-40B4-BE49-F238E27FC236}">
                <a16:creationId xmlns:a16="http://schemas.microsoft.com/office/drawing/2014/main" id="{97EF92DE-D1B2-44BE-A855-4EEA5ED83CDB}"/>
              </a:ext>
            </a:extLst>
          </xdr:cNvPr>
          <xdr:cNvSpPr>
            <a:spLocks noChangeShapeType="1"/>
          </xdr:cNvSpPr>
        </xdr:nvSpPr>
        <xdr:spPr bwMode="auto">
          <a:xfrm flipV="1">
            <a:off x="135" y="1404"/>
            <a:ext cx="21" cy="14"/>
          </a:xfrm>
          <a:prstGeom prst="line">
            <a:avLst/>
          </a:prstGeom>
          <a:noFill/>
          <a:ln w="9525">
            <a:solidFill>
              <a:srgbClr val="000000"/>
            </a:solidFill>
            <a:round/>
            <a:headEnd/>
            <a:tailEnd/>
          </a:ln>
        </xdr:spPr>
      </xdr:sp>
      <xdr:sp macro="" textlink="">
        <xdr:nvSpPr>
          <xdr:cNvPr id="124" name="Line 807">
            <a:extLst>
              <a:ext uri="{FF2B5EF4-FFF2-40B4-BE49-F238E27FC236}">
                <a16:creationId xmlns:a16="http://schemas.microsoft.com/office/drawing/2014/main" id="{F537C614-1605-4FE6-A7AF-F678F4702B6F}"/>
              </a:ext>
            </a:extLst>
          </xdr:cNvPr>
          <xdr:cNvSpPr>
            <a:spLocks noChangeShapeType="1"/>
          </xdr:cNvSpPr>
        </xdr:nvSpPr>
        <xdr:spPr bwMode="auto">
          <a:xfrm>
            <a:off x="135" y="1373"/>
            <a:ext cx="21" cy="12"/>
          </a:xfrm>
          <a:prstGeom prst="line">
            <a:avLst/>
          </a:prstGeom>
          <a:noFill/>
          <a:ln w="9525">
            <a:solidFill>
              <a:srgbClr val="000000"/>
            </a:solidFill>
            <a:round/>
            <a:headEnd/>
            <a:tailEnd/>
          </a:ln>
        </xdr:spPr>
      </xdr:sp>
      <xdr:sp macro="" textlink="">
        <xdr:nvSpPr>
          <xdr:cNvPr id="125" name="Line 808">
            <a:extLst>
              <a:ext uri="{FF2B5EF4-FFF2-40B4-BE49-F238E27FC236}">
                <a16:creationId xmlns:a16="http://schemas.microsoft.com/office/drawing/2014/main" id="{F7EA0958-C04E-4D76-8EFC-6AF0D2E14567}"/>
              </a:ext>
            </a:extLst>
          </xdr:cNvPr>
          <xdr:cNvSpPr>
            <a:spLocks noChangeShapeType="1"/>
          </xdr:cNvSpPr>
        </xdr:nvSpPr>
        <xdr:spPr bwMode="auto">
          <a:xfrm>
            <a:off x="144" y="1369"/>
            <a:ext cx="13" cy="8"/>
          </a:xfrm>
          <a:prstGeom prst="line">
            <a:avLst/>
          </a:prstGeom>
          <a:noFill/>
          <a:ln w="9525">
            <a:solidFill>
              <a:srgbClr val="000000"/>
            </a:solidFill>
            <a:round/>
            <a:headEnd/>
            <a:tailEnd/>
          </a:ln>
        </xdr:spPr>
      </xdr:sp>
      <xdr:sp macro="" textlink="">
        <xdr:nvSpPr>
          <xdr:cNvPr id="126" name="Line 809">
            <a:extLst>
              <a:ext uri="{FF2B5EF4-FFF2-40B4-BE49-F238E27FC236}">
                <a16:creationId xmlns:a16="http://schemas.microsoft.com/office/drawing/2014/main" id="{90B18CA5-73B2-4F2D-A351-0B4650DD65A3}"/>
              </a:ext>
            </a:extLst>
          </xdr:cNvPr>
          <xdr:cNvSpPr>
            <a:spLocks noChangeShapeType="1"/>
          </xdr:cNvSpPr>
        </xdr:nvSpPr>
        <xdr:spPr bwMode="auto">
          <a:xfrm>
            <a:off x="135" y="1382"/>
            <a:ext cx="21" cy="14"/>
          </a:xfrm>
          <a:prstGeom prst="line">
            <a:avLst/>
          </a:prstGeom>
          <a:noFill/>
          <a:ln w="9525">
            <a:solidFill>
              <a:srgbClr val="000000"/>
            </a:solidFill>
            <a:round/>
            <a:headEnd/>
            <a:tailEnd/>
          </a:ln>
        </xdr:spPr>
      </xdr:sp>
      <xdr:sp macro="" textlink="">
        <xdr:nvSpPr>
          <xdr:cNvPr id="127" name="Line 810">
            <a:extLst>
              <a:ext uri="{FF2B5EF4-FFF2-40B4-BE49-F238E27FC236}">
                <a16:creationId xmlns:a16="http://schemas.microsoft.com/office/drawing/2014/main" id="{8BCB1A4E-FC86-49A2-AF8A-D7105F6ADA5F}"/>
              </a:ext>
            </a:extLst>
          </xdr:cNvPr>
          <xdr:cNvSpPr>
            <a:spLocks noChangeShapeType="1"/>
          </xdr:cNvSpPr>
        </xdr:nvSpPr>
        <xdr:spPr bwMode="auto">
          <a:xfrm>
            <a:off x="135" y="1393"/>
            <a:ext cx="22" cy="15"/>
          </a:xfrm>
          <a:prstGeom prst="line">
            <a:avLst/>
          </a:prstGeom>
          <a:noFill/>
          <a:ln w="9525">
            <a:solidFill>
              <a:srgbClr val="000000"/>
            </a:solidFill>
            <a:round/>
            <a:headEnd/>
            <a:tailEnd/>
          </a:ln>
        </xdr:spPr>
      </xdr:sp>
      <xdr:sp macro="" textlink="">
        <xdr:nvSpPr>
          <xdr:cNvPr id="128" name="Line 811">
            <a:extLst>
              <a:ext uri="{FF2B5EF4-FFF2-40B4-BE49-F238E27FC236}">
                <a16:creationId xmlns:a16="http://schemas.microsoft.com/office/drawing/2014/main" id="{01BD1615-7DF8-4AC8-AF45-69161A5F7088}"/>
              </a:ext>
            </a:extLst>
          </xdr:cNvPr>
          <xdr:cNvSpPr>
            <a:spLocks noChangeShapeType="1"/>
          </xdr:cNvSpPr>
        </xdr:nvSpPr>
        <xdr:spPr bwMode="auto">
          <a:xfrm>
            <a:off x="135" y="1403"/>
            <a:ext cx="21" cy="16"/>
          </a:xfrm>
          <a:prstGeom prst="line">
            <a:avLst/>
          </a:prstGeom>
          <a:noFill/>
          <a:ln w="9525">
            <a:solidFill>
              <a:srgbClr val="000000"/>
            </a:solidFill>
            <a:round/>
            <a:headEnd/>
            <a:tailEnd/>
          </a:ln>
        </xdr:spPr>
      </xdr:sp>
      <xdr:grpSp>
        <xdr:nvGrpSpPr>
          <xdr:cNvPr id="129" name="Group 835">
            <a:extLst>
              <a:ext uri="{FF2B5EF4-FFF2-40B4-BE49-F238E27FC236}">
                <a16:creationId xmlns:a16="http://schemas.microsoft.com/office/drawing/2014/main" id="{EEA303FC-4BBA-4209-A0F6-F7126E013A75}"/>
              </a:ext>
            </a:extLst>
          </xdr:cNvPr>
          <xdr:cNvGrpSpPr>
            <a:grpSpLocks/>
          </xdr:cNvGrpSpPr>
        </xdr:nvGrpSpPr>
        <xdr:grpSpPr bwMode="auto">
          <a:xfrm>
            <a:off x="81" y="1324"/>
            <a:ext cx="133" cy="199"/>
            <a:chOff x="81" y="1324"/>
            <a:chExt cx="133" cy="199"/>
          </a:xfrm>
        </xdr:grpSpPr>
        <xdr:sp macro="" textlink="">
          <xdr:nvSpPr>
            <xdr:cNvPr id="130" name="Line 675">
              <a:extLst>
                <a:ext uri="{FF2B5EF4-FFF2-40B4-BE49-F238E27FC236}">
                  <a16:creationId xmlns:a16="http://schemas.microsoft.com/office/drawing/2014/main" id="{DE0A68B9-75E8-4036-832C-F23E8709F044}"/>
                </a:ext>
              </a:extLst>
            </xdr:cNvPr>
            <xdr:cNvSpPr>
              <a:spLocks noChangeShapeType="1"/>
            </xdr:cNvSpPr>
          </xdr:nvSpPr>
          <xdr:spPr bwMode="auto">
            <a:xfrm>
              <a:off x="138" y="1462"/>
              <a:ext cx="16" cy="0"/>
            </a:xfrm>
            <a:prstGeom prst="line">
              <a:avLst/>
            </a:prstGeom>
            <a:noFill/>
            <a:ln w="9525">
              <a:solidFill>
                <a:srgbClr val="000000"/>
              </a:solidFill>
              <a:round/>
              <a:headEnd/>
              <a:tailEnd/>
            </a:ln>
          </xdr:spPr>
        </xdr:sp>
        <xdr:sp macro="" textlink="">
          <xdr:nvSpPr>
            <xdr:cNvPr id="131" name="Line 676">
              <a:extLst>
                <a:ext uri="{FF2B5EF4-FFF2-40B4-BE49-F238E27FC236}">
                  <a16:creationId xmlns:a16="http://schemas.microsoft.com/office/drawing/2014/main" id="{9C32167F-9DAA-4431-9D46-2FDD49FC9106}"/>
                </a:ext>
              </a:extLst>
            </xdr:cNvPr>
            <xdr:cNvSpPr>
              <a:spLocks noChangeShapeType="1"/>
            </xdr:cNvSpPr>
          </xdr:nvSpPr>
          <xdr:spPr bwMode="auto">
            <a:xfrm>
              <a:off x="138" y="1463"/>
              <a:ext cx="0" cy="20"/>
            </a:xfrm>
            <a:prstGeom prst="line">
              <a:avLst/>
            </a:prstGeom>
            <a:noFill/>
            <a:ln w="9525">
              <a:solidFill>
                <a:srgbClr val="000000"/>
              </a:solidFill>
              <a:round/>
              <a:headEnd/>
              <a:tailEnd/>
            </a:ln>
          </xdr:spPr>
        </xdr:sp>
        <xdr:sp macro="" textlink="">
          <xdr:nvSpPr>
            <xdr:cNvPr id="132" name="Line 678">
              <a:extLst>
                <a:ext uri="{FF2B5EF4-FFF2-40B4-BE49-F238E27FC236}">
                  <a16:creationId xmlns:a16="http://schemas.microsoft.com/office/drawing/2014/main" id="{59A331A7-5456-4A5F-B6A7-DB7AF27D95DD}"/>
                </a:ext>
              </a:extLst>
            </xdr:cNvPr>
            <xdr:cNvSpPr>
              <a:spLocks noChangeShapeType="1"/>
            </xdr:cNvSpPr>
          </xdr:nvSpPr>
          <xdr:spPr bwMode="auto">
            <a:xfrm>
              <a:off x="153" y="1462"/>
              <a:ext cx="0" cy="22"/>
            </a:xfrm>
            <a:prstGeom prst="line">
              <a:avLst/>
            </a:prstGeom>
            <a:noFill/>
            <a:ln w="9525">
              <a:solidFill>
                <a:srgbClr val="000000"/>
              </a:solidFill>
              <a:round/>
              <a:headEnd/>
              <a:tailEnd/>
            </a:ln>
          </xdr:spPr>
        </xdr:sp>
        <xdr:sp macro="" textlink="">
          <xdr:nvSpPr>
            <xdr:cNvPr id="133" name="Line 693">
              <a:extLst>
                <a:ext uri="{FF2B5EF4-FFF2-40B4-BE49-F238E27FC236}">
                  <a16:creationId xmlns:a16="http://schemas.microsoft.com/office/drawing/2014/main" id="{ABDEB633-65AD-4BDF-B4DA-6D23C7E71EB4}"/>
                </a:ext>
              </a:extLst>
            </xdr:cNvPr>
            <xdr:cNvSpPr>
              <a:spLocks noChangeShapeType="1"/>
            </xdr:cNvSpPr>
          </xdr:nvSpPr>
          <xdr:spPr bwMode="auto">
            <a:xfrm flipV="1">
              <a:off x="136" y="1445"/>
              <a:ext cx="19" cy="13"/>
            </a:xfrm>
            <a:prstGeom prst="line">
              <a:avLst/>
            </a:prstGeom>
            <a:noFill/>
            <a:ln w="9525">
              <a:solidFill>
                <a:srgbClr val="000000"/>
              </a:solidFill>
              <a:round/>
              <a:headEnd/>
              <a:tailEnd/>
            </a:ln>
          </xdr:spPr>
        </xdr:sp>
        <xdr:sp macro="" textlink="">
          <xdr:nvSpPr>
            <xdr:cNvPr id="134" name="Line 701">
              <a:extLst>
                <a:ext uri="{FF2B5EF4-FFF2-40B4-BE49-F238E27FC236}">
                  <a16:creationId xmlns:a16="http://schemas.microsoft.com/office/drawing/2014/main" id="{AB340A45-C31E-4A01-9A10-B7E98197AAED}"/>
                </a:ext>
              </a:extLst>
            </xdr:cNvPr>
            <xdr:cNvSpPr>
              <a:spLocks noChangeShapeType="1"/>
            </xdr:cNvSpPr>
          </xdr:nvSpPr>
          <xdr:spPr bwMode="auto">
            <a:xfrm>
              <a:off x="136" y="1425"/>
              <a:ext cx="20" cy="23"/>
            </a:xfrm>
            <a:prstGeom prst="line">
              <a:avLst/>
            </a:prstGeom>
            <a:noFill/>
            <a:ln w="9525">
              <a:solidFill>
                <a:srgbClr val="000000"/>
              </a:solidFill>
              <a:round/>
              <a:headEnd/>
              <a:tailEnd/>
            </a:ln>
          </xdr:spPr>
        </xdr:sp>
        <xdr:sp macro="" textlink="">
          <xdr:nvSpPr>
            <xdr:cNvPr id="135" name="Line 702">
              <a:extLst>
                <a:ext uri="{FF2B5EF4-FFF2-40B4-BE49-F238E27FC236}">
                  <a16:creationId xmlns:a16="http://schemas.microsoft.com/office/drawing/2014/main" id="{E88B2681-D842-4529-A385-14A7D388C871}"/>
                </a:ext>
              </a:extLst>
            </xdr:cNvPr>
            <xdr:cNvSpPr>
              <a:spLocks noChangeShapeType="1"/>
            </xdr:cNvSpPr>
          </xdr:nvSpPr>
          <xdr:spPr bwMode="auto">
            <a:xfrm>
              <a:off x="136" y="1440"/>
              <a:ext cx="20" cy="20"/>
            </a:xfrm>
            <a:prstGeom prst="line">
              <a:avLst/>
            </a:prstGeom>
            <a:noFill/>
            <a:ln w="9525">
              <a:solidFill>
                <a:srgbClr val="000000"/>
              </a:solidFill>
              <a:round/>
              <a:headEnd/>
              <a:tailEnd/>
            </a:ln>
          </xdr:spPr>
        </xdr:sp>
        <xdr:sp macro="" textlink="">
          <xdr:nvSpPr>
            <xdr:cNvPr id="136" name="Line 748">
              <a:extLst>
                <a:ext uri="{FF2B5EF4-FFF2-40B4-BE49-F238E27FC236}">
                  <a16:creationId xmlns:a16="http://schemas.microsoft.com/office/drawing/2014/main" id="{E381B284-4619-4A65-95CF-4A605FE3C559}"/>
                </a:ext>
              </a:extLst>
            </xdr:cNvPr>
            <xdr:cNvSpPr>
              <a:spLocks noChangeShapeType="1"/>
            </xdr:cNvSpPr>
          </xdr:nvSpPr>
          <xdr:spPr bwMode="auto">
            <a:xfrm>
              <a:off x="138" y="1482"/>
              <a:ext cx="15" cy="0"/>
            </a:xfrm>
            <a:prstGeom prst="line">
              <a:avLst/>
            </a:prstGeom>
            <a:noFill/>
            <a:ln w="9525">
              <a:solidFill>
                <a:srgbClr val="000000"/>
              </a:solidFill>
              <a:round/>
              <a:headEnd/>
              <a:tailEnd/>
            </a:ln>
          </xdr:spPr>
        </xdr:sp>
        <xdr:sp macro="" textlink="">
          <xdr:nvSpPr>
            <xdr:cNvPr id="137" name="Line 812">
              <a:extLst>
                <a:ext uri="{FF2B5EF4-FFF2-40B4-BE49-F238E27FC236}">
                  <a16:creationId xmlns:a16="http://schemas.microsoft.com/office/drawing/2014/main" id="{9796F82F-73E7-4BC7-96F6-94414D885CA4}"/>
                </a:ext>
              </a:extLst>
            </xdr:cNvPr>
            <xdr:cNvSpPr>
              <a:spLocks noChangeShapeType="1"/>
            </xdr:cNvSpPr>
          </xdr:nvSpPr>
          <xdr:spPr bwMode="auto">
            <a:xfrm>
              <a:off x="136" y="1416"/>
              <a:ext cx="19" cy="21"/>
            </a:xfrm>
            <a:prstGeom prst="line">
              <a:avLst/>
            </a:prstGeom>
            <a:noFill/>
            <a:ln w="9525">
              <a:solidFill>
                <a:srgbClr val="000000"/>
              </a:solidFill>
              <a:round/>
              <a:headEnd/>
              <a:tailEnd/>
            </a:ln>
          </xdr:spPr>
        </xdr:sp>
        <xdr:sp macro="" textlink="">
          <xdr:nvSpPr>
            <xdr:cNvPr id="138" name="Line 813">
              <a:extLst>
                <a:ext uri="{FF2B5EF4-FFF2-40B4-BE49-F238E27FC236}">
                  <a16:creationId xmlns:a16="http://schemas.microsoft.com/office/drawing/2014/main" id="{8CE3903C-911F-44C0-B175-D8A602878C6E}"/>
                </a:ext>
              </a:extLst>
            </xdr:cNvPr>
            <xdr:cNvSpPr>
              <a:spLocks noChangeShapeType="1"/>
            </xdr:cNvSpPr>
          </xdr:nvSpPr>
          <xdr:spPr bwMode="auto">
            <a:xfrm flipV="1">
              <a:off x="135" y="1395"/>
              <a:ext cx="21" cy="14"/>
            </a:xfrm>
            <a:prstGeom prst="line">
              <a:avLst/>
            </a:prstGeom>
            <a:noFill/>
            <a:ln w="9525">
              <a:solidFill>
                <a:srgbClr val="000000"/>
              </a:solidFill>
              <a:round/>
              <a:headEnd/>
              <a:tailEnd/>
            </a:ln>
          </xdr:spPr>
        </xdr:sp>
        <xdr:sp macro="" textlink="">
          <xdr:nvSpPr>
            <xdr:cNvPr id="139" name="Line 814">
              <a:extLst>
                <a:ext uri="{FF2B5EF4-FFF2-40B4-BE49-F238E27FC236}">
                  <a16:creationId xmlns:a16="http://schemas.microsoft.com/office/drawing/2014/main" id="{9B232578-AB6D-4486-8F2A-B2C5E940EFB2}"/>
                </a:ext>
              </a:extLst>
            </xdr:cNvPr>
            <xdr:cNvSpPr>
              <a:spLocks noChangeShapeType="1"/>
            </xdr:cNvSpPr>
          </xdr:nvSpPr>
          <xdr:spPr bwMode="auto">
            <a:xfrm flipV="1">
              <a:off x="135" y="1415"/>
              <a:ext cx="21" cy="18"/>
            </a:xfrm>
            <a:prstGeom prst="line">
              <a:avLst/>
            </a:prstGeom>
            <a:noFill/>
            <a:ln w="9525">
              <a:solidFill>
                <a:srgbClr val="000000"/>
              </a:solidFill>
              <a:round/>
              <a:headEnd/>
              <a:tailEnd/>
            </a:ln>
          </xdr:spPr>
        </xdr:sp>
        <xdr:sp macro="" textlink="">
          <xdr:nvSpPr>
            <xdr:cNvPr id="140" name="Line 815">
              <a:extLst>
                <a:ext uri="{FF2B5EF4-FFF2-40B4-BE49-F238E27FC236}">
                  <a16:creationId xmlns:a16="http://schemas.microsoft.com/office/drawing/2014/main" id="{73926995-474B-4B0F-94FE-DEE3E4770DA2}"/>
                </a:ext>
              </a:extLst>
            </xdr:cNvPr>
            <xdr:cNvSpPr>
              <a:spLocks noChangeShapeType="1"/>
            </xdr:cNvSpPr>
          </xdr:nvSpPr>
          <xdr:spPr bwMode="auto">
            <a:xfrm flipV="1">
              <a:off x="135" y="1425"/>
              <a:ext cx="21" cy="18"/>
            </a:xfrm>
            <a:prstGeom prst="line">
              <a:avLst/>
            </a:prstGeom>
            <a:noFill/>
            <a:ln w="9525">
              <a:solidFill>
                <a:srgbClr val="000000"/>
              </a:solidFill>
              <a:round/>
              <a:headEnd/>
              <a:tailEnd/>
            </a:ln>
          </xdr:spPr>
        </xdr:sp>
        <xdr:grpSp>
          <xdr:nvGrpSpPr>
            <xdr:cNvPr id="141" name="Group 816">
              <a:extLst>
                <a:ext uri="{FF2B5EF4-FFF2-40B4-BE49-F238E27FC236}">
                  <a16:creationId xmlns:a16="http://schemas.microsoft.com/office/drawing/2014/main" id="{AAB1091D-D4BD-479C-86BD-68981A40C8C6}"/>
                </a:ext>
              </a:extLst>
            </xdr:cNvPr>
            <xdr:cNvGrpSpPr>
              <a:grpSpLocks/>
            </xdr:cNvGrpSpPr>
          </xdr:nvGrpSpPr>
          <xdr:grpSpPr bwMode="auto">
            <a:xfrm>
              <a:off x="81" y="1324"/>
              <a:ext cx="133" cy="199"/>
              <a:chOff x="81" y="1327"/>
              <a:chExt cx="133" cy="195"/>
            </a:xfrm>
          </xdr:grpSpPr>
          <xdr:sp macro="" textlink="">
            <xdr:nvSpPr>
              <xdr:cNvPr id="152" name="Line 817">
                <a:extLst>
                  <a:ext uri="{FF2B5EF4-FFF2-40B4-BE49-F238E27FC236}">
                    <a16:creationId xmlns:a16="http://schemas.microsoft.com/office/drawing/2014/main" id="{F8483319-3AC5-4B24-93BD-4D733219849A}"/>
                  </a:ext>
                </a:extLst>
              </xdr:cNvPr>
              <xdr:cNvSpPr>
                <a:spLocks noChangeShapeType="1"/>
              </xdr:cNvSpPr>
            </xdr:nvSpPr>
            <xdr:spPr bwMode="auto">
              <a:xfrm>
                <a:off x="135" y="1327"/>
                <a:ext cx="0" cy="156"/>
              </a:xfrm>
              <a:prstGeom prst="line">
                <a:avLst/>
              </a:prstGeom>
              <a:noFill/>
              <a:ln w="19050">
                <a:solidFill>
                  <a:srgbClr val="000000"/>
                </a:solidFill>
                <a:round/>
                <a:headEnd/>
                <a:tailEnd/>
              </a:ln>
            </xdr:spPr>
          </xdr:sp>
          <xdr:sp macro="" textlink="">
            <xdr:nvSpPr>
              <xdr:cNvPr id="153" name="Line 818">
                <a:extLst>
                  <a:ext uri="{FF2B5EF4-FFF2-40B4-BE49-F238E27FC236}">
                    <a16:creationId xmlns:a16="http://schemas.microsoft.com/office/drawing/2014/main" id="{36003664-C018-40F6-8D69-2ACD65AE23A9}"/>
                  </a:ext>
                </a:extLst>
              </xdr:cNvPr>
              <xdr:cNvSpPr>
                <a:spLocks noChangeShapeType="1"/>
              </xdr:cNvSpPr>
            </xdr:nvSpPr>
            <xdr:spPr bwMode="auto">
              <a:xfrm>
                <a:off x="156" y="1327"/>
                <a:ext cx="0" cy="156"/>
              </a:xfrm>
              <a:prstGeom prst="line">
                <a:avLst/>
              </a:prstGeom>
              <a:noFill/>
              <a:ln w="19050">
                <a:solidFill>
                  <a:srgbClr val="000000"/>
                </a:solidFill>
                <a:round/>
                <a:headEnd/>
                <a:tailEnd/>
              </a:ln>
            </xdr:spPr>
          </xdr:sp>
          <xdr:sp macro="" textlink="">
            <xdr:nvSpPr>
              <xdr:cNvPr id="154" name="Line 819">
                <a:extLst>
                  <a:ext uri="{FF2B5EF4-FFF2-40B4-BE49-F238E27FC236}">
                    <a16:creationId xmlns:a16="http://schemas.microsoft.com/office/drawing/2014/main" id="{5B34E27A-66F5-440E-AECD-1FDA7894E58D}"/>
                  </a:ext>
                </a:extLst>
              </xdr:cNvPr>
              <xdr:cNvSpPr>
                <a:spLocks noChangeShapeType="1"/>
              </xdr:cNvSpPr>
            </xdr:nvSpPr>
            <xdr:spPr bwMode="auto">
              <a:xfrm>
                <a:off x="130" y="1482"/>
                <a:ext cx="31" cy="0"/>
              </a:xfrm>
              <a:prstGeom prst="line">
                <a:avLst/>
              </a:prstGeom>
              <a:noFill/>
              <a:ln w="19050">
                <a:solidFill>
                  <a:srgbClr val="000000"/>
                </a:solidFill>
                <a:round/>
                <a:headEnd/>
                <a:tailEnd/>
              </a:ln>
            </xdr:spPr>
          </xdr:sp>
          <xdr:sp macro="" textlink="">
            <xdr:nvSpPr>
              <xdr:cNvPr id="155" name="Line 820">
                <a:extLst>
                  <a:ext uri="{FF2B5EF4-FFF2-40B4-BE49-F238E27FC236}">
                    <a16:creationId xmlns:a16="http://schemas.microsoft.com/office/drawing/2014/main" id="{0CC33B18-74A7-4CBF-892F-30E7EEE33FDB}"/>
                  </a:ext>
                </a:extLst>
              </xdr:cNvPr>
              <xdr:cNvSpPr>
                <a:spLocks noChangeShapeType="1"/>
              </xdr:cNvSpPr>
            </xdr:nvSpPr>
            <xdr:spPr bwMode="auto">
              <a:xfrm flipH="1">
                <a:off x="104" y="1481"/>
                <a:ext cx="26" cy="37"/>
              </a:xfrm>
              <a:prstGeom prst="line">
                <a:avLst/>
              </a:prstGeom>
              <a:noFill/>
              <a:ln w="19050">
                <a:solidFill>
                  <a:srgbClr val="000000"/>
                </a:solidFill>
                <a:round/>
                <a:headEnd/>
                <a:tailEnd/>
              </a:ln>
            </xdr:spPr>
          </xdr:sp>
          <xdr:sp macro="" textlink="">
            <xdr:nvSpPr>
              <xdr:cNvPr id="156" name="Line 821">
                <a:extLst>
                  <a:ext uri="{FF2B5EF4-FFF2-40B4-BE49-F238E27FC236}">
                    <a16:creationId xmlns:a16="http://schemas.microsoft.com/office/drawing/2014/main" id="{5584E9C1-07F2-4384-9E61-6087B1F8FC21}"/>
                  </a:ext>
                </a:extLst>
              </xdr:cNvPr>
              <xdr:cNvSpPr>
                <a:spLocks noChangeShapeType="1"/>
              </xdr:cNvSpPr>
            </xdr:nvSpPr>
            <xdr:spPr bwMode="auto">
              <a:xfrm>
                <a:off x="161" y="1482"/>
                <a:ext cx="28" cy="36"/>
              </a:xfrm>
              <a:prstGeom prst="line">
                <a:avLst/>
              </a:prstGeom>
              <a:noFill/>
              <a:ln w="19050">
                <a:solidFill>
                  <a:srgbClr val="000000"/>
                </a:solidFill>
                <a:round/>
                <a:headEnd/>
                <a:tailEnd/>
              </a:ln>
            </xdr:spPr>
          </xdr:sp>
          <xdr:sp macro="" textlink="">
            <xdr:nvSpPr>
              <xdr:cNvPr id="157" name="Freeform 822">
                <a:extLst>
                  <a:ext uri="{FF2B5EF4-FFF2-40B4-BE49-F238E27FC236}">
                    <a16:creationId xmlns:a16="http://schemas.microsoft.com/office/drawing/2014/main" id="{98EA77E9-CC2A-4284-B77B-56DC3C3C60EA}"/>
                  </a:ext>
                </a:extLst>
              </xdr:cNvPr>
              <xdr:cNvSpPr>
                <a:spLocks/>
              </xdr:cNvSpPr>
            </xdr:nvSpPr>
            <xdr:spPr bwMode="auto">
              <a:xfrm>
                <a:off x="81" y="1504"/>
                <a:ext cx="133" cy="18"/>
              </a:xfrm>
              <a:custGeom>
                <a:avLst/>
                <a:gdLst>
                  <a:gd name="T0" fmla="*/ 0 w 133"/>
                  <a:gd name="T1" fmla="*/ 1 h 18"/>
                  <a:gd name="T2" fmla="*/ 3 w 133"/>
                  <a:gd name="T3" fmla="*/ 5 h 18"/>
                  <a:gd name="T4" fmla="*/ 10 w 133"/>
                  <a:gd name="T5" fmla="*/ 11 h 18"/>
                  <a:gd name="T6" fmla="*/ 20 w 133"/>
                  <a:gd name="T7" fmla="*/ 13 h 18"/>
                  <a:gd name="T8" fmla="*/ 30 w 133"/>
                  <a:gd name="T9" fmla="*/ 14 h 18"/>
                  <a:gd name="T10" fmla="*/ 52 w 133"/>
                  <a:gd name="T11" fmla="*/ 12 h 18"/>
                  <a:gd name="T12" fmla="*/ 57 w 133"/>
                  <a:gd name="T13" fmla="*/ 8 h 18"/>
                  <a:gd name="T14" fmla="*/ 73 w 133"/>
                  <a:gd name="T15" fmla="*/ 4 h 18"/>
                  <a:gd name="T16" fmla="*/ 80 w 133"/>
                  <a:gd name="T17" fmla="*/ 2 h 18"/>
                  <a:gd name="T18" fmla="*/ 91 w 133"/>
                  <a:gd name="T19" fmla="*/ 1 h 18"/>
                  <a:gd name="T20" fmla="*/ 103 w 133"/>
                  <a:gd name="T21" fmla="*/ 9 h 18"/>
                  <a:gd name="T22" fmla="*/ 109 w 133"/>
                  <a:gd name="T23" fmla="*/ 15 h 18"/>
                  <a:gd name="T24" fmla="*/ 117 w 133"/>
                  <a:gd name="T25" fmla="*/ 17 h 18"/>
                  <a:gd name="T26" fmla="*/ 129 w 133"/>
                  <a:gd name="T27" fmla="*/ 12 h 18"/>
                  <a:gd name="T28" fmla="*/ 133 w 133"/>
                  <a:gd name="T29" fmla="*/ 10 h 1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33"/>
                  <a:gd name="T46" fmla="*/ 0 h 18"/>
                  <a:gd name="T47" fmla="*/ 133 w 133"/>
                  <a:gd name="T48" fmla="*/ 18 h 18"/>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33" h="18">
                    <a:moveTo>
                      <a:pt x="0" y="1"/>
                    </a:moveTo>
                    <a:cubicBezTo>
                      <a:pt x="0" y="2"/>
                      <a:pt x="1" y="3"/>
                      <a:pt x="3" y="5"/>
                    </a:cubicBezTo>
                    <a:cubicBezTo>
                      <a:pt x="5" y="7"/>
                      <a:pt x="7" y="10"/>
                      <a:pt x="10" y="11"/>
                    </a:cubicBezTo>
                    <a:cubicBezTo>
                      <a:pt x="13" y="12"/>
                      <a:pt x="17" y="12"/>
                      <a:pt x="20" y="13"/>
                    </a:cubicBezTo>
                    <a:cubicBezTo>
                      <a:pt x="23" y="14"/>
                      <a:pt x="25" y="14"/>
                      <a:pt x="30" y="14"/>
                    </a:cubicBezTo>
                    <a:cubicBezTo>
                      <a:pt x="35" y="14"/>
                      <a:pt x="48" y="13"/>
                      <a:pt x="52" y="12"/>
                    </a:cubicBezTo>
                    <a:cubicBezTo>
                      <a:pt x="56" y="11"/>
                      <a:pt x="54" y="9"/>
                      <a:pt x="57" y="8"/>
                    </a:cubicBezTo>
                    <a:cubicBezTo>
                      <a:pt x="60" y="7"/>
                      <a:pt x="69" y="5"/>
                      <a:pt x="73" y="4"/>
                    </a:cubicBezTo>
                    <a:cubicBezTo>
                      <a:pt x="77" y="3"/>
                      <a:pt x="77" y="2"/>
                      <a:pt x="80" y="2"/>
                    </a:cubicBezTo>
                    <a:cubicBezTo>
                      <a:pt x="83" y="2"/>
                      <a:pt x="87" y="0"/>
                      <a:pt x="91" y="1"/>
                    </a:cubicBezTo>
                    <a:cubicBezTo>
                      <a:pt x="95" y="2"/>
                      <a:pt x="100" y="7"/>
                      <a:pt x="103" y="9"/>
                    </a:cubicBezTo>
                    <a:cubicBezTo>
                      <a:pt x="106" y="11"/>
                      <a:pt x="107" y="14"/>
                      <a:pt x="109" y="15"/>
                    </a:cubicBezTo>
                    <a:cubicBezTo>
                      <a:pt x="111" y="16"/>
                      <a:pt x="114" y="18"/>
                      <a:pt x="117" y="17"/>
                    </a:cubicBezTo>
                    <a:cubicBezTo>
                      <a:pt x="120" y="16"/>
                      <a:pt x="126" y="13"/>
                      <a:pt x="129" y="12"/>
                    </a:cubicBezTo>
                    <a:cubicBezTo>
                      <a:pt x="132" y="11"/>
                      <a:pt x="132" y="10"/>
                      <a:pt x="133" y="10"/>
                    </a:cubicBezTo>
                  </a:path>
                </a:pathLst>
              </a:custGeom>
              <a:noFill/>
              <a:ln w="19050">
                <a:solidFill>
                  <a:srgbClr val="000000"/>
                </a:solidFill>
                <a:round/>
                <a:headEnd/>
                <a:tailEnd/>
              </a:ln>
            </xdr:spPr>
          </xdr:sp>
          <xdr:sp macro="" textlink="">
            <xdr:nvSpPr>
              <xdr:cNvPr id="158" name="Freeform 823">
                <a:extLst>
                  <a:ext uri="{FF2B5EF4-FFF2-40B4-BE49-F238E27FC236}">
                    <a16:creationId xmlns:a16="http://schemas.microsoft.com/office/drawing/2014/main" id="{8479D1C1-BAE7-4F4C-8E99-B3F36E0825E3}"/>
                  </a:ext>
                </a:extLst>
              </xdr:cNvPr>
              <xdr:cNvSpPr>
                <a:spLocks/>
              </xdr:cNvSpPr>
            </xdr:nvSpPr>
            <xdr:spPr bwMode="auto">
              <a:xfrm>
                <a:off x="117" y="1332"/>
                <a:ext cx="51" cy="7"/>
              </a:xfrm>
              <a:custGeom>
                <a:avLst/>
                <a:gdLst>
                  <a:gd name="T0" fmla="*/ 0 w 51"/>
                  <a:gd name="T1" fmla="*/ 7 h 7"/>
                  <a:gd name="T2" fmla="*/ 8 w 51"/>
                  <a:gd name="T3" fmla="*/ 3 h 7"/>
                  <a:gd name="T4" fmla="*/ 20 w 51"/>
                  <a:gd name="T5" fmla="*/ 3 h 7"/>
                  <a:gd name="T6" fmla="*/ 27 w 51"/>
                  <a:gd name="T7" fmla="*/ 5 h 7"/>
                  <a:gd name="T8" fmla="*/ 32 w 51"/>
                  <a:gd name="T9" fmla="*/ 6 h 7"/>
                  <a:gd name="T10" fmla="*/ 38 w 51"/>
                  <a:gd name="T11" fmla="*/ 5 h 7"/>
                  <a:gd name="T12" fmla="*/ 46 w 51"/>
                  <a:gd name="T13" fmla="*/ 4 h 7"/>
                  <a:gd name="T14" fmla="*/ 51 w 51"/>
                  <a:gd name="T15" fmla="*/ 0 h 7"/>
                  <a:gd name="T16" fmla="*/ 0 60000 65536"/>
                  <a:gd name="T17" fmla="*/ 0 60000 65536"/>
                  <a:gd name="T18" fmla="*/ 0 60000 65536"/>
                  <a:gd name="T19" fmla="*/ 0 60000 65536"/>
                  <a:gd name="T20" fmla="*/ 0 60000 65536"/>
                  <a:gd name="T21" fmla="*/ 0 60000 65536"/>
                  <a:gd name="T22" fmla="*/ 0 60000 65536"/>
                  <a:gd name="T23" fmla="*/ 0 60000 65536"/>
                  <a:gd name="T24" fmla="*/ 0 w 51"/>
                  <a:gd name="T25" fmla="*/ 0 h 7"/>
                  <a:gd name="T26" fmla="*/ 51 w 51"/>
                  <a:gd name="T27" fmla="*/ 7 h 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51" h="7">
                    <a:moveTo>
                      <a:pt x="0" y="7"/>
                    </a:moveTo>
                    <a:cubicBezTo>
                      <a:pt x="2" y="5"/>
                      <a:pt x="5" y="4"/>
                      <a:pt x="8" y="3"/>
                    </a:cubicBezTo>
                    <a:cubicBezTo>
                      <a:pt x="11" y="2"/>
                      <a:pt x="17" y="3"/>
                      <a:pt x="20" y="3"/>
                    </a:cubicBezTo>
                    <a:cubicBezTo>
                      <a:pt x="23" y="3"/>
                      <a:pt x="25" y="4"/>
                      <a:pt x="27" y="5"/>
                    </a:cubicBezTo>
                    <a:cubicBezTo>
                      <a:pt x="29" y="6"/>
                      <a:pt x="30" y="6"/>
                      <a:pt x="32" y="6"/>
                    </a:cubicBezTo>
                    <a:cubicBezTo>
                      <a:pt x="34" y="6"/>
                      <a:pt x="36" y="5"/>
                      <a:pt x="38" y="5"/>
                    </a:cubicBezTo>
                    <a:cubicBezTo>
                      <a:pt x="40" y="5"/>
                      <a:pt x="44" y="5"/>
                      <a:pt x="46" y="4"/>
                    </a:cubicBezTo>
                    <a:cubicBezTo>
                      <a:pt x="48" y="3"/>
                      <a:pt x="50" y="0"/>
                      <a:pt x="51" y="0"/>
                    </a:cubicBezTo>
                  </a:path>
                </a:pathLst>
              </a:custGeom>
              <a:noFill/>
              <a:ln w="19050">
                <a:solidFill>
                  <a:srgbClr val="000000"/>
                </a:solidFill>
                <a:round/>
                <a:headEnd/>
                <a:tailEnd/>
              </a:ln>
            </xdr:spPr>
          </xdr:sp>
          <xdr:sp macro="" textlink="">
            <xdr:nvSpPr>
              <xdr:cNvPr id="159" name="Line 824">
                <a:extLst>
                  <a:ext uri="{FF2B5EF4-FFF2-40B4-BE49-F238E27FC236}">
                    <a16:creationId xmlns:a16="http://schemas.microsoft.com/office/drawing/2014/main" id="{9B9EA141-BBA5-4FB9-B0C8-1BE4350ABCB5}"/>
                  </a:ext>
                </a:extLst>
              </xdr:cNvPr>
              <xdr:cNvSpPr>
                <a:spLocks noChangeShapeType="1"/>
              </xdr:cNvSpPr>
            </xdr:nvSpPr>
            <xdr:spPr bwMode="auto">
              <a:xfrm>
                <a:off x="134" y="1456"/>
                <a:ext cx="23" cy="0"/>
              </a:xfrm>
              <a:prstGeom prst="line">
                <a:avLst/>
              </a:prstGeom>
              <a:noFill/>
              <a:ln w="19050">
                <a:solidFill>
                  <a:srgbClr val="000000"/>
                </a:solidFill>
                <a:round/>
                <a:headEnd/>
                <a:tailEnd/>
              </a:ln>
            </xdr:spPr>
          </xdr:sp>
        </xdr:grpSp>
        <xdr:sp macro="" textlink="">
          <xdr:nvSpPr>
            <xdr:cNvPr id="142" name="Line 825">
              <a:extLst>
                <a:ext uri="{FF2B5EF4-FFF2-40B4-BE49-F238E27FC236}">
                  <a16:creationId xmlns:a16="http://schemas.microsoft.com/office/drawing/2014/main" id="{C6B50320-C970-47DD-96ED-CBFB73CEE321}"/>
                </a:ext>
              </a:extLst>
            </xdr:cNvPr>
            <xdr:cNvSpPr>
              <a:spLocks noChangeShapeType="1"/>
            </xdr:cNvSpPr>
          </xdr:nvSpPr>
          <xdr:spPr bwMode="auto">
            <a:xfrm>
              <a:off x="135" y="1370"/>
              <a:ext cx="22" cy="0"/>
            </a:xfrm>
            <a:prstGeom prst="line">
              <a:avLst/>
            </a:prstGeom>
            <a:noFill/>
            <a:ln w="9525">
              <a:solidFill>
                <a:srgbClr val="000000"/>
              </a:solidFill>
              <a:round/>
              <a:headEnd/>
              <a:tailEnd/>
            </a:ln>
          </xdr:spPr>
        </xdr:sp>
        <xdr:sp macro="" textlink="">
          <xdr:nvSpPr>
            <xdr:cNvPr id="143" name="Line 826">
              <a:extLst>
                <a:ext uri="{FF2B5EF4-FFF2-40B4-BE49-F238E27FC236}">
                  <a16:creationId xmlns:a16="http://schemas.microsoft.com/office/drawing/2014/main" id="{5135143F-B233-4A54-9B52-F6B67BEB3B73}"/>
                </a:ext>
              </a:extLst>
            </xdr:cNvPr>
            <xdr:cNvSpPr>
              <a:spLocks noChangeShapeType="1"/>
            </xdr:cNvSpPr>
          </xdr:nvSpPr>
          <xdr:spPr bwMode="auto">
            <a:xfrm flipV="1">
              <a:off x="136" y="1370"/>
              <a:ext cx="16" cy="9"/>
            </a:xfrm>
            <a:prstGeom prst="line">
              <a:avLst/>
            </a:prstGeom>
            <a:noFill/>
            <a:ln w="9525">
              <a:solidFill>
                <a:srgbClr val="000000"/>
              </a:solidFill>
              <a:round/>
              <a:headEnd/>
              <a:tailEnd/>
            </a:ln>
          </xdr:spPr>
        </xdr:sp>
        <xdr:sp macro="" textlink="">
          <xdr:nvSpPr>
            <xdr:cNvPr id="144" name="Line 827">
              <a:extLst>
                <a:ext uri="{FF2B5EF4-FFF2-40B4-BE49-F238E27FC236}">
                  <a16:creationId xmlns:a16="http://schemas.microsoft.com/office/drawing/2014/main" id="{35A8EBA0-3AFF-441A-9B4A-DDBBC32AD5B7}"/>
                </a:ext>
              </a:extLst>
            </xdr:cNvPr>
            <xdr:cNvSpPr>
              <a:spLocks noChangeShapeType="1"/>
            </xdr:cNvSpPr>
          </xdr:nvSpPr>
          <xdr:spPr bwMode="auto">
            <a:xfrm flipV="1">
              <a:off x="135" y="1375"/>
              <a:ext cx="21" cy="13"/>
            </a:xfrm>
            <a:prstGeom prst="line">
              <a:avLst/>
            </a:prstGeom>
            <a:noFill/>
            <a:ln w="9525">
              <a:solidFill>
                <a:srgbClr val="000000"/>
              </a:solidFill>
              <a:round/>
              <a:headEnd/>
              <a:tailEnd/>
            </a:ln>
          </xdr:spPr>
        </xdr:sp>
        <xdr:sp macro="" textlink="">
          <xdr:nvSpPr>
            <xdr:cNvPr id="145" name="Line 828">
              <a:extLst>
                <a:ext uri="{FF2B5EF4-FFF2-40B4-BE49-F238E27FC236}">
                  <a16:creationId xmlns:a16="http://schemas.microsoft.com/office/drawing/2014/main" id="{36CDE964-1358-4129-BB0A-898EFC0B8CF6}"/>
                </a:ext>
              </a:extLst>
            </xdr:cNvPr>
            <xdr:cNvSpPr>
              <a:spLocks noChangeShapeType="1"/>
            </xdr:cNvSpPr>
          </xdr:nvSpPr>
          <xdr:spPr bwMode="auto">
            <a:xfrm flipV="1">
              <a:off x="135" y="1384"/>
              <a:ext cx="21" cy="14"/>
            </a:xfrm>
            <a:prstGeom prst="line">
              <a:avLst/>
            </a:prstGeom>
            <a:noFill/>
            <a:ln w="9525">
              <a:solidFill>
                <a:srgbClr val="000000"/>
              </a:solidFill>
              <a:round/>
              <a:headEnd/>
              <a:tailEnd/>
            </a:ln>
          </xdr:spPr>
        </xdr:sp>
        <xdr:sp macro="" textlink="">
          <xdr:nvSpPr>
            <xdr:cNvPr id="146" name="Line 829">
              <a:extLst>
                <a:ext uri="{FF2B5EF4-FFF2-40B4-BE49-F238E27FC236}">
                  <a16:creationId xmlns:a16="http://schemas.microsoft.com/office/drawing/2014/main" id="{F1AB0A05-0938-40EC-991C-A2FD3F3A80CC}"/>
                </a:ext>
              </a:extLst>
            </xdr:cNvPr>
            <xdr:cNvSpPr>
              <a:spLocks noChangeShapeType="1"/>
            </xdr:cNvSpPr>
          </xdr:nvSpPr>
          <xdr:spPr bwMode="auto">
            <a:xfrm flipV="1">
              <a:off x="135" y="1405"/>
              <a:ext cx="21" cy="14"/>
            </a:xfrm>
            <a:prstGeom prst="line">
              <a:avLst/>
            </a:prstGeom>
            <a:noFill/>
            <a:ln w="9525">
              <a:solidFill>
                <a:srgbClr val="000000"/>
              </a:solidFill>
              <a:round/>
              <a:headEnd/>
              <a:tailEnd/>
            </a:ln>
          </xdr:spPr>
        </xdr:sp>
        <xdr:sp macro="" textlink="">
          <xdr:nvSpPr>
            <xdr:cNvPr id="147" name="Line 830">
              <a:extLst>
                <a:ext uri="{FF2B5EF4-FFF2-40B4-BE49-F238E27FC236}">
                  <a16:creationId xmlns:a16="http://schemas.microsoft.com/office/drawing/2014/main" id="{DD64F0AE-6B14-4ECB-A0FE-D3A5D7A0D16F}"/>
                </a:ext>
              </a:extLst>
            </xdr:cNvPr>
            <xdr:cNvSpPr>
              <a:spLocks noChangeShapeType="1"/>
            </xdr:cNvSpPr>
          </xdr:nvSpPr>
          <xdr:spPr bwMode="auto">
            <a:xfrm>
              <a:off x="135" y="1374"/>
              <a:ext cx="21" cy="12"/>
            </a:xfrm>
            <a:prstGeom prst="line">
              <a:avLst/>
            </a:prstGeom>
            <a:noFill/>
            <a:ln w="9525">
              <a:solidFill>
                <a:srgbClr val="000000"/>
              </a:solidFill>
              <a:round/>
              <a:headEnd/>
              <a:tailEnd/>
            </a:ln>
          </xdr:spPr>
        </xdr:sp>
        <xdr:sp macro="" textlink="">
          <xdr:nvSpPr>
            <xdr:cNvPr id="148" name="Line 831">
              <a:extLst>
                <a:ext uri="{FF2B5EF4-FFF2-40B4-BE49-F238E27FC236}">
                  <a16:creationId xmlns:a16="http://schemas.microsoft.com/office/drawing/2014/main" id="{974AE4A5-A09C-4545-A19A-215C07B92AFA}"/>
                </a:ext>
              </a:extLst>
            </xdr:cNvPr>
            <xdr:cNvSpPr>
              <a:spLocks noChangeShapeType="1"/>
            </xdr:cNvSpPr>
          </xdr:nvSpPr>
          <xdr:spPr bwMode="auto">
            <a:xfrm>
              <a:off x="144" y="1370"/>
              <a:ext cx="13" cy="8"/>
            </a:xfrm>
            <a:prstGeom prst="line">
              <a:avLst/>
            </a:prstGeom>
            <a:noFill/>
            <a:ln w="9525">
              <a:solidFill>
                <a:srgbClr val="000000"/>
              </a:solidFill>
              <a:round/>
              <a:headEnd/>
              <a:tailEnd/>
            </a:ln>
          </xdr:spPr>
        </xdr:sp>
        <xdr:sp macro="" textlink="">
          <xdr:nvSpPr>
            <xdr:cNvPr id="149" name="Line 832">
              <a:extLst>
                <a:ext uri="{FF2B5EF4-FFF2-40B4-BE49-F238E27FC236}">
                  <a16:creationId xmlns:a16="http://schemas.microsoft.com/office/drawing/2014/main" id="{0F7286F7-8926-4B06-863C-B92EBC396074}"/>
                </a:ext>
              </a:extLst>
            </xdr:cNvPr>
            <xdr:cNvSpPr>
              <a:spLocks noChangeShapeType="1"/>
            </xdr:cNvSpPr>
          </xdr:nvSpPr>
          <xdr:spPr bwMode="auto">
            <a:xfrm>
              <a:off x="135" y="1383"/>
              <a:ext cx="21" cy="14"/>
            </a:xfrm>
            <a:prstGeom prst="line">
              <a:avLst/>
            </a:prstGeom>
            <a:noFill/>
            <a:ln w="9525">
              <a:solidFill>
                <a:srgbClr val="000000"/>
              </a:solidFill>
              <a:round/>
              <a:headEnd/>
              <a:tailEnd/>
            </a:ln>
          </xdr:spPr>
        </xdr:sp>
        <xdr:sp macro="" textlink="">
          <xdr:nvSpPr>
            <xdr:cNvPr id="150" name="Line 833">
              <a:extLst>
                <a:ext uri="{FF2B5EF4-FFF2-40B4-BE49-F238E27FC236}">
                  <a16:creationId xmlns:a16="http://schemas.microsoft.com/office/drawing/2014/main" id="{2B9E4537-50D9-4C3B-9936-72191B076465}"/>
                </a:ext>
              </a:extLst>
            </xdr:cNvPr>
            <xdr:cNvSpPr>
              <a:spLocks noChangeShapeType="1"/>
            </xdr:cNvSpPr>
          </xdr:nvSpPr>
          <xdr:spPr bwMode="auto">
            <a:xfrm>
              <a:off x="135" y="1394"/>
              <a:ext cx="22" cy="15"/>
            </a:xfrm>
            <a:prstGeom prst="line">
              <a:avLst/>
            </a:prstGeom>
            <a:noFill/>
            <a:ln w="9525">
              <a:solidFill>
                <a:srgbClr val="000000"/>
              </a:solidFill>
              <a:round/>
              <a:headEnd/>
              <a:tailEnd/>
            </a:ln>
          </xdr:spPr>
        </xdr:sp>
        <xdr:sp macro="" textlink="">
          <xdr:nvSpPr>
            <xdr:cNvPr id="151" name="Line 834">
              <a:extLst>
                <a:ext uri="{FF2B5EF4-FFF2-40B4-BE49-F238E27FC236}">
                  <a16:creationId xmlns:a16="http://schemas.microsoft.com/office/drawing/2014/main" id="{81D33082-67C1-4282-8BCC-2B402CEE467B}"/>
                </a:ext>
              </a:extLst>
            </xdr:cNvPr>
            <xdr:cNvSpPr>
              <a:spLocks noChangeShapeType="1"/>
            </xdr:cNvSpPr>
          </xdr:nvSpPr>
          <xdr:spPr bwMode="auto">
            <a:xfrm>
              <a:off x="135" y="1404"/>
              <a:ext cx="21" cy="16"/>
            </a:xfrm>
            <a:prstGeom prst="line">
              <a:avLst/>
            </a:prstGeom>
            <a:noFill/>
            <a:ln w="9525">
              <a:solidFill>
                <a:srgbClr val="000000"/>
              </a:solidFill>
              <a:round/>
              <a:headEnd/>
              <a:tailEnd/>
            </a:ln>
          </xdr:spPr>
        </xdr:sp>
      </xdr:grpSp>
    </xdr:grpSp>
    <xdr:clientData/>
  </xdr:twoCellAnchor>
  <xdr:twoCellAnchor editAs="oneCell">
    <xdr:from>
      <xdr:col>6</xdr:col>
      <xdr:colOff>90715</xdr:colOff>
      <xdr:row>464</xdr:row>
      <xdr:rowOff>11973</xdr:rowOff>
    </xdr:from>
    <xdr:to>
      <xdr:col>13</xdr:col>
      <xdr:colOff>63501</xdr:colOff>
      <xdr:row>470</xdr:row>
      <xdr:rowOff>37648</xdr:rowOff>
    </xdr:to>
    <xdr:pic>
      <xdr:nvPicPr>
        <xdr:cNvPr id="184" name="Picture 55">
          <a:extLst>
            <a:ext uri="{FF2B5EF4-FFF2-40B4-BE49-F238E27FC236}">
              <a16:creationId xmlns:a16="http://schemas.microsoft.com/office/drawing/2014/main" id="{B29EC242-6067-4B08-893A-ED46A8103F6A}"/>
            </a:ext>
          </a:extLst>
        </xdr:cNvPr>
        <xdr:cNvPicPr>
          <a:picLocks noChangeAspect="1" noChangeArrowheads="1"/>
        </xdr:cNvPicPr>
      </xdr:nvPicPr>
      <xdr:blipFill>
        <a:blip xmlns:r="http://schemas.openxmlformats.org/officeDocument/2006/relationships" r:embed="rId22"/>
        <a:srcRect l="36245" t="2202" r="14039" b="28707"/>
        <a:stretch>
          <a:fillRect/>
        </a:stretch>
      </xdr:blipFill>
      <xdr:spPr bwMode="auto">
        <a:xfrm>
          <a:off x="3084286" y="82117473"/>
          <a:ext cx="1814286" cy="1168675"/>
        </a:xfrm>
        <a:prstGeom prst="rect">
          <a:avLst/>
        </a:prstGeom>
        <a:noFill/>
      </xdr:spPr>
    </xdr:pic>
    <xdr:clientData/>
  </xdr:twoCellAnchor>
  <xdr:twoCellAnchor>
    <xdr:from>
      <xdr:col>8</xdr:col>
      <xdr:colOff>49893</xdr:colOff>
      <xdr:row>504</xdr:row>
      <xdr:rowOff>145144</xdr:rowOff>
    </xdr:from>
    <xdr:to>
      <xdr:col>11</xdr:col>
      <xdr:colOff>99839</xdr:colOff>
      <xdr:row>509</xdr:row>
      <xdr:rowOff>119895</xdr:rowOff>
    </xdr:to>
    <xdr:grpSp>
      <xdr:nvGrpSpPr>
        <xdr:cNvPr id="185" name="Group 724">
          <a:extLst>
            <a:ext uri="{FF2B5EF4-FFF2-40B4-BE49-F238E27FC236}">
              <a16:creationId xmlns:a16="http://schemas.microsoft.com/office/drawing/2014/main" id="{3ECD4D13-29F5-4F5D-A5E6-34364D1855A1}"/>
            </a:ext>
          </a:extLst>
        </xdr:cNvPr>
        <xdr:cNvGrpSpPr>
          <a:grpSpLocks/>
        </xdr:cNvGrpSpPr>
      </xdr:nvGrpSpPr>
      <xdr:grpSpPr bwMode="auto">
        <a:xfrm>
          <a:off x="3534773" y="97437304"/>
          <a:ext cx="842426" cy="939951"/>
          <a:chOff x="121" y="2910"/>
          <a:chExt cx="99" cy="88"/>
        </a:xfrm>
      </xdr:grpSpPr>
      <xdr:sp macro="" textlink="">
        <xdr:nvSpPr>
          <xdr:cNvPr id="186" name="Rectangle 725">
            <a:extLst>
              <a:ext uri="{FF2B5EF4-FFF2-40B4-BE49-F238E27FC236}">
                <a16:creationId xmlns:a16="http://schemas.microsoft.com/office/drawing/2014/main" id="{ACE62B88-E808-417F-919D-C925AD5CE2BD}"/>
              </a:ext>
            </a:extLst>
          </xdr:cNvPr>
          <xdr:cNvSpPr>
            <a:spLocks noChangeArrowheads="1"/>
          </xdr:cNvSpPr>
        </xdr:nvSpPr>
        <xdr:spPr bwMode="auto">
          <a:xfrm>
            <a:off x="130" y="2916"/>
            <a:ext cx="66" cy="54"/>
          </a:xfrm>
          <a:prstGeom prst="rect">
            <a:avLst/>
          </a:prstGeom>
          <a:solidFill>
            <a:srgbClr val="FFFFFF"/>
          </a:solidFill>
          <a:ln w="9525">
            <a:solidFill>
              <a:srgbClr val="000000"/>
            </a:solidFill>
            <a:miter lim="800000"/>
            <a:headEnd/>
            <a:tailEnd/>
          </a:ln>
        </xdr:spPr>
      </xdr:sp>
      <xdr:sp macro="" textlink="">
        <xdr:nvSpPr>
          <xdr:cNvPr id="187" name="Rectangle 726">
            <a:extLst>
              <a:ext uri="{FF2B5EF4-FFF2-40B4-BE49-F238E27FC236}">
                <a16:creationId xmlns:a16="http://schemas.microsoft.com/office/drawing/2014/main" id="{60774F2E-2EAC-4A9A-B493-5CDFD5387BFB}"/>
              </a:ext>
            </a:extLst>
          </xdr:cNvPr>
          <xdr:cNvSpPr>
            <a:spLocks noChangeArrowheads="1"/>
          </xdr:cNvSpPr>
        </xdr:nvSpPr>
        <xdr:spPr bwMode="auto">
          <a:xfrm>
            <a:off x="135" y="2921"/>
            <a:ext cx="56" cy="44"/>
          </a:xfrm>
          <a:prstGeom prst="rect">
            <a:avLst/>
          </a:prstGeom>
          <a:solidFill>
            <a:srgbClr val="FFFFFF"/>
          </a:solidFill>
          <a:ln w="28575">
            <a:solidFill>
              <a:srgbClr val="000000"/>
            </a:solidFill>
            <a:miter lim="800000"/>
            <a:headEnd/>
            <a:tailEnd/>
          </a:ln>
        </xdr:spPr>
      </xdr:sp>
      <xdr:sp macro="" textlink="">
        <xdr:nvSpPr>
          <xdr:cNvPr id="188" name="AutoShape 731">
            <a:extLst>
              <a:ext uri="{FF2B5EF4-FFF2-40B4-BE49-F238E27FC236}">
                <a16:creationId xmlns:a16="http://schemas.microsoft.com/office/drawing/2014/main" id="{E8689D94-BCD5-42C6-B3E8-8DA3C954440A}"/>
              </a:ext>
            </a:extLst>
          </xdr:cNvPr>
          <xdr:cNvSpPr>
            <a:spLocks noChangeArrowheads="1"/>
          </xdr:cNvSpPr>
        </xdr:nvSpPr>
        <xdr:spPr bwMode="auto">
          <a:xfrm>
            <a:off x="183" y="2958"/>
            <a:ext cx="8" cy="8"/>
          </a:xfrm>
          <a:prstGeom prst="flowChartConnector">
            <a:avLst/>
          </a:prstGeom>
          <a:solidFill>
            <a:srgbClr val="FFFFFF"/>
          </a:solidFill>
          <a:ln w="9525">
            <a:solidFill>
              <a:srgbClr val="000000"/>
            </a:solidFill>
            <a:round/>
            <a:headEnd/>
            <a:tailEnd/>
          </a:ln>
        </xdr:spPr>
      </xdr:sp>
      <xdr:sp macro="" textlink="">
        <xdr:nvSpPr>
          <xdr:cNvPr id="189" name="AutoShape 732">
            <a:extLst>
              <a:ext uri="{FF2B5EF4-FFF2-40B4-BE49-F238E27FC236}">
                <a16:creationId xmlns:a16="http://schemas.microsoft.com/office/drawing/2014/main" id="{5DCF2EDA-0EA7-4563-8829-5E344C18C904}"/>
              </a:ext>
            </a:extLst>
          </xdr:cNvPr>
          <xdr:cNvSpPr>
            <a:spLocks noChangeArrowheads="1"/>
          </xdr:cNvSpPr>
        </xdr:nvSpPr>
        <xdr:spPr bwMode="auto">
          <a:xfrm>
            <a:off x="135" y="2957"/>
            <a:ext cx="8" cy="8"/>
          </a:xfrm>
          <a:prstGeom prst="flowChartConnector">
            <a:avLst/>
          </a:prstGeom>
          <a:solidFill>
            <a:srgbClr val="FFFFFF"/>
          </a:solidFill>
          <a:ln w="9525">
            <a:solidFill>
              <a:srgbClr val="000000"/>
            </a:solidFill>
            <a:round/>
            <a:headEnd/>
            <a:tailEnd/>
          </a:ln>
        </xdr:spPr>
      </xdr:sp>
      <xdr:sp macro="" textlink="">
        <xdr:nvSpPr>
          <xdr:cNvPr id="190" name="AutoShape 733">
            <a:extLst>
              <a:ext uri="{FF2B5EF4-FFF2-40B4-BE49-F238E27FC236}">
                <a16:creationId xmlns:a16="http://schemas.microsoft.com/office/drawing/2014/main" id="{57012C11-A6F1-4648-8694-9A16484C9ECB}"/>
              </a:ext>
            </a:extLst>
          </xdr:cNvPr>
          <xdr:cNvSpPr>
            <a:spLocks noChangeArrowheads="1"/>
          </xdr:cNvSpPr>
        </xdr:nvSpPr>
        <xdr:spPr bwMode="auto">
          <a:xfrm>
            <a:off x="134" y="2920"/>
            <a:ext cx="8" cy="8"/>
          </a:xfrm>
          <a:prstGeom prst="flowChartConnector">
            <a:avLst/>
          </a:prstGeom>
          <a:solidFill>
            <a:srgbClr val="FFFFFF"/>
          </a:solidFill>
          <a:ln w="9525">
            <a:solidFill>
              <a:srgbClr val="000000"/>
            </a:solidFill>
            <a:round/>
            <a:headEnd/>
            <a:tailEnd/>
          </a:ln>
        </xdr:spPr>
      </xdr:sp>
      <xdr:sp macro="" textlink="">
        <xdr:nvSpPr>
          <xdr:cNvPr id="191" name="AutoShape 736">
            <a:extLst>
              <a:ext uri="{FF2B5EF4-FFF2-40B4-BE49-F238E27FC236}">
                <a16:creationId xmlns:a16="http://schemas.microsoft.com/office/drawing/2014/main" id="{289372CE-80DC-4084-9278-3F2472C15E66}"/>
              </a:ext>
            </a:extLst>
          </xdr:cNvPr>
          <xdr:cNvSpPr>
            <a:spLocks noChangeArrowheads="1"/>
          </xdr:cNvSpPr>
        </xdr:nvSpPr>
        <xdr:spPr bwMode="auto">
          <a:xfrm>
            <a:off x="183" y="2921"/>
            <a:ext cx="8" cy="8"/>
          </a:xfrm>
          <a:prstGeom prst="flowChartConnector">
            <a:avLst/>
          </a:prstGeom>
          <a:solidFill>
            <a:srgbClr val="FFFFFF"/>
          </a:solidFill>
          <a:ln w="9525">
            <a:solidFill>
              <a:srgbClr val="000000"/>
            </a:solidFill>
            <a:round/>
            <a:headEnd/>
            <a:tailEnd/>
          </a:ln>
        </xdr:spPr>
      </xdr:sp>
      <xdr:sp macro="" textlink="">
        <xdr:nvSpPr>
          <xdr:cNvPr id="192" name="Line 737">
            <a:extLst>
              <a:ext uri="{FF2B5EF4-FFF2-40B4-BE49-F238E27FC236}">
                <a16:creationId xmlns:a16="http://schemas.microsoft.com/office/drawing/2014/main" id="{3E4370A9-302F-40A7-A60A-4D4926DE151C}"/>
              </a:ext>
            </a:extLst>
          </xdr:cNvPr>
          <xdr:cNvSpPr>
            <a:spLocks noChangeShapeType="1"/>
          </xdr:cNvSpPr>
        </xdr:nvSpPr>
        <xdr:spPr bwMode="auto">
          <a:xfrm>
            <a:off x="142" y="2922"/>
            <a:ext cx="4" cy="5"/>
          </a:xfrm>
          <a:prstGeom prst="line">
            <a:avLst/>
          </a:prstGeom>
          <a:noFill/>
          <a:ln w="19050">
            <a:solidFill>
              <a:srgbClr val="000000"/>
            </a:solidFill>
            <a:round/>
            <a:headEnd/>
            <a:tailEnd/>
          </a:ln>
        </xdr:spPr>
      </xdr:sp>
      <xdr:sp macro="" textlink="">
        <xdr:nvSpPr>
          <xdr:cNvPr id="193" name="Line 738">
            <a:extLst>
              <a:ext uri="{FF2B5EF4-FFF2-40B4-BE49-F238E27FC236}">
                <a16:creationId xmlns:a16="http://schemas.microsoft.com/office/drawing/2014/main" id="{C0E11B91-7E82-4F6C-A12F-49E0A27D8A8B}"/>
              </a:ext>
            </a:extLst>
          </xdr:cNvPr>
          <xdr:cNvSpPr>
            <a:spLocks noChangeShapeType="1"/>
          </xdr:cNvSpPr>
        </xdr:nvSpPr>
        <xdr:spPr bwMode="auto">
          <a:xfrm>
            <a:off x="136" y="2927"/>
            <a:ext cx="5" cy="4"/>
          </a:xfrm>
          <a:prstGeom prst="line">
            <a:avLst/>
          </a:prstGeom>
          <a:noFill/>
          <a:ln w="19050">
            <a:solidFill>
              <a:srgbClr val="000000"/>
            </a:solidFill>
            <a:round/>
            <a:headEnd/>
            <a:tailEnd/>
          </a:ln>
        </xdr:spPr>
      </xdr:sp>
      <xdr:sp macro="" textlink="">
        <xdr:nvSpPr>
          <xdr:cNvPr id="194" name="Line 741">
            <a:extLst>
              <a:ext uri="{FF2B5EF4-FFF2-40B4-BE49-F238E27FC236}">
                <a16:creationId xmlns:a16="http://schemas.microsoft.com/office/drawing/2014/main" id="{64602B60-872E-41C8-86C2-07857F65498A}"/>
              </a:ext>
            </a:extLst>
          </xdr:cNvPr>
          <xdr:cNvSpPr>
            <a:spLocks noChangeShapeType="1"/>
          </xdr:cNvSpPr>
        </xdr:nvSpPr>
        <xdr:spPr bwMode="auto">
          <a:xfrm>
            <a:off x="205" y="2910"/>
            <a:ext cx="0" cy="72"/>
          </a:xfrm>
          <a:prstGeom prst="line">
            <a:avLst/>
          </a:prstGeom>
          <a:noFill/>
          <a:ln w="9525">
            <a:solidFill>
              <a:srgbClr val="000000"/>
            </a:solidFill>
            <a:round/>
            <a:headEnd/>
            <a:tailEnd/>
          </a:ln>
        </xdr:spPr>
      </xdr:sp>
      <xdr:sp macro="" textlink="">
        <xdr:nvSpPr>
          <xdr:cNvPr id="195" name="Line 743">
            <a:extLst>
              <a:ext uri="{FF2B5EF4-FFF2-40B4-BE49-F238E27FC236}">
                <a16:creationId xmlns:a16="http://schemas.microsoft.com/office/drawing/2014/main" id="{CB6DDDA5-66DB-45CD-8D39-08428420B39C}"/>
              </a:ext>
            </a:extLst>
          </xdr:cNvPr>
          <xdr:cNvSpPr>
            <a:spLocks noChangeShapeType="1"/>
          </xdr:cNvSpPr>
        </xdr:nvSpPr>
        <xdr:spPr bwMode="auto">
          <a:xfrm>
            <a:off x="121" y="2988"/>
            <a:ext cx="86" cy="0"/>
          </a:xfrm>
          <a:prstGeom prst="line">
            <a:avLst/>
          </a:prstGeom>
          <a:noFill/>
          <a:ln w="9525">
            <a:solidFill>
              <a:srgbClr val="000000"/>
            </a:solidFill>
            <a:round/>
            <a:headEnd/>
            <a:tailEnd/>
          </a:ln>
        </xdr:spPr>
      </xdr:sp>
      <xdr:sp macro="" textlink="">
        <xdr:nvSpPr>
          <xdr:cNvPr id="196" name="Line 745">
            <a:extLst>
              <a:ext uri="{FF2B5EF4-FFF2-40B4-BE49-F238E27FC236}">
                <a16:creationId xmlns:a16="http://schemas.microsoft.com/office/drawing/2014/main" id="{6616692A-1A44-463E-BEF9-0F6E6570F147}"/>
              </a:ext>
            </a:extLst>
          </xdr:cNvPr>
          <xdr:cNvSpPr>
            <a:spLocks noChangeShapeType="1"/>
          </xdr:cNvSpPr>
        </xdr:nvSpPr>
        <xdr:spPr bwMode="auto">
          <a:xfrm>
            <a:off x="200" y="2916"/>
            <a:ext cx="20" cy="0"/>
          </a:xfrm>
          <a:prstGeom prst="line">
            <a:avLst/>
          </a:prstGeom>
          <a:noFill/>
          <a:ln w="9525">
            <a:solidFill>
              <a:srgbClr val="000000"/>
            </a:solidFill>
            <a:round/>
            <a:headEnd/>
            <a:tailEnd/>
          </a:ln>
        </xdr:spPr>
      </xdr:sp>
      <xdr:sp macro="" textlink="">
        <xdr:nvSpPr>
          <xdr:cNvPr id="197" name="Line 746">
            <a:extLst>
              <a:ext uri="{FF2B5EF4-FFF2-40B4-BE49-F238E27FC236}">
                <a16:creationId xmlns:a16="http://schemas.microsoft.com/office/drawing/2014/main" id="{8447755F-E5A7-47B1-90B5-C925ABAD4267}"/>
              </a:ext>
            </a:extLst>
          </xdr:cNvPr>
          <xdr:cNvSpPr>
            <a:spLocks noChangeShapeType="1"/>
          </xdr:cNvSpPr>
        </xdr:nvSpPr>
        <xdr:spPr bwMode="auto">
          <a:xfrm>
            <a:off x="199" y="2969"/>
            <a:ext cx="18" cy="0"/>
          </a:xfrm>
          <a:prstGeom prst="line">
            <a:avLst/>
          </a:prstGeom>
          <a:noFill/>
          <a:ln w="9525">
            <a:solidFill>
              <a:srgbClr val="000000"/>
            </a:solidFill>
            <a:round/>
            <a:headEnd/>
            <a:tailEnd/>
          </a:ln>
        </xdr:spPr>
      </xdr:sp>
      <xdr:sp macro="" textlink="">
        <xdr:nvSpPr>
          <xdr:cNvPr id="198" name="Line 751">
            <a:extLst>
              <a:ext uri="{FF2B5EF4-FFF2-40B4-BE49-F238E27FC236}">
                <a16:creationId xmlns:a16="http://schemas.microsoft.com/office/drawing/2014/main" id="{E7D27C46-B5DC-468A-9BFD-577654BAC3A9}"/>
              </a:ext>
            </a:extLst>
          </xdr:cNvPr>
          <xdr:cNvSpPr>
            <a:spLocks noChangeShapeType="1"/>
          </xdr:cNvSpPr>
        </xdr:nvSpPr>
        <xdr:spPr bwMode="auto">
          <a:xfrm flipH="1">
            <a:off x="201" y="2913"/>
            <a:ext cx="8" cy="5"/>
          </a:xfrm>
          <a:prstGeom prst="line">
            <a:avLst/>
          </a:prstGeom>
          <a:noFill/>
          <a:ln w="19050">
            <a:solidFill>
              <a:srgbClr val="000000"/>
            </a:solidFill>
            <a:round/>
            <a:headEnd/>
            <a:tailEnd/>
          </a:ln>
        </xdr:spPr>
      </xdr:sp>
      <xdr:sp macro="" textlink="">
        <xdr:nvSpPr>
          <xdr:cNvPr id="199" name="Line 752">
            <a:extLst>
              <a:ext uri="{FF2B5EF4-FFF2-40B4-BE49-F238E27FC236}">
                <a16:creationId xmlns:a16="http://schemas.microsoft.com/office/drawing/2014/main" id="{51BF79AD-7DEE-425B-A106-06B0ED779709}"/>
              </a:ext>
            </a:extLst>
          </xdr:cNvPr>
          <xdr:cNvSpPr>
            <a:spLocks noChangeShapeType="1"/>
          </xdr:cNvSpPr>
        </xdr:nvSpPr>
        <xdr:spPr bwMode="auto">
          <a:xfrm flipH="1">
            <a:off x="202" y="2965"/>
            <a:ext cx="8" cy="6"/>
          </a:xfrm>
          <a:prstGeom prst="line">
            <a:avLst/>
          </a:prstGeom>
          <a:noFill/>
          <a:ln w="19050">
            <a:solidFill>
              <a:srgbClr val="000000"/>
            </a:solidFill>
            <a:round/>
            <a:headEnd/>
            <a:tailEnd/>
          </a:ln>
        </xdr:spPr>
      </xdr:sp>
      <xdr:sp macro="" textlink="">
        <xdr:nvSpPr>
          <xdr:cNvPr id="200" name="Line 753">
            <a:extLst>
              <a:ext uri="{FF2B5EF4-FFF2-40B4-BE49-F238E27FC236}">
                <a16:creationId xmlns:a16="http://schemas.microsoft.com/office/drawing/2014/main" id="{0E64568A-7133-4FD0-88FB-AB183C7EB759}"/>
              </a:ext>
            </a:extLst>
          </xdr:cNvPr>
          <xdr:cNvSpPr>
            <a:spLocks noChangeShapeType="1"/>
          </xdr:cNvSpPr>
        </xdr:nvSpPr>
        <xdr:spPr bwMode="auto">
          <a:xfrm>
            <a:off x="130" y="2980"/>
            <a:ext cx="0" cy="18"/>
          </a:xfrm>
          <a:prstGeom prst="line">
            <a:avLst/>
          </a:prstGeom>
          <a:noFill/>
          <a:ln w="9525">
            <a:solidFill>
              <a:srgbClr val="000000"/>
            </a:solidFill>
            <a:round/>
            <a:headEnd/>
            <a:tailEnd/>
          </a:ln>
        </xdr:spPr>
      </xdr:sp>
      <xdr:sp macro="" textlink="">
        <xdr:nvSpPr>
          <xdr:cNvPr id="201" name="Line 754">
            <a:extLst>
              <a:ext uri="{FF2B5EF4-FFF2-40B4-BE49-F238E27FC236}">
                <a16:creationId xmlns:a16="http://schemas.microsoft.com/office/drawing/2014/main" id="{2DC0B80E-FE76-424A-A5F6-03787961AA37}"/>
              </a:ext>
            </a:extLst>
          </xdr:cNvPr>
          <xdr:cNvSpPr>
            <a:spLocks noChangeShapeType="1"/>
          </xdr:cNvSpPr>
        </xdr:nvSpPr>
        <xdr:spPr bwMode="auto">
          <a:xfrm>
            <a:off x="196" y="2980"/>
            <a:ext cx="0" cy="18"/>
          </a:xfrm>
          <a:prstGeom prst="line">
            <a:avLst/>
          </a:prstGeom>
          <a:noFill/>
          <a:ln w="9525">
            <a:solidFill>
              <a:srgbClr val="000000"/>
            </a:solidFill>
            <a:round/>
            <a:headEnd/>
            <a:tailEnd/>
          </a:ln>
        </xdr:spPr>
      </xdr:sp>
      <xdr:sp macro="" textlink="">
        <xdr:nvSpPr>
          <xdr:cNvPr id="202" name="Line 755">
            <a:extLst>
              <a:ext uri="{FF2B5EF4-FFF2-40B4-BE49-F238E27FC236}">
                <a16:creationId xmlns:a16="http://schemas.microsoft.com/office/drawing/2014/main" id="{2665BA20-4C1A-402F-9AE7-0DC3DE57ED7C}"/>
              </a:ext>
            </a:extLst>
          </xdr:cNvPr>
          <xdr:cNvSpPr>
            <a:spLocks noChangeShapeType="1"/>
          </xdr:cNvSpPr>
        </xdr:nvSpPr>
        <xdr:spPr bwMode="auto">
          <a:xfrm flipH="1">
            <a:off x="126" y="2985"/>
            <a:ext cx="8" cy="6"/>
          </a:xfrm>
          <a:prstGeom prst="line">
            <a:avLst/>
          </a:prstGeom>
          <a:noFill/>
          <a:ln w="19050">
            <a:solidFill>
              <a:srgbClr val="000000"/>
            </a:solidFill>
            <a:round/>
            <a:headEnd/>
            <a:tailEnd/>
          </a:ln>
        </xdr:spPr>
      </xdr:sp>
      <xdr:sp macro="" textlink="">
        <xdr:nvSpPr>
          <xdr:cNvPr id="203" name="Line 756">
            <a:extLst>
              <a:ext uri="{FF2B5EF4-FFF2-40B4-BE49-F238E27FC236}">
                <a16:creationId xmlns:a16="http://schemas.microsoft.com/office/drawing/2014/main" id="{E01DCBB8-F526-40A2-B9E1-B97A52AAAC89}"/>
              </a:ext>
            </a:extLst>
          </xdr:cNvPr>
          <xdr:cNvSpPr>
            <a:spLocks noChangeShapeType="1"/>
          </xdr:cNvSpPr>
        </xdr:nvSpPr>
        <xdr:spPr bwMode="auto">
          <a:xfrm flipH="1">
            <a:off x="191" y="2985"/>
            <a:ext cx="8" cy="6"/>
          </a:xfrm>
          <a:prstGeom prst="line">
            <a:avLst/>
          </a:prstGeom>
          <a:noFill/>
          <a:ln w="19050">
            <a:solidFill>
              <a:srgbClr val="000000"/>
            </a:solidFill>
            <a:round/>
            <a:headEnd/>
            <a:tailEnd/>
          </a:ln>
        </xdr:spPr>
      </xdr:sp>
    </xdr:grpSp>
    <xdr:clientData/>
  </xdr:twoCellAnchor>
  <xdr:twoCellAnchor>
    <xdr:from>
      <xdr:col>8</xdr:col>
      <xdr:colOff>49893</xdr:colOff>
      <xdr:row>495</xdr:row>
      <xdr:rowOff>99789</xdr:rowOff>
    </xdr:from>
    <xdr:to>
      <xdr:col>11</xdr:col>
      <xdr:colOff>99839</xdr:colOff>
      <xdr:row>500</xdr:row>
      <xdr:rowOff>74540</xdr:rowOff>
    </xdr:to>
    <xdr:grpSp>
      <xdr:nvGrpSpPr>
        <xdr:cNvPr id="204" name="Group 724">
          <a:extLst>
            <a:ext uri="{FF2B5EF4-FFF2-40B4-BE49-F238E27FC236}">
              <a16:creationId xmlns:a16="http://schemas.microsoft.com/office/drawing/2014/main" id="{D4DF88E2-29FD-4CB3-AEA9-3195BF25B5DE}"/>
            </a:ext>
          </a:extLst>
        </xdr:cNvPr>
        <xdr:cNvGrpSpPr>
          <a:grpSpLocks/>
        </xdr:cNvGrpSpPr>
      </xdr:nvGrpSpPr>
      <xdr:grpSpPr bwMode="auto">
        <a:xfrm>
          <a:off x="3534773" y="95654589"/>
          <a:ext cx="842426" cy="939951"/>
          <a:chOff x="121" y="2910"/>
          <a:chExt cx="99" cy="88"/>
        </a:xfrm>
      </xdr:grpSpPr>
      <xdr:sp macro="" textlink="">
        <xdr:nvSpPr>
          <xdr:cNvPr id="205" name="Rectangle 725">
            <a:extLst>
              <a:ext uri="{FF2B5EF4-FFF2-40B4-BE49-F238E27FC236}">
                <a16:creationId xmlns:a16="http://schemas.microsoft.com/office/drawing/2014/main" id="{D387DAE9-5763-4E00-871C-1C0418E33B59}"/>
              </a:ext>
            </a:extLst>
          </xdr:cNvPr>
          <xdr:cNvSpPr>
            <a:spLocks noChangeArrowheads="1"/>
          </xdr:cNvSpPr>
        </xdr:nvSpPr>
        <xdr:spPr bwMode="auto">
          <a:xfrm>
            <a:off x="130" y="2916"/>
            <a:ext cx="66" cy="54"/>
          </a:xfrm>
          <a:prstGeom prst="rect">
            <a:avLst/>
          </a:prstGeom>
          <a:solidFill>
            <a:srgbClr val="FFFFFF"/>
          </a:solidFill>
          <a:ln w="9525">
            <a:solidFill>
              <a:srgbClr val="000000"/>
            </a:solidFill>
            <a:miter lim="800000"/>
            <a:headEnd/>
            <a:tailEnd/>
          </a:ln>
        </xdr:spPr>
      </xdr:sp>
      <xdr:sp macro="" textlink="">
        <xdr:nvSpPr>
          <xdr:cNvPr id="206" name="Rectangle 726">
            <a:extLst>
              <a:ext uri="{FF2B5EF4-FFF2-40B4-BE49-F238E27FC236}">
                <a16:creationId xmlns:a16="http://schemas.microsoft.com/office/drawing/2014/main" id="{400C9A41-58E2-4F2C-B83B-662A1DBE423D}"/>
              </a:ext>
            </a:extLst>
          </xdr:cNvPr>
          <xdr:cNvSpPr>
            <a:spLocks noChangeArrowheads="1"/>
          </xdr:cNvSpPr>
        </xdr:nvSpPr>
        <xdr:spPr bwMode="auto">
          <a:xfrm>
            <a:off x="135" y="2921"/>
            <a:ext cx="56" cy="44"/>
          </a:xfrm>
          <a:prstGeom prst="rect">
            <a:avLst/>
          </a:prstGeom>
          <a:solidFill>
            <a:srgbClr val="FFFFFF"/>
          </a:solidFill>
          <a:ln w="28575">
            <a:solidFill>
              <a:srgbClr val="000000"/>
            </a:solidFill>
            <a:miter lim="800000"/>
            <a:headEnd/>
            <a:tailEnd/>
          </a:ln>
        </xdr:spPr>
      </xdr:sp>
      <xdr:sp macro="" textlink="">
        <xdr:nvSpPr>
          <xdr:cNvPr id="207" name="AutoShape 731">
            <a:extLst>
              <a:ext uri="{FF2B5EF4-FFF2-40B4-BE49-F238E27FC236}">
                <a16:creationId xmlns:a16="http://schemas.microsoft.com/office/drawing/2014/main" id="{3F6AFF87-4D66-450C-A28C-936DBB44C9D2}"/>
              </a:ext>
            </a:extLst>
          </xdr:cNvPr>
          <xdr:cNvSpPr>
            <a:spLocks noChangeArrowheads="1"/>
          </xdr:cNvSpPr>
        </xdr:nvSpPr>
        <xdr:spPr bwMode="auto">
          <a:xfrm>
            <a:off x="183" y="2958"/>
            <a:ext cx="8" cy="8"/>
          </a:xfrm>
          <a:prstGeom prst="flowChartConnector">
            <a:avLst/>
          </a:prstGeom>
          <a:solidFill>
            <a:srgbClr val="FFFFFF"/>
          </a:solidFill>
          <a:ln w="9525">
            <a:solidFill>
              <a:srgbClr val="000000"/>
            </a:solidFill>
            <a:round/>
            <a:headEnd/>
            <a:tailEnd/>
          </a:ln>
        </xdr:spPr>
      </xdr:sp>
      <xdr:sp macro="" textlink="">
        <xdr:nvSpPr>
          <xdr:cNvPr id="208" name="AutoShape 732">
            <a:extLst>
              <a:ext uri="{FF2B5EF4-FFF2-40B4-BE49-F238E27FC236}">
                <a16:creationId xmlns:a16="http://schemas.microsoft.com/office/drawing/2014/main" id="{E20BD0A3-142D-4225-8C2F-526EC38FABA8}"/>
              </a:ext>
            </a:extLst>
          </xdr:cNvPr>
          <xdr:cNvSpPr>
            <a:spLocks noChangeArrowheads="1"/>
          </xdr:cNvSpPr>
        </xdr:nvSpPr>
        <xdr:spPr bwMode="auto">
          <a:xfrm>
            <a:off x="135" y="2957"/>
            <a:ext cx="8" cy="8"/>
          </a:xfrm>
          <a:prstGeom prst="flowChartConnector">
            <a:avLst/>
          </a:prstGeom>
          <a:solidFill>
            <a:srgbClr val="FFFFFF"/>
          </a:solidFill>
          <a:ln w="9525">
            <a:solidFill>
              <a:srgbClr val="000000"/>
            </a:solidFill>
            <a:round/>
            <a:headEnd/>
            <a:tailEnd/>
          </a:ln>
        </xdr:spPr>
      </xdr:sp>
      <xdr:sp macro="" textlink="">
        <xdr:nvSpPr>
          <xdr:cNvPr id="209" name="AutoShape 733">
            <a:extLst>
              <a:ext uri="{FF2B5EF4-FFF2-40B4-BE49-F238E27FC236}">
                <a16:creationId xmlns:a16="http://schemas.microsoft.com/office/drawing/2014/main" id="{7F802B47-4954-47BA-BE36-028FABC861C2}"/>
              </a:ext>
            </a:extLst>
          </xdr:cNvPr>
          <xdr:cNvSpPr>
            <a:spLocks noChangeArrowheads="1"/>
          </xdr:cNvSpPr>
        </xdr:nvSpPr>
        <xdr:spPr bwMode="auto">
          <a:xfrm>
            <a:off x="134" y="2920"/>
            <a:ext cx="8" cy="8"/>
          </a:xfrm>
          <a:prstGeom prst="flowChartConnector">
            <a:avLst/>
          </a:prstGeom>
          <a:solidFill>
            <a:srgbClr val="FFFFFF"/>
          </a:solidFill>
          <a:ln w="9525">
            <a:solidFill>
              <a:srgbClr val="000000"/>
            </a:solidFill>
            <a:round/>
            <a:headEnd/>
            <a:tailEnd/>
          </a:ln>
        </xdr:spPr>
      </xdr:sp>
      <xdr:sp macro="" textlink="">
        <xdr:nvSpPr>
          <xdr:cNvPr id="210" name="AutoShape 736">
            <a:extLst>
              <a:ext uri="{FF2B5EF4-FFF2-40B4-BE49-F238E27FC236}">
                <a16:creationId xmlns:a16="http://schemas.microsoft.com/office/drawing/2014/main" id="{D2774506-764E-4975-861C-6C188A5163BE}"/>
              </a:ext>
            </a:extLst>
          </xdr:cNvPr>
          <xdr:cNvSpPr>
            <a:spLocks noChangeArrowheads="1"/>
          </xdr:cNvSpPr>
        </xdr:nvSpPr>
        <xdr:spPr bwMode="auto">
          <a:xfrm>
            <a:off x="183" y="2921"/>
            <a:ext cx="8" cy="8"/>
          </a:xfrm>
          <a:prstGeom prst="flowChartConnector">
            <a:avLst/>
          </a:prstGeom>
          <a:solidFill>
            <a:srgbClr val="FFFFFF"/>
          </a:solidFill>
          <a:ln w="9525">
            <a:solidFill>
              <a:srgbClr val="000000"/>
            </a:solidFill>
            <a:round/>
            <a:headEnd/>
            <a:tailEnd/>
          </a:ln>
        </xdr:spPr>
      </xdr:sp>
      <xdr:sp macro="" textlink="">
        <xdr:nvSpPr>
          <xdr:cNvPr id="211" name="Line 737">
            <a:extLst>
              <a:ext uri="{FF2B5EF4-FFF2-40B4-BE49-F238E27FC236}">
                <a16:creationId xmlns:a16="http://schemas.microsoft.com/office/drawing/2014/main" id="{F3A82081-16C5-449C-B858-F7FA4BE08533}"/>
              </a:ext>
            </a:extLst>
          </xdr:cNvPr>
          <xdr:cNvSpPr>
            <a:spLocks noChangeShapeType="1"/>
          </xdr:cNvSpPr>
        </xdr:nvSpPr>
        <xdr:spPr bwMode="auto">
          <a:xfrm>
            <a:off x="142" y="2922"/>
            <a:ext cx="4" cy="5"/>
          </a:xfrm>
          <a:prstGeom prst="line">
            <a:avLst/>
          </a:prstGeom>
          <a:noFill/>
          <a:ln w="19050">
            <a:solidFill>
              <a:srgbClr val="000000"/>
            </a:solidFill>
            <a:round/>
            <a:headEnd/>
            <a:tailEnd/>
          </a:ln>
        </xdr:spPr>
      </xdr:sp>
      <xdr:sp macro="" textlink="">
        <xdr:nvSpPr>
          <xdr:cNvPr id="212" name="Line 738">
            <a:extLst>
              <a:ext uri="{FF2B5EF4-FFF2-40B4-BE49-F238E27FC236}">
                <a16:creationId xmlns:a16="http://schemas.microsoft.com/office/drawing/2014/main" id="{EE5C4926-6726-466F-A9C7-F5F4AFDD0152}"/>
              </a:ext>
            </a:extLst>
          </xdr:cNvPr>
          <xdr:cNvSpPr>
            <a:spLocks noChangeShapeType="1"/>
          </xdr:cNvSpPr>
        </xdr:nvSpPr>
        <xdr:spPr bwMode="auto">
          <a:xfrm>
            <a:off x="136" y="2927"/>
            <a:ext cx="5" cy="4"/>
          </a:xfrm>
          <a:prstGeom prst="line">
            <a:avLst/>
          </a:prstGeom>
          <a:noFill/>
          <a:ln w="19050">
            <a:solidFill>
              <a:srgbClr val="000000"/>
            </a:solidFill>
            <a:round/>
            <a:headEnd/>
            <a:tailEnd/>
          </a:ln>
        </xdr:spPr>
      </xdr:sp>
      <xdr:sp macro="" textlink="">
        <xdr:nvSpPr>
          <xdr:cNvPr id="213" name="Line 741">
            <a:extLst>
              <a:ext uri="{FF2B5EF4-FFF2-40B4-BE49-F238E27FC236}">
                <a16:creationId xmlns:a16="http://schemas.microsoft.com/office/drawing/2014/main" id="{2850247B-5EF9-41C5-9510-8475F0FAC2EF}"/>
              </a:ext>
            </a:extLst>
          </xdr:cNvPr>
          <xdr:cNvSpPr>
            <a:spLocks noChangeShapeType="1"/>
          </xdr:cNvSpPr>
        </xdr:nvSpPr>
        <xdr:spPr bwMode="auto">
          <a:xfrm>
            <a:off x="205" y="2910"/>
            <a:ext cx="0" cy="72"/>
          </a:xfrm>
          <a:prstGeom prst="line">
            <a:avLst/>
          </a:prstGeom>
          <a:noFill/>
          <a:ln w="9525">
            <a:solidFill>
              <a:srgbClr val="000000"/>
            </a:solidFill>
            <a:round/>
            <a:headEnd/>
            <a:tailEnd/>
          </a:ln>
        </xdr:spPr>
      </xdr:sp>
      <xdr:sp macro="" textlink="">
        <xdr:nvSpPr>
          <xdr:cNvPr id="214" name="Line 743">
            <a:extLst>
              <a:ext uri="{FF2B5EF4-FFF2-40B4-BE49-F238E27FC236}">
                <a16:creationId xmlns:a16="http://schemas.microsoft.com/office/drawing/2014/main" id="{C128ADCC-C768-4AA6-8397-F532C26AA4C1}"/>
              </a:ext>
            </a:extLst>
          </xdr:cNvPr>
          <xdr:cNvSpPr>
            <a:spLocks noChangeShapeType="1"/>
          </xdr:cNvSpPr>
        </xdr:nvSpPr>
        <xdr:spPr bwMode="auto">
          <a:xfrm>
            <a:off x="121" y="2988"/>
            <a:ext cx="86" cy="0"/>
          </a:xfrm>
          <a:prstGeom prst="line">
            <a:avLst/>
          </a:prstGeom>
          <a:noFill/>
          <a:ln w="9525">
            <a:solidFill>
              <a:srgbClr val="000000"/>
            </a:solidFill>
            <a:round/>
            <a:headEnd/>
            <a:tailEnd/>
          </a:ln>
        </xdr:spPr>
      </xdr:sp>
      <xdr:sp macro="" textlink="">
        <xdr:nvSpPr>
          <xdr:cNvPr id="215" name="Line 745">
            <a:extLst>
              <a:ext uri="{FF2B5EF4-FFF2-40B4-BE49-F238E27FC236}">
                <a16:creationId xmlns:a16="http://schemas.microsoft.com/office/drawing/2014/main" id="{05BDC763-16D6-4D20-BF92-AC40C137C3C9}"/>
              </a:ext>
            </a:extLst>
          </xdr:cNvPr>
          <xdr:cNvSpPr>
            <a:spLocks noChangeShapeType="1"/>
          </xdr:cNvSpPr>
        </xdr:nvSpPr>
        <xdr:spPr bwMode="auto">
          <a:xfrm>
            <a:off x="200" y="2916"/>
            <a:ext cx="20" cy="0"/>
          </a:xfrm>
          <a:prstGeom prst="line">
            <a:avLst/>
          </a:prstGeom>
          <a:noFill/>
          <a:ln w="9525">
            <a:solidFill>
              <a:srgbClr val="000000"/>
            </a:solidFill>
            <a:round/>
            <a:headEnd/>
            <a:tailEnd/>
          </a:ln>
        </xdr:spPr>
      </xdr:sp>
      <xdr:sp macro="" textlink="">
        <xdr:nvSpPr>
          <xdr:cNvPr id="216" name="Line 746">
            <a:extLst>
              <a:ext uri="{FF2B5EF4-FFF2-40B4-BE49-F238E27FC236}">
                <a16:creationId xmlns:a16="http://schemas.microsoft.com/office/drawing/2014/main" id="{A80C6548-1997-4E5D-9722-B05AA256D119}"/>
              </a:ext>
            </a:extLst>
          </xdr:cNvPr>
          <xdr:cNvSpPr>
            <a:spLocks noChangeShapeType="1"/>
          </xdr:cNvSpPr>
        </xdr:nvSpPr>
        <xdr:spPr bwMode="auto">
          <a:xfrm>
            <a:off x="199" y="2969"/>
            <a:ext cx="18" cy="0"/>
          </a:xfrm>
          <a:prstGeom prst="line">
            <a:avLst/>
          </a:prstGeom>
          <a:noFill/>
          <a:ln w="9525">
            <a:solidFill>
              <a:srgbClr val="000000"/>
            </a:solidFill>
            <a:round/>
            <a:headEnd/>
            <a:tailEnd/>
          </a:ln>
        </xdr:spPr>
      </xdr:sp>
      <xdr:sp macro="" textlink="">
        <xdr:nvSpPr>
          <xdr:cNvPr id="217" name="Line 751">
            <a:extLst>
              <a:ext uri="{FF2B5EF4-FFF2-40B4-BE49-F238E27FC236}">
                <a16:creationId xmlns:a16="http://schemas.microsoft.com/office/drawing/2014/main" id="{EF7F67DD-2F2A-46D3-B2D9-D106402F0E11}"/>
              </a:ext>
            </a:extLst>
          </xdr:cNvPr>
          <xdr:cNvSpPr>
            <a:spLocks noChangeShapeType="1"/>
          </xdr:cNvSpPr>
        </xdr:nvSpPr>
        <xdr:spPr bwMode="auto">
          <a:xfrm flipH="1">
            <a:off x="201" y="2913"/>
            <a:ext cx="8" cy="5"/>
          </a:xfrm>
          <a:prstGeom prst="line">
            <a:avLst/>
          </a:prstGeom>
          <a:noFill/>
          <a:ln w="19050">
            <a:solidFill>
              <a:srgbClr val="000000"/>
            </a:solidFill>
            <a:round/>
            <a:headEnd/>
            <a:tailEnd/>
          </a:ln>
        </xdr:spPr>
      </xdr:sp>
      <xdr:sp macro="" textlink="">
        <xdr:nvSpPr>
          <xdr:cNvPr id="218" name="Line 752">
            <a:extLst>
              <a:ext uri="{FF2B5EF4-FFF2-40B4-BE49-F238E27FC236}">
                <a16:creationId xmlns:a16="http://schemas.microsoft.com/office/drawing/2014/main" id="{81AFB493-8848-4C58-B23A-F85A00A940C1}"/>
              </a:ext>
            </a:extLst>
          </xdr:cNvPr>
          <xdr:cNvSpPr>
            <a:spLocks noChangeShapeType="1"/>
          </xdr:cNvSpPr>
        </xdr:nvSpPr>
        <xdr:spPr bwMode="auto">
          <a:xfrm flipH="1">
            <a:off x="202" y="2965"/>
            <a:ext cx="8" cy="6"/>
          </a:xfrm>
          <a:prstGeom prst="line">
            <a:avLst/>
          </a:prstGeom>
          <a:noFill/>
          <a:ln w="19050">
            <a:solidFill>
              <a:srgbClr val="000000"/>
            </a:solidFill>
            <a:round/>
            <a:headEnd/>
            <a:tailEnd/>
          </a:ln>
        </xdr:spPr>
      </xdr:sp>
      <xdr:sp macro="" textlink="">
        <xdr:nvSpPr>
          <xdr:cNvPr id="219" name="Line 753">
            <a:extLst>
              <a:ext uri="{FF2B5EF4-FFF2-40B4-BE49-F238E27FC236}">
                <a16:creationId xmlns:a16="http://schemas.microsoft.com/office/drawing/2014/main" id="{FA80FBCC-5BBD-4A8D-9BE9-9DB5782C5254}"/>
              </a:ext>
            </a:extLst>
          </xdr:cNvPr>
          <xdr:cNvSpPr>
            <a:spLocks noChangeShapeType="1"/>
          </xdr:cNvSpPr>
        </xdr:nvSpPr>
        <xdr:spPr bwMode="auto">
          <a:xfrm>
            <a:off x="130" y="2980"/>
            <a:ext cx="0" cy="18"/>
          </a:xfrm>
          <a:prstGeom prst="line">
            <a:avLst/>
          </a:prstGeom>
          <a:noFill/>
          <a:ln w="9525">
            <a:solidFill>
              <a:srgbClr val="000000"/>
            </a:solidFill>
            <a:round/>
            <a:headEnd/>
            <a:tailEnd/>
          </a:ln>
        </xdr:spPr>
      </xdr:sp>
      <xdr:sp macro="" textlink="">
        <xdr:nvSpPr>
          <xdr:cNvPr id="220" name="Line 754">
            <a:extLst>
              <a:ext uri="{FF2B5EF4-FFF2-40B4-BE49-F238E27FC236}">
                <a16:creationId xmlns:a16="http://schemas.microsoft.com/office/drawing/2014/main" id="{A6EA7229-B824-4433-A500-0067DA57BB4F}"/>
              </a:ext>
            </a:extLst>
          </xdr:cNvPr>
          <xdr:cNvSpPr>
            <a:spLocks noChangeShapeType="1"/>
          </xdr:cNvSpPr>
        </xdr:nvSpPr>
        <xdr:spPr bwMode="auto">
          <a:xfrm>
            <a:off x="196" y="2980"/>
            <a:ext cx="0" cy="18"/>
          </a:xfrm>
          <a:prstGeom prst="line">
            <a:avLst/>
          </a:prstGeom>
          <a:noFill/>
          <a:ln w="9525">
            <a:solidFill>
              <a:srgbClr val="000000"/>
            </a:solidFill>
            <a:round/>
            <a:headEnd/>
            <a:tailEnd/>
          </a:ln>
        </xdr:spPr>
      </xdr:sp>
      <xdr:sp macro="" textlink="">
        <xdr:nvSpPr>
          <xdr:cNvPr id="221" name="Line 755">
            <a:extLst>
              <a:ext uri="{FF2B5EF4-FFF2-40B4-BE49-F238E27FC236}">
                <a16:creationId xmlns:a16="http://schemas.microsoft.com/office/drawing/2014/main" id="{EFF6672B-F4BE-46EB-97AB-F7D8AAF67168}"/>
              </a:ext>
            </a:extLst>
          </xdr:cNvPr>
          <xdr:cNvSpPr>
            <a:spLocks noChangeShapeType="1"/>
          </xdr:cNvSpPr>
        </xdr:nvSpPr>
        <xdr:spPr bwMode="auto">
          <a:xfrm flipH="1">
            <a:off x="126" y="2985"/>
            <a:ext cx="8" cy="6"/>
          </a:xfrm>
          <a:prstGeom prst="line">
            <a:avLst/>
          </a:prstGeom>
          <a:noFill/>
          <a:ln w="19050">
            <a:solidFill>
              <a:srgbClr val="000000"/>
            </a:solidFill>
            <a:round/>
            <a:headEnd/>
            <a:tailEnd/>
          </a:ln>
        </xdr:spPr>
      </xdr:sp>
      <xdr:sp macro="" textlink="">
        <xdr:nvSpPr>
          <xdr:cNvPr id="222" name="Line 756">
            <a:extLst>
              <a:ext uri="{FF2B5EF4-FFF2-40B4-BE49-F238E27FC236}">
                <a16:creationId xmlns:a16="http://schemas.microsoft.com/office/drawing/2014/main" id="{8D508AEB-D75C-4DB5-BA0E-1F53D10BE27A}"/>
              </a:ext>
            </a:extLst>
          </xdr:cNvPr>
          <xdr:cNvSpPr>
            <a:spLocks noChangeShapeType="1"/>
          </xdr:cNvSpPr>
        </xdr:nvSpPr>
        <xdr:spPr bwMode="auto">
          <a:xfrm flipH="1">
            <a:off x="191" y="2985"/>
            <a:ext cx="8" cy="6"/>
          </a:xfrm>
          <a:prstGeom prst="line">
            <a:avLst/>
          </a:prstGeom>
          <a:noFill/>
          <a:ln w="19050">
            <a:solidFill>
              <a:srgbClr val="000000"/>
            </a:solidFill>
            <a:round/>
            <a:headEnd/>
            <a:tailEnd/>
          </a:ln>
        </xdr:spPr>
      </xdr:sp>
    </xdr:grpSp>
    <xdr:clientData/>
  </xdr:twoCellAnchor>
  <xdr:twoCellAnchor>
    <xdr:from>
      <xdr:col>8</xdr:col>
      <xdr:colOff>40821</xdr:colOff>
      <xdr:row>478</xdr:row>
      <xdr:rowOff>90715</xdr:rowOff>
    </xdr:from>
    <xdr:to>
      <xdr:col>11</xdr:col>
      <xdr:colOff>108910</xdr:colOff>
      <xdr:row>484</xdr:row>
      <xdr:rowOff>0</xdr:rowOff>
    </xdr:to>
    <xdr:grpSp>
      <xdr:nvGrpSpPr>
        <xdr:cNvPr id="223" name="Group 724">
          <a:extLst>
            <a:ext uri="{FF2B5EF4-FFF2-40B4-BE49-F238E27FC236}">
              <a16:creationId xmlns:a16="http://schemas.microsoft.com/office/drawing/2014/main" id="{D55D2E87-2EA3-4E14-9197-0E374F55DD42}"/>
            </a:ext>
          </a:extLst>
        </xdr:cNvPr>
        <xdr:cNvGrpSpPr>
          <a:grpSpLocks/>
        </xdr:cNvGrpSpPr>
      </xdr:nvGrpSpPr>
      <xdr:grpSpPr bwMode="auto">
        <a:xfrm>
          <a:off x="3525701" y="92363835"/>
          <a:ext cx="860569" cy="1067525"/>
          <a:chOff x="121" y="2910"/>
          <a:chExt cx="99" cy="88"/>
        </a:xfrm>
      </xdr:grpSpPr>
      <xdr:sp macro="" textlink="">
        <xdr:nvSpPr>
          <xdr:cNvPr id="224" name="Rectangle 725">
            <a:extLst>
              <a:ext uri="{FF2B5EF4-FFF2-40B4-BE49-F238E27FC236}">
                <a16:creationId xmlns:a16="http://schemas.microsoft.com/office/drawing/2014/main" id="{8358C98D-DF62-4417-904B-1313E97F10DF}"/>
              </a:ext>
            </a:extLst>
          </xdr:cNvPr>
          <xdr:cNvSpPr>
            <a:spLocks noChangeArrowheads="1"/>
          </xdr:cNvSpPr>
        </xdr:nvSpPr>
        <xdr:spPr bwMode="auto">
          <a:xfrm>
            <a:off x="130" y="2916"/>
            <a:ext cx="66" cy="54"/>
          </a:xfrm>
          <a:prstGeom prst="rect">
            <a:avLst/>
          </a:prstGeom>
          <a:solidFill>
            <a:srgbClr val="FFFFFF"/>
          </a:solidFill>
          <a:ln w="9525">
            <a:solidFill>
              <a:srgbClr val="000000"/>
            </a:solidFill>
            <a:miter lim="800000"/>
            <a:headEnd/>
            <a:tailEnd/>
          </a:ln>
        </xdr:spPr>
      </xdr:sp>
      <xdr:sp macro="" textlink="">
        <xdr:nvSpPr>
          <xdr:cNvPr id="225" name="Rectangle 726">
            <a:extLst>
              <a:ext uri="{FF2B5EF4-FFF2-40B4-BE49-F238E27FC236}">
                <a16:creationId xmlns:a16="http://schemas.microsoft.com/office/drawing/2014/main" id="{EAFE3803-6458-4BFF-9521-72AD7BBA9BAA}"/>
              </a:ext>
            </a:extLst>
          </xdr:cNvPr>
          <xdr:cNvSpPr>
            <a:spLocks noChangeArrowheads="1"/>
          </xdr:cNvSpPr>
        </xdr:nvSpPr>
        <xdr:spPr bwMode="auto">
          <a:xfrm>
            <a:off x="135" y="2921"/>
            <a:ext cx="56" cy="44"/>
          </a:xfrm>
          <a:prstGeom prst="rect">
            <a:avLst/>
          </a:prstGeom>
          <a:solidFill>
            <a:srgbClr val="FFFFFF"/>
          </a:solidFill>
          <a:ln w="28575">
            <a:solidFill>
              <a:srgbClr val="000000"/>
            </a:solidFill>
            <a:miter lim="800000"/>
            <a:headEnd/>
            <a:tailEnd/>
          </a:ln>
        </xdr:spPr>
      </xdr:sp>
      <xdr:sp macro="" textlink="">
        <xdr:nvSpPr>
          <xdr:cNvPr id="226" name="AutoShape 731">
            <a:extLst>
              <a:ext uri="{FF2B5EF4-FFF2-40B4-BE49-F238E27FC236}">
                <a16:creationId xmlns:a16="http://schemas.microsoft.com/office/drawing/2014/main" id="{FA0B29B3-8EDB-4FCA-805E-881255331856}"/>
              </a:ext>
            </a:extLst>
          </xdr:cNvPr>
          <xdr:cNvSpPr>
            <a:spLocks noChangeArrowheads="1"/>
          </xdr:cNvSpPr>
        </xdr:nvSpPr>
        <xdr:spPr bwMode="auto">
          <a:xfrm>
            <a:off x="183" y="2958"/>
            <a:ext cx="8" cy="8"/>
          </a:xfrm>
          <a:prstGeom prst="flowChartConnector">
            <a:avLst/>
          </a:prstGeom>
          <a:solidFill>
            <a:srgbClr val="FFFFFF"/>
          </a:solidFill>
          <a:ln w="9525">
            <a:solidFill>
              <a:srgbClr val="000000"/>
            </a:solidFill>
            <a:round/>
            <a:headEnd/>
            <a:tailEnd/>
          </a:ln>
        </xdr:spPr>
      </xdr:sp>
      <xdr:sp macro="" textlink="">
        <xdr:nvSpPr>
          <xdr:cNvPr id="227" name="AutoShape 732">
            <a:extLst>
              <a:ext uri="{FF2B5EF4-FFF2-40B4-BE49-F238E27FC236}">
                <a16:creationId xmlns:a16="http://schemas.microsoft.com/office/drawing/2014/main" id="{F4727EF3-5E34-4C1D-8784-78EA8DB4CA7E}"/>
              </a:ext>
            </a:extLst>
          </xdr:cNvPr>
          <xdr:cNvSpPr>
            <a:spLocks noChangeArrowheads="1"/>
          </xdr:cNvSpPr>
        </xdr:nvSpPr>
        <xdr:spPr bwMode="auto">
          <a:xfrm>
            <a:off x="135" y="2957"/>
            <a:ext cx="8" cy="8"/>
          </a:xfrm>
          <a:prstGeom prst="flowChartConnector">
            <a:avLst/>
          </a:prstGeom>
          <a:solidFill>
            <a:srgbClr val="FFFFFF"/>
          </a:solidFill>
          <a:ln w="9525">
            <a:solidFill>
              <a:srgbClr val="000000"/>
            </a:solidFill>
            <a:round/>
            <a:headEnd/>
            <a:tailEnd/>
          </a:ln>
        </xdr:spPr>
      </xdr:sp>
      <xdr:sp macro="" textlink="">
        <xdr:nvSpPr>
          <xdr:cNvPr id="228" name="AutoShape 733">
            <a:extLst>
              <a:ext uri="{FF2B5EF4-FFF2-40B4-BE49-F238E27FC236}">
                <a16:creationId xmlns:a16="http://schemas.microsoft.com/office/drawing/2014/main" id="{5B831331-34BF-4245-B488-F8AE8BB4EFE1}"/>
              </a:ext>
            </a:extLst>
          </xdr:cNvPr>
          <xdr:cNvSpPr>
            <a:spLocks noChangeArrowheads="1"/>
          </xdr:cNvSpPr>
        </xdr:nvSpPr>
        <xdr:spPr bwMode="auto">
          <a:xfrm>
            <a:off x="134" y="2920"/>
            <a:ext cx="8" cy="8"/>
          </a:xfrm>
          <a:prstGeom prst="flowChartConnector">
            <a:avLst/>
          </a:prstGeom>
          <a:solidFill>
            <a:srgbClr val="FFFFFF"/>
          </a:solidFill>
          <a:ln w="9525">
            <a:solidFill>
              <a:srgbClr val="000000"/>
            </a:solidFill>
            <a:round/>
            <a:headEnd/>
            <a:tailEnd/>
          </a:ln>
        </xdr:spPr>
      </xdr:sp>
      <xdr:sp macro="" textlink="">
        <xdr:nvSpPr>
          <xdr:cNvPr id="229" name="AutoShape 736">
            <a:extLst>
              <a:ext uri="{FF2B5EF4-FFF2-40B4-BE49-F238E27FC236}">
                <a16:creationId xmlns:a16="http://schemas.microsoft.com/office/drawing/2014/main" id="{B02E92BE-916F-418E-A892-3121D2C64445}"/>
              </a:ext>
            </a:extLst>
          </xdr:cNvPr>
          <xdr:cNvSpPr>
            <a:spLocks noChangeArrowheads="1"/>
          </xdr:cNvSpPr>
        </xdr:nvSpPr>
        <xdr:spPr bwMode="auto">
          <a:xfrm>
            <a:off x="183" y="2921"/>
            <a:ext cx="8" cy="8"/>
          </a:xfrm>
          <a:prstGeom prst="flowChartConnector">
            <a:avLst/>
          </a:prstGeom>
          <a:solidFill>
            <a:srgbClr val="FFFFFF"/>
          </a:solidFill>
          <a:ln w="9525">
            <a:solidFill>
              <a:srgbClr val="000000"/>
            </a:solidFill>
            <a:round/>
            <a:headEnd/>
            <a:tailEnd/>
          </a:ln>
        </xdr:spPr>
      </xdr:sp>
      <xdr:sp macro="" textlink="">
        <xdr:nvSpPr>
          <xdr:cNvPr id="230" name="Line 737">
            <a:extLst>
              <a:ext uri="{FF2B5EF4-FFF2-40B4-BE49-F238E27FC236}">
                <a16:creationId xmlns:a16="http://schemas.microsoft.com/office/drawing/2014/main" id="{DA05EFEF-410E-42A5-9494-7A55445670FA}"/>
              </a:ext>
            </a:extLst>
          </xdr:cNvPr>
          <xdr:cNvSpPr>
            <a:spLocks noChangeShapeType="1"/>
          </xdr:cNvSpPr>
        </xdr:nvSpPr>
        <xdr:spPr bwMode="auto">
          <a:xfrm>
            <a:off x="142" y="2922"/>
            <a:ext cx="4" cy="5"/>
          </a:xfrm>
          <a:prstGeom prst="line">
            <a:avLst/>
          </a:prstGeom>
          <a:noFill/>
          <a:ln w="19050">
            <a:solidFill>
              <a:srgbClr val="000000"/>
            </a:solidFill>
            <a:round/>
            <a:headEnd/>
            <a:tailEnd/>
          </a:ln>
        </xdr:spPr>
      </xdr:sp>
      <xdr:sp macro="" textlink="">
        <xdr:nvSpPr>
          <xdr:cNvPr id="231" name="Line 738">
            <a:extLst>
              <a:ext uri="{FF2B5EF4-FFF2-40B4-BE49-F238E27FC236}">
                <a16:creationId xmlns:a16="http://schemas.microsoft.com/office/drawing/2014/main" id="{1AF3344E-5E7C-4953-BFCA-D00D833D9716}"/>
              </a:ext>
            </a:extLst>
          </xdr:cNvPr>
          <xdr:cNvSpPr>
            <a:spLocks noChangeShapeType="1"/>
          </xdr:cNvSpPr>
        </xdr:nvSpPr>
        <xdr:spPr bwMode="auto">
          <a:xfrm>
            <a:off x="136" y="2927"/>
            <a:ext cx="5" cy="4"/>
          </a:xfrm>
          <a:prstGeom prst="line">
            <a:avLst/>
          </a:prstGeom>
          <a:noFill/>
          <a:ln w="19050">
            <a:solidFill>
              <a:srgbClr val="000000"/>
            </a:solidFill>
            <a:round/>
            <a:headEnd/>
            <a:tailEnd/>
          </a:ln>
        </xdr:spPr>
      </xdr:sp>
      <xdr:sp macro="" textlink="">
        <xdr:nvSpPr>
          <xdr:cNvPr id="232" name="Line 741">
            <a:extLst>
              <a:ext uri="{FF2B5EF4-FFF2-40B4-BE49-F238E27FC236}">
                <a16:creationId xmlns:a16="http://schemas.microsoft.com/office/drawing/2014/main" id="{6FB85634-C52D-40A5-B05F-3FFDA74ECB3D}"/>
              </a:ext>
            </a:extLst>
          </xdr:cNvPr>
          <xdr:cNvSpPr>
            <a:spLocks noChangeShapeType="1"/>
          </xdr:cNvSpPr>
        </xdr:nvSpPr>
        <xdr:spPr bwMode="auto">
          <a:xfrm>
            <a:off x="205" y="2910"/>
            <a:ext cx="0" cy="72"/>
          </a:xfrm>
          <a:prstGeom prst="line">
            <a:avLst/>
          </a:prstGeom>
          <a:noFill/>
          <a:ln w="9525">
            <a:solidFill>
              <a:srgbClr val="000000"/>
            </a:solidFill>
            <a:round/>
            <a:headEnd/>
            <a:tailEnd/>
          </a:ln>
        </xdr:spPr>
      </xdr:sp>
      <xdr:sp macro="" textlink="">
        <xdr:nvSpPr>
          <xdr:cNvPr id="233" name="Line 743">
            <a:extLst>
              <a:ext uri="{FF2B5EF4-FFF2-40B4-BE49-F238E27FC236}">
                <a16:creationId xmlns:a16="http://schemas.microsoft.com/office/drawing/2014/main" id="{302E6D0A-62FA-42D4-8380-F6E98F58174A}"/>
              </a:ext>
            </a:extLst>
          </xdr:cNvPr>
          <xdr:cNvSpPr>
            <a:spLocks noChangeShapeType="1"/>
          </xdr:cNvSpPr>
        </xdr:nvSpPr>
        <xdr:spPr bwMode="auto">
          <a:xfrm>
            <a:off x="121" y="2988"/>
            <a:ext cx="86" cy="0"/>
          </a:xfrm>
          <a:prstGeom prst="line">
            <a:avLst/>
          </a:prstGeom>
          <a:noFill/>
          <a:ln w="9525">
            <a:solidFill>
              <a:srgbClr val="000000"/>
            </a:solidFill>
            <a:round/>
            <a:headEnd/>
            <a:tailEnd/>
          </a:ln>
        </xdr:spPr>
      </xdr:sp>
      <xdr:sp macro="" textlink="">
        <xdr:nvSpPr>
          <xdr:cNvPr id="234" name="Line 745">
            <a:extLst>
              <a:ext uri="{FF2B5EF4-FFF2-40B4-BE49-F238E27FC236}">
                <a16:creationId xmlns:a16="http://schemas.microsoft.com/office/drawing/2014/main" id="{910F0C72-0DD3-4382-96DA-AE8BDC3FFED6}"/>
              </a:ext>
            </a:extLst>
          </xdr:cNvPr>
          <xdr:cNvSpPr>
            <a:spLocks noChangeShapeType="1"/>
          </xdr:cNvSpPr>
        </xdr:nvSpPr>
        <xdr:spPr bwMode="auto">
          <a:xfrm>
            <a:off x="200" y="2916"/>
            <a:ext cx="20" cy="0"/>
          </a:xfrm>
          <a:prstGeom prst="line">
            <a:avLst/>
          </a:prstGeom>
          <a:noFill/>
          <a:ln w="9525">
            <a:solidFill>
              <a:srgbClr val="000000"/>
            </a:solidFill>
            <a:round/>
            <a:headEnd/>
            <a:tailEnd/>
          </a:ln>
        </xdr:spPr>
      </xdr:sp>
      <xdr:sp macro="" textlink="">
        <xdr:nvSpPr>
          <xdr:cNvPr id="235" name="Line 746">
            <a:extLst>
              <a:ext uri="{FF2B5EF4-FFF2-40B4-BE49-F238E27FC236}">
                <a16:creationId xmlns:a16="http://schemas.microsoft.com/office/drawing/2014/main" id="{131E2308-4C2A-4A27-B5F5-C7CED1C9EF36}"/>
              </a:ext>
            </a:extLst>
          </xdr:cNvPr>
          <xdr:cNvSpPr>
            <a:spLocks noChangeShapeType="1"/>
          </xdr:cNvSpPr>
        </xdr:nvSpPr>
        <xdr:spPr bwMode="auto">
          <a:xfrm>
            <a:off x="199" y="2969"/>
            <a:ext cx="18" cy="0"/>
          </a:xfrm>
          <a:prstGeom prst="line">
            <a:avLst/>
          </a:prstGeom>
          <a:noFill/>
          <a:ln w="9525">
            <a:solidFill>
              <a:srgbClr val="000000"/>
            </a:solidFill>
            <a:round/>
            <a:headEnd/>
            <a:tailEnd/>
          </a:ln>
        </xdr:spPr>
      </xdr:sp>
      <xdr:sp macro="" textlink="">
        <xdr:nvSpPr>
          <xdr:cNvPr id="236" name="Line 751">
            <a:extLst>
              <a:ext uri="{FF2B5EF4-FFF2-40B4-BE49-F238E27FC236}">
                <a16:creationId xmlns:a16="http://schemas.microsoft.com/office/drawing/2014/main" id="{E6F0E208-0646-41B5-9C42-F95AA79787C1}"/>
              </a:ext>
            </a:extLst>
          </xdr:cNvPr>
          <xdr:cNvSpPr>
            <a:spLocks noChangeShapeType="1"/>
          </xdr:cNvSpPr>
        </xdr:nvSpPr>
        <xdr:spPr bwMode="auto">
          <a:xfrm flipH="1">
            <a:off x="201" y="2913"/>
            <a:ext cx="8" cy="5"/>
          </a:xfrm>
          <a:prstGeom prst="line">
            <a:avLst/>
          </a:prstGeom>
          <a:noFill/>
          <a:ln w="19050">
            <a:solidFill>
              <a:srgbClr val="000000"/>
            </a:solidFill>
            <a:round/>
            <a:headEnd/>
            <a:tailEnd/>
          </a:ln>
        </xdr:spPr>
      </xdr:sp>
      <xdr:sp macro="" textlink="">
        <xdr:nvSpPr>
          <xdr:cNvPr id="237" name="Line 752">
            <a:extLst>
              <a:ext uri="{FF2B5EF4-FFF2-40B4-BE49-F238E27FC236}">
                <a16:creationId xmlns:a16="http://schemas.microsoft.com/office/drawing/2014/main" id="{922F3BBD-9F56-4409-BAA1-ABA222DD7440}"/>
              </a:ext>
            </a:extLst>
          </xdr:cNvPr>
          <xdr:cNvSpPr>
            <a:spLocks noChangeShapeType="1"/>
          </xdr:cNvSpPr>
        </xdr:nvSpPr>
        <xdr:spPr bwMode="auto">
          <a:xfrm flipH="1">
            <a:off x="202" y="2965"/>
            <a:ext cx="8" cy="6"/>
          </a:xfrm>
          <a:prstGeom prst="line">
            <a:avLst/>
          </a:prstGeom>
          <a:noFill/>
          <a:ln w="19050">
            <a:solidFill>
              <a:srgbClr val="000000"/>
            </a:solidFill>
            <a:round/>
            <a:headEnd/>
            <a:tailEnd/>
          </a:ln>
        </xdr:spPr>
      </xdr:sp>
      <xdr:sp macro="" textlink="">
        <xdr:nvSpPr>
          <xdr:cNvPr id="238" name="Line 753">
            <a:extLst>
              <a:ext uri="{FF2B5EF4-FFF2-40B4-BE49-F238E27FC236}">
                <a16:creationId xmlns:a16="http://schemas.microsoft.com/office/drawing/2014/main" id="{69577556-70DD-42FB-BCAB-8872C071302B}"/>
              </a:ext>
            </a:extLst>
          </xdr:cNvPr>
          <xdr:cNvSpPr>
            <a:spLocks noChangeShapeType="1"/>
          </xdr:cNvSpPr>
        </xdr:nvSpPr>
        <xdr:spPr bwMode="auto">
          <a:xfrm>
            <a:off x="130" y="2980"/>
            <a:ext cx="0" cy="18"/>
          </a:xfrm>
          <a:prstGeom prst="line">
            <a:avLst/>
          </a:prstGeom>
          <a:noFill/>
          <a:ln w="9525">
            <a:solidFill>
              <a:srgbClr val="000000"/>
            </a:solidFill>
            <a:round/>
            <a:headEnd/>
            <a:tailEnd/>
          </a:ln>
        </xdr:spPr>
      </xdr:sp>
      <xdr:sp macro="" textlink="">
        <xdr:nvSpPr>
          <xdr:cNvPr id="239" name="Line 754">
            <a:extLst>
              <a:ext uri="{FF2B5EF4-FFF2-40B4-BE49-F238E27FC236}">
                <a16:creationId xmlns:a16="http://schemas.microsoft.com/office/drawing/2014/main" id="{42875C9B-5AD0-4836-9617-05D940D94DBB}"/>
              </a:ext>
            </a:extLst>
          </xdr:cNvPr>
          <xdr:cNvSpPr>
            <a:spLocks noChangeShapeType="1"/>
          </xdr:cNvSpPr>
        </xdr:nvSpPr>
        <xdr:spPr bwMode="auto">
          <a:xfrm>
            <a:off x="196" y="2980"/>
            <a:ext cx="0" cy="18"/>
          </a:xfrm>
          <a:prstGeom prst="line">
            <a:avLst/>
          </a:prstGeom>
          <a:noFill/>
          <a:ln w="9525">
            <a:solidFill>
              <a:srgbClr val="000000"/>
            </a:solidFill>
            <a:round/>
            <a:headEnd/>
            <a:tailEnd/>
          </a:ln>
        </xdr:spPr>
      </xdr:sp>
      <xdr:sp macro="" textlink="">
        <xdr:nvSpPr>
          <xdr:cNvPr id="240" name="Line 755">
            <a:extLst>
              <a:ext uri="{FF2B5EF4-FFF2-40B4-BE49-F238E27FC236}">
                <a16:creationId xmlns:a16="http://schemas.microsoft.com/office/drawing/2014/main" id="{26A407CB-9767-443B-82AE-9DF8F388766A}"/>
              </a:ext>
            </a:extLst>
          </xdr:cNvPr>
          <xdr:cNvSpPr>
            <a:spLocks noChangeShapeType="1"/>
          </xdr:cNvSpPr>
        </xdr:nvSpPr>
        <xdr:spPr bwMode="auto">
          <a:xfrm flipH="1">
            <a:off x="126" y="2985"/>
            <a:ext cx="8" cy="6"/>
          </a:xfrm>
          <a:prstGeom prst="line">
            <a:avLst/>
          </a:prstGeom>
          <a:noFill/>
          <a:ln w="19050">
            <a:solidFill>
              <a:srgbClr val="000000"/>
            </a:solidFill>
            <a:round/>
            <a:headEnd/>
            <a:tailEnd/>
          </a:ln>
        </xdr:spPr>
      </xdr:sp>
      <xdr:sp macro="" textlink="">
        <xdr:nvSpPr>
          <xdr:cNvPr id="241" name="Line 756">
            <a:extLst>
              <a:ext uri="{FF2B5EF4-FFF2-40B4-BE49-F238E27FC236}">
                <a16:creationId xmlns:a16="http://schemas.microsoft.com/office/drawing/2014/main" id="{D7EA33F4-1633-4797-9887-F1F2AC05FC6B}"/>
              </a:ext>
            </a:extLst>
          </xdr:cNvPr>
          <xdr:cNvSpPr>
            <a:spLocks noChangeShapeType="1"/>
          </xdr:cNvSpPr>
        </xdr:nvSpPr>
        <xdr:spPr bwMode="auto">
          <a:xfrm flipH="1">
            <a:off x="191" y="2985"/>
            <a:ext cx="8" cy="6"/>
          </a:xfrm>
          <a:prstGeom prst="line">
            <a:avLst/>
          </a:prstGeom>
          <a:noFill/>
          <a:ln w="19050">
            <a:solidFill>
              <a:srgbClr val="000000"/>
            </a:solidFill>
            <a:round/>
            <a:headEnd/>
            <a:tailEnd/>
          </a:ln>
        </xdr:spPr>
      </xdr:sp>
    </xdr:grpSp>
    <xdr:clientData/>
  </xdr:twoCellAnchor>
  <xdr:twoCellAnchor>
    <xdr:from>
      <xdr:col>8</xdr:col>
      <xdr:colOff>49893</xdr:colOff>
      <xdr:row>487</xdr:row>
      <xdr:rowOff>108861</xdr:rowOff>
    </xdr:from>
    <xdr:to>
      <xdr:col>11</xdr:col>
      <xdr:colOff>99839</xdr:colOff>
      <xdr:row>492</xdr:row>
      <xdr:rowOff>0</xdr:rowOff>
    </xdr:to>
    <xdr:grpSp>
      <xdr:nvGrpSpPr>
        <xdr:cNvPr id="242" name="Group 724">
          <a:extLst>
            <a:ext uri="{FF2B5EF4-FFF2-40B4-BE49-F238E27FC236}">
              <a16:creationId xmlns:a16="http://schemas.microsoft.com/office/drawing/2014/main" id="{DA36D472-7133-4805-BA20-7CBBE63A467A}"/>
            </a:ext>
          </a:extLst>
        </xdr:cNvPr>
        <xdr:cNvGrpSpPr>
          <a:grpSpLocks/>
        </xdr:cNvGrpSpPr>
      </xdr:nvGrpSpPr>
      <xdr:grpSpPr bwMode="auto">
        <a:xfrm>
          <a:off x="3534773" y="94119341"/>
          <a:ext cx="842426" cy="856339"/>
          <a:chOff x="121" y="2910"/>
          <a:chExt cx="99" cy="88"/>
        </a:xfrm>
      </xdr:grpSpPr>
      <xdr:sp macro="" textlink="">
        <xdr:nvSpPr>
          <xdr:cNvPr id="243" name="Rectangle 725">
            <a:extLst>
              <a:ext uri="{FF2B5EF4-FFF2-40B4-BE49-F238E27FC236}">
                <a16:creationId xmlns:a16="http://schemas.microsoft.com/office/drawing/2014/main" id="{4B688AF6-5A0F-4482-8032-13402CA67686}"/>
              </a:ext>
            </a:extLst>
          </xdr:cNvPr>
          <xdr:cNvSpPr>
            <a:spLocks noChangeArrowheads="1"/>
          </xdr:cNvSpPr>
        </xdr:nvSpPr>
        <xdr:spPr bwMode="auto">
          <a:xfrm>
            <a:off x="130" y="2916"/>
            <a:ext cx="66" cy="54"/>
          </a:xfrm>
          <a:prstGeom prst="rect">
            <a:avLst/>
          </a:prstGeom>
          <a:solidFill>
            <a:srgbClr val="FFFFFF"/>
          </a:solidFill>
          <a:ln w="9525">
            <a:solidFill>
              <a:srgbClr val="000000"/>
            </a:solidFill>
            <a:miter lim="800000"/>
            <a:headEnd/>
            <a:tailEnd/>
          </a:ln>
        </xdr:spPr>
      </xdr:sp>
      <xdr:sp macro="" textlink="">
        <xdr:nvSpPr>
          <xdr:cNvPr id="244" name="Rectangle 726">
            <a:extLst>
              <a:ext uri="{FF2B5EF4-FFF2-40B4-BE49-F238E27FC236}">
                <a16:creationId xmlns:a16="http://schemas.microsoft.com/office/drawing/2014/main" id="{A1790F42-0627-4EDE-853C-80EEEDC6D425}"/>
              </a:ext>
            </a:extLst>
          </xdr:cNvPr>
          <xdr:cNvSpPr>
            <a:spLocks noChangeArrowheads="1"/>
          </xdr:cNvSpPr>
        </xdr:nvSpPr>
        <xdr:spPr bwMode="auto">
          <a:xfrm>
            <a:off x="135" y="2921"/>
            <a:ext cx="56" cy="44"/>
          </a:xfrm>
          <a:prstGeom prst="rect">
            <a:avLst/>
          </a:prstGeom>
          <a:solidFill>
            <a:srgbClr val="FFFFFF"/>
          </a:solidFill>
          <a:ln w="28575">
            <a:solidFill>
              <a:srgbClr val="000000"/>
            </a:solidFill>
            <a:miter lim="800000"/>
            <a:headEnd/>
            <a:tailEnd/>
          </a:ln>
        </xdr:spPr>
        <xdr:txBody>
          <a:bodyPr/>
          <a:lstStyle/>
          <a:p>
            <a:endParaRPr lang="en-ID"/>
          </a:p>
        </xdr:txBody>
      </xdr:sp>
      <xdr:sp macro="" textlink="">
        <xdr:nvSpPr>
          <xdr:cNvPr id="245" name="AutoShape 731">
            <a:extLst>
              <a:ext uri="{FF2B5EF4-FFF2-40B4-BE49-F238E27FC236}">
                <a16:creationId xmlns:a16="http://schemas.microsoft.com/office/drawing/2014/main" id="{BF303B1B-CC3B-4FFA-9F74-5D3176EC1A9E}"/>
              </a:ext>
            </a:extLst>
          </xdr:cNvPr>
          <xdr:cNvSpPr>
            <a:spLocks noChangeArrowheads="1"/>
          </xdr:cNvSpPr>
        </xdr:nvSpPr>
        <xdr:spPr bwMode="auto">
          <a:xfrm>
            <a:off x="183" y="2958"/>
            <a:ext cx="8" cy="8"/>
          </a:xfrm>
          <a:prstGeom prst="flowChartConnector">
            <a:avLst/>
          </a:prstGeom>
          <a:solidFill>
            <a:srgbClr val="FFFFFF"/>
          </a:solidFill>
          <a:ln w="9525">
            <a:solidFill>
              <a:srgbClr val="000000"/>
            </a:solidFill>
            <a:round/>
            <a:headEnd/>
            <a:tailEnd/>
          </a:ln>
        </xdr:spPr>
      </xdr:sp>
      <xdr:sp macro="" textlink="">
        <xdr:nvSpPr>
          <xdr:cNvPr id="246" name="AutoShape 732">
            <a:extLst>
              <a:ext uri="{FF2B5EF4-FFF2-40B4-BE49-F238E27FC236}">
                <a16:creationId xmlns:a16="http://schemas.microsoft.com/office/drawing/2014/main" id="{387B00BD-9CF1-49CF-A415-B083BAB57E11}"/>
              </a:ext>
            </a:extLst>
          </xdr:cNvPr>
          <xdr:cNvSpPr>
            <a:spLocks noChangeArrowheads="1"/>
          </xdr:cNvSpPr>
        </xdr:nvSpPr>
        <xdr:spPr bwMode="auto">
          <a:xfrm>
            <a:off x="135" y="2957"/>
            <a:ext cx="8" cy="8"/>
          </a:xfrm>
          <a:prstGeom prst="flowChartConnector">
            <a:avLst/>
          </a:prstGeom>
          <a:solidFill>
            <a:srgbClr val="FFFFFF"/>
          </a:solidFill>
          <a:ln w="9525">
            <a:solidFill>
              <a:srgbClr val="000000"/>
            </a:solidFill>
            <a:round/>
            <a:headEnd/>
            <a:tailEnd/>
          </a:ln>
        </xdr:spPr>
      </xdr:sp>
      <xdr:sp macro="" textlink="">
        <xdr:nvSpPr>
          <xdr:cNvPr id="247" name="AutoShape 733">
            <a:extLst>
              <a:ext uri="{FF2B5EF4-FFF2-40B4-BE49-F238E27FC236}">
                <a16:creationId xmlns:a16="http://schemas.microsoft.com/office/drawing/2014/main" id="{CCAE313B-7628-4733-9FD6-AEEDF750BE38}"/>
              </a:ext>
            </a:extLst>
          </xdr:cNvPr>
          <xdr:cNvSpPr>
            <a:spLocks noChangeArrowheads="1"/>
          </xdr:cNvSpPr>
        </xdr:nvSpPr>
        <xdr:spPr bwMode="auto">
          <a:xfrm>
            <a:off x="134" y="2920"/>
            <a:ext cx="8" cy="8"/>
          </a:xfrm>
          <a:prstGeom prst="flowChartConnector">
            <a:avLst/>
          </a:prstGeom>
          <a:solidFill>
            <a:srgbClr val="FFFFFF"/>
          </a:solidFill>
          <a:ln w="9525">
            <a:solidFill>
              <a:srgbClr val="000000"/>
            </a:solidFill>
            <a:round/>
            <a:headEnd/>
            <a:tailEnd/>
          </a:ln>
        </xdr:spPr>
      </xdr:sp>
      <xdr:sp macro="" textlink="">
        <xdr:nvSpPr>
          <xdr:cNvPr id="248" name="AutoShape 736">
            <a:extLst>
              <a:ext uri="{FF2B5EF4-FFF2-40B4-BE49-F238E27FC236}">
                <a16:creationId xmlns:a16="http://schemas.microsoft.com/office/drawing/2014/main" id="{15BB89AE-ACE3-4D21-8D41-5273151F843B}"/>
              </a:ext>
            </a:extLst>
          </xdr:cNvPr>
          <xdr:cNvSpPr>
            <a:spLocks noChangeArrowheads="1"/>
          </xdr:cNvSpPr>
        </xdr:nvSpPr>
        <xdr:spPr bwMode="auto">
          <a:xfrm>
            <a:off x="183" y="2921"/>
            <a:ext cx="8" cy="8"/>
          </a:xfrm>
          <a:prstGeom prst="flowChartConnector">
            <a:avLst/>
          </a:prstGeom>
          <a:solidFill>
            <a:srgbClr val="FFFFFF"/>
          </a:solidFill>
          <a:ln w="9525">
            <a:solidFill>
              <a:srgbClr val="000000"/>
            </a:solidFill>
            <a:round/>
            <a:headEnd/>
            <a:tailEnd/>
          </a:ln>
        </xdr:spPr>
      </xdr:sp>
      <xdr:sp macro="" textlink="">
        <xdr:nvSpPr>
          <xdr:cNvPr id="249" name="Line 737">
            <a:extLst>
              <a:ext uri="{FF2B5EF4-FFF2-40B4-BE49-F238E27FC236}">
                <a16:creationId xmlns:a16="http://schemas.microsoft.com/office/drawing/2014/main" id="{9526E7AA-43CF-4685-9987-93A29A518870}"/>
              </a:ext>
            </a:extLst>
          </xdr:cNvPr>
          <xdr:cNvSpPr>
            <a:spLocks noChangeShapeType="1"/>
          </xdr:cNvSpPr>
        </xdr:nvSpPr>
        <xdr:spPr bwMode="auto">
          <a:xfrm>
            <a:off x="142" y="2922"/>
            <a:ext cx="4" cy="5"/>
          </a:xfrm>
          <a:prstGeom prst="line">
            <a:avLst/>
          </a:prstGeom>
          <a:noFill/>
          <a:ln w="19050">
            <a:solidFill>
              <a:srgbClr val="000000"/>
            </a:solidFill>
            <a:round/>
            <a:headEnd/>
            <a:tailEnd/>
          </a:ln>
        </xdr:spPr>
      </xdr:sp>
      <xdr:sp macro="" textlink="">
        <xdr:nvSpPr>
          <xdr:cNvPr id="250" name="Line 738">
            <a:extLst>
              <a:ext uri="{FF2B5EF4-FFF2-40B4-BE49-F238E27FC236}">
                <a16:creationId xmlns:a16="http://schemas.microsoft.com/office/drawing/2014/main" id="{B51E1BB5-F24A-4464-8B4F-65306FAD1A5A}"/>
              </a:ext>
            </a:extLst>
          </xdr:cNvPr>
          <xdr:cNvSpPr>
            <a:spLocks noChangeShapeType="1"/>
          </xdr:cNvSpPr>
        </xdr:nvSpPr>
        <xdr:spPr bwMode="auto">
          <a:xfrm>
            <a:off x="136" y="2927"/>
            <a:ext cx="5" cy="4"/>
          </a:xfrm>
          <a:prstGeom prst="line">
            <a:avLst/>
          </a:prstGeom>
          <a:noFill/>
          <a:ln w="19050">
            <a:solidFill>
              <a:srgbClr val="000000"/>
            </a:solidFill>
            <a:round/>
            <a:headEnd/>
            <a:tailEnd/>
          </a:ln>
        </xdr:spPr>
      </xdr:sp>
      <xdr:sp macro="" textlink="">
        <xdr:nvSpPr>
          <xdr:cNvPr id="251" name="Line 741">
            <a:extLst>
              <a:ext uri="{FF2B5EF4-FFF2-40B4-BE49-F238E27FC236}">
                <a16:creationId xmlns:a16="http://schemas.microsoft.com/office/drawing/2014/main" id="{7CACD2D8-37CD-48EF-ACDA-FD85003CE035}"/>
              </a:ext>
            </a:extLst>
          </xdr:cNvPr>
          <xdr:cNvSpPr>
            <a:spLocks noChangeShapeType="1"/>
          </xdr:cNvSpPr>
        </xdr:nvSpPr>
        <xdr:spPr bwMode="auto">
          <a:xfrm>
            <a:off x="205" y="2910"/>
            <a:ext cx="0" cy="72"/>
          </a:xfrm>
          <a:prstGeom prst="line">
            <a:avLst/>
          </a:prstGeom>
          <a:noFill/>
          <a:ln w="9525">
            <a:solidFill>
              <a:srgbClr val="000000"/>
            </a:solidFill>
            <a:round/>
            <a:headEnd/>
            <a:tailEnd/>
          </a:ln>
        </xdr:spPr>
      </xdr:sp>
      <xdr:sp macro="" textlink="">
        <xdr:nvSpPr>
          <xdr:cNvPr id="252" name="Line 743">
            <a:extLst>
              <a:ext uri="{FF2B5EF4-FFF2-40B4-BE49-F238E27FC236}">
                <a16:creationId xmlns:a16="http://schemas.microsoft.com/office/drawing/2014/main" id="{8B34D822-A4F2-443A-8351-655DB811D25C}"/>
              </a:ext>
            </a:extLst>
          </xdr:cNvPr>
          <xdr:cNvSpPr>
            <a:spLocks noChangeShapeType="1"/>
          </xdr:cNvSpPr>
        </xdr:nvSpPr>
        <xdr:spPr bwMode="auto">
          <a:xfrm>
            <a:off x="121" y="2988"/>
            <a:ext cx="86" cy="0"/>
          </a:xfrm>
          <a:prstGeom prst="line">
            <a:avLst/>
          </a:prstGeom>
          <a:noFill/>
          <a:ln w="9525">
            <a:solidFill>
              <a:srgbClr val="000000"/>
            </a:solidFill>
            <a:round/>
            <a:headEnd/>
            <a:tailEnd/>
          </a:ln>
        </xdr:spPr>
      </xdr:sp>
      <xdr:sp macro="" textlink="">
        <xdr:nvSpPr>
          <xdr:cNvPr id="253" name="Line 745">
            <a:extLst>
              <a:ext uri="{FF2B5EF4-FFF2-40B4-BE49-F238E27FC236}">
                <a16:creationId xmlns:a16="http://schemas.microsoft.com/office/drawing/2014/main" id="{E2EB3F4A-4C99-4116-920F-14C0D8169EBB}"/>
              </a:ext>
            </a:extLst>
          </xdr:cNvPr>
          <xdr:cNvSpPr>
            <a:spLocks noChangeShapeType="1"/>
          </xdr:cNvSpPr>
        </xdr:nvSpPr>
        <xdr:spPr bwMode="auto">
          <a:xfrm>
            <a:off x="200" y="2916"/>
            <a:ext cx="20" cy="0"/>
          </a:xfrm>
          <a:prstGeom prst="line">
            <a:avLst/>
          </a:prstGeom>
          <a:noFill/>
          <a:ln w="9525">
            <a:solidFill>
              <a:srgbClr val="000000"/>
            </a:solidFill>
            <a:round/>
            <a:headEnd/>
            <a:tailEnd/>
          </a:ln>
        </xdr:spPr>
      </xdr:sp>
      <xdr:sp macro="" textlink="">
        <xdr:nvSpPr>
          <xdr:cNvPr id="254" name="Line 746">
            <a:extLst>
              <a:ext uri="{FF2B5EF4-FFF2-40B4-BE49-F238E27FC236}">
                <a16:creationId xmlns:a16="http://schemas.microsoft.com/office/drawing/2014/main" id="{833D30BD-EC24-42CA-90DD-A7973DC90008}"/>
              </a:ext>
            </a:extLst>
          </xdr:cNvPr>
          <xdr:cNvSpPr>
            <a:spLocks noChangeShapeType="1"/>
          </xdr:cNvSpPr>
        </xdr:nvSpPr>
        <xdr:spPr bwMode="auto">
          <a:xfrm>
            <a:off x="199" y="2969"/>
            <a:ext cx="18" cy="0"/>
          </a:xfrm>
          <a:prstGeom prst="line">
            <a:avLst/>
          </a:prstGeom>
          <a:noFill/>
          <a:ln w="9525">
            <a:solidFill>
              <a:srgbClr val="000000"/>
            </a:solidFill>
            <a:round/>
            <a:headEnd/>
            <a:tailEnd/>
          </a:ln>
        </xdr:spPr>
      </xdr:sp>
      <xdr:sp macro="" textlink="">
        <xdr:nvSpPr>
          <xdr:cNvPr id="255" name="Line 751">
            <a:extLst>
              <a:ext uri="{FF2B5EF4-FFF2-40B4-BE49-F238E27FC236}">
                <a16:creationId xmlns:a16="http://schemas.microsoft.com/office/drawing/2014/main" id="{85E55B55-119A-4527-8886-2EE446C7CA5D}"/>
              </a:ext>
            </a:extLst>
          </xdr:cNvPr>
          <xdr:cNvSpPr>
            <a:spLocks noChangeShapeType="1"/>
          </xdr:cNvSpPr>
        </xdr:nvSpPr>
        <xdr:spPr bwMode="auto">
          <a:xfrm flipH="1">
            <a:off x="201" y="2913"/>
            <a:ext cx="8" cy="5"/>
          </a:xfrm>
          <a:prstGeom prst="line">
            <a:avLst/>
          </a:prstGeom>
          <a:noFill/>
          <a:ln w="19050">
            <a:solidFill>
              <a:srgbClr val="000000"/>
            </a:solidFill>
            <a:round/>
            <a:headEnd/>
            <a:tailEnd/>
          </a:ln>
        </xdr:spPr>
      </xdr:sp>
      <xdr:sp macro="" textlink="">
        <xdr:nvSpPr>
          <xdr:cNvPr id="256" name="Line 752">
            <a:extLst>
              <a:ext uri="{FF2B5EF4-FFF2-40B4-BE49-F238E27FC236}">
                <a16:creationId xmlns:a16="http://schemas.microsoft.com/office/drawing/2014/main" id="{A03E0526-CAD2-42FC-8D9D-FCA2B525A1AF}"/>
              </a:ext>
            </a:extLst>
          </xdr:cNvPr>
          <xdr:cNvSpPr>
            <a:spLocks noChangeShapeType="1"/>
          </xdr:cNvSpPr>
        </xdr:nvSpPr>
        <xdr:spPr bwMode="auto">
          <a:xfrm flipH="1">
            <a:off x="202" y="2965"/>
            <a:ext cx="8" cy="6"/>
          </a:xfrm>
          <a:prstGeom prst="line">
            <a:avLst/>
          </a:prstGeom>
          <a:noFill/>
          <a:ln w="19050">
            <a:solidFill>
              <a:srgbClr val="000000"/>
            </a:solidFill>
            <a:round/>
            <a:headEnd/>
            <a:tailEnd/>
          </a:ln>
        </xdr:spPr>
      </xdr:sp>
      <xdr:sp macro="" textlink="">
        <xdr:nvSpPr>
          <xdr:cNvPr id="257" name="Line 753">
            <a:extLst>
              <a:ext uri="{FF2B5EF4-FFF2-40B4-BE49-F238E27FC236}">
                <a16:creationId xmlns:a16="http://schemas.microsoft.com/office/drawing/2014/main" id="{EADFD42A-C8A8-4483-908F-2632E930A561}"/>
              </a:ext>
            </a:extLst>
          </xdr:cNvPr>
          <xdr:cNvSpPr>
            <a:spLocks noChangeShapeType="1"/>
          </xdr:cNvSpPr>
        </xdr:nvSpPr>
        <xdr:spPr bwMode="auto">
          <a:xfrm>
            <a:off x="130" y="2980"/>
            <a:ext cx="0" cy="18"/>
          </a:xfrm>
          <a:prstGeom prst="line">
            <a:avLst/>
          </a:prstGeom>
          <a:noFill/>
          <a:ln w="9525">
            <a:solidFill>
              <a:srgbClr val="000000"/>
            </a:solidFill>
            <a:round/>
            <a:headEnd/>
            <a:tailEnd/>
          </a:ln>
        </xdr:spPr>
      </xdr:sp>
      <xdr:sp macro="" textlink="">
        <xdr:nvSpPr>
          <xdr:cNvPr id="258" name="Line 754">
            <a:extLst>
              <a:ext uri="{FF2B5EF4-FFF2-40B4-BE49-F238E27FC236}">
                <a16:creationId xmlns:a16="http://schemas.microsoft.com/office/drawing/2014/main" id="{1A8ACF0F-B5D5-4089-98C2-5ABCA78D7435}"/>
              </a:ext>
            </a:extLst>
          </xdr:cNvPr>
          <xdr:cNvSpPr>
            <a:spLocks noChangeShapeType="1"/>
          </xdr:cNvSpPr>
        </xdr:nvSpPr>
        <xdr:spPr bwMode="auto">
          <a:xfrm>
            <a:off x="196" y="2980"/>
            <a:ext cx="0" cy="18"/>
          </a:xfrm>
          <a:prstGeom prst="line">
            <a:avLst/>
          </a:prstGeom>
          <a:noFill/>
          <a:ln w="9525">
            <a:solidFill>
              <a:srgbClr val="000000"/>
            </a:solidFill>
            <a:round/>
            <a:headEnd/>
            <a:tailEnd/>
          </a:ln>
        </xdr:spPr>
      </xdr:sp>
      <xdr:sp macro="" textlink="">
        <xdr:nvSpPr>
          <xdr:cNvPr id="259" name="Line 755">
            <a:extLst>
              <a:ext uri="{FF2B5EF4-FFF2-40B4-BE49-F238E27FC236}">
                <a16:creationId xmlns:a16="http://schemas.microsoft.com/office/drawing/2014/main" id="{BDF56E3C-28C8-46B4-B78F-60EF80CE201B}"/>
              </a:ext>
            </a:extLst>
          </xdr:cNvPr>
          <xdr:cNvSpPr>
            <a:spLocks noChangeShapeType="1"/>
          </xdr:cNvSpPr>
        </xdr:nvSpPr>
        <xdr:spPr bwMode="auto">
          <a:xfrm flipH="1">
            <a:off x="126" y="2985"/>
            <a:ext cx="8" cy="6"/>
          </a:xfrm>
          <a:prstGeom prst="line">
            <a:avLst/>
          </a:prstGeom>
          <a:noFill/>
          <a:ln w="19050">
            <a:solidFill>
              <a:srgbClr val="000000"/>
            </a:solidFill>
            <a:round/>
            <a:headEnd/>
            <a:tailEnd/>
          </a:ln>
        </xdr:spPr>
      </xdr:sp>
      <xdr:sp macro="" textlink="">
        <xdr:nvSpPr>
          <xdr:cNvPr id="260" name="Line 756">
            <a:extLst>
              <a:ext uri="{FF2B5EF4-FFF2-40B4-BE49-F238E27FC236}">
                <a16:creationId xmlns:a16="http://schemas.microsoft.com/office/drawing/2014/main" id="{56F840A3-8D7F-4DE1-828D-7223D1032B94}"/>
              </a:ext>
            </a:extLst>
          </xdr:cNvPr>
          <xdr:cNvSpPr>
            <a:spLocks noChangeShapeType="1"/>
          </xdr:cNvSpPr>
        </xdr:nvSpPr>
        <xdr:spPr bwMode="auto">
          <a:xfrm flipH="1">
            <a:off x="191" y="2985"/>
            <a:ext cx="8" cy="6"/>
          </a:xfrm>
          <a:prstGeom prst="line">
            <a:avLst/>
          </a:prstGeom>
          <a:noFill/>
          <a:ln w="19050">
            <a:solidFill>
              <a:srgbClr val="000000"/>
            </a:solidFill>
            <a:round/>
            <a:headEnd/>
            <a:tailEnd/>
          </a:ln>
        </xdr:spPr>
      </xdr:sp>
    </xdr:grpSp>
    <xdr:clientData/>
  </xdr:twoCellAnchor>
  <xdr:twoCellAnchor>
    <xdr:from>
      <xdr:col>8</xdr:col>
      <xdr:colOff>40821</xdr:colOff>
      <xdr:row>513</xdr:row>
      <xdr:rowOff>90715</xdr:rowOff>
    </xdr:from>
    <xdr:to>
      <xdr:col>11</xdr:col>
      <xdr:colOff>108910</xdr:colOff>
      <xdr:row>519</xdr:row>
      <xdr:rowOff>0</xdr:rowOff>
    </xdr:to>
    <xdr:grpSp>
      <xdr:nvGrpSpPr>
        <xdr:cNvPr id="261" name="Group 724">
          <a:extLst>
            <a:ext uri="{FF2B5EF4-FFF2-40B4-BE49-F238E27FC236}">
              <a16:creationId xmlns:a16="http://schemas.microsoft.com/office/drawing/2014/main" id="{C456B0D9-4112-46F7-B3FF-30B9C209EAE2}"/>
            </a:ext>
          </a:extLst>
        </xdr:cNvPr>
        <xdr:cNvGrpSpPr>
          <a:grpSpLocks/>
        </xdr:cNvGrpSpPr>
      </xdr:nvGrpSpPr>
      <xdr:grpSpPr bwMode="auto">
        <a:xfrm>
          <a:off x="3525701" y="99120235"/>
          <a:ext cx="860569" cy="1067525"/>
          <a:chOff x="121" y="2910"/>
          <a:chExt cx="99" cy="88"/>
        </a:xfrm>
      </xdr:grpSpPr>
      <xdr:sp macro="" textlink="">
        <xdr:nvSpPr>
          <xdr:cNvPr id="262" name="Rectangle 725">
            <a:extLst>
              <a:ext uri="{FF2B5EF4-FFF2-40B4-BE49-F238E27FC236}">
                <a16:creationId xmlns:a16="http://schemas.microsoft.com/office/drawing/2014/main" id="{2D5E8557-C1DD-4EEF-9D31-8A205DD7C68F}"/>
              </a:ext>
            </a:extLst>
          </xdr:cNvPr>
          <xdr:cNvSpPr>
            <a:spLocks noChangeArrowheads="1"/>
          </xdr:cNvSpPr>
        </xdr:nvSpPr>
        <xdr:spPr bwMode="auto">
          <a:xfrm>
            <a:off x="130" y="2916"/>
            <a:ext cx="66" cy="54"/>
          </a:xfrm>
          <a:prstGeom prst="rect">
            <a:avLst/>
          </a:prstGeom>
          <a:solidFill>
            <a:srgbClr val="FFFFFF"/>
          </a:solidFill>
          <a:ln w="9525">
            <a:solidFill>
              <a:srgbClr val="000000"/>
            </a:solidFill>
            <a:miter lim="800000"/>
            <a:headEnd/>
            <a:tailEnd/>
          </a:ln>
        </xdr:spPr>
      </xdr:sp>
      <xdr:sp macro="" textlink="">
        <xdr:nvSpPr>
          <xdr:cNvPr id="263" name="Rectangle 726">
            <a:extLst>
              <a:ext uri="{FF2B5EF4-FFF2-40B4-BE49-F238E27FC236}">
                <a16:creationId xmlns:a16="http://schemas.microsoft.com/office/drawing/2014/main" id="{989C1463-5AE1-4E9C-8661-9182EAFEAFE6}"/>
              </a:ext>
            </a:extLst>
          </xdr:cNvPr>
          <xdr:cNvSpPr>
            <a:spLocks noChangeArrowheads="1"/>
          </xdr:cNvSpPr>
        </xdr:nvSpPr>
        <xdr:spPr bwMode="auto">
          <a:xfrm>
            <a:off x="135" y="2921"/>
            <a:ext cx="56" cy="44"/>
          </a:xfrm>
          <a:prstGeom prst="rect">
            <a:avLst/>
          </a:prstGeom>
          <a:solidFill>
            <a:srgbClr val="FFFFFF"/>
          </a:solidFill>
          <a:ln w="28575">
            <a:solidFill>
              <a:srgbClr val="000000"/>
            </a:solidFill>
            <a:miter lim="800000"/>
            <a:headEnd/>
            <a:tailEnd/>
          </a:ln>
        </xdr:spPr>
      </xdr:sp>
      <xdr:sp macro="" textlink="">
        <xdr:nvSpPr>
          <xdr:cNvPr id="264" name="AutoShape 731">
            <a:extLst>
              <a:ext uri="{FF2B5EF4-FFF2-40B4-BE49-F238E27FC236}">
                <a16:creationId xmlns:a16="http://schemas.microsoft.com/office/drawing/2014/main" id="{40A62167-92BF-4C96-9A06-D2131DFD5C78}"/>
              </a:ext>
            </a:extLst>
          </xdr:cNvPr>
          <xdr:cNvSpPr>
            <a:spLocks noChangeArrowheads="1"/>
          </xdr:cNvSpPr>
        </xdr:nvSpPr>
        <xdr:spPr bwMode="auto">
          <a:xfrm>
            <a:off x="183" y="2958"/>
            <a:ext cx="8" cy="8"/>
          </a:xfrm>
          <a:prstGeom prst="flowChartConnector">
            <a:avLst/>
          </a:prstGeom>
          <a:solidFill>
            <a:srgbClr val="FFFFFF"/>
          </a:solidFill>
          <a:ln w="9525">
            <a:solidFill>
              <a:srgbClr val="000000"/>
            </a:solidFill>
            <a:round/>
            <a:headEnd/>
            <a:tailEnd/>
          </a:ln>
        </xdr:spPr>
      </xdr:sp>
      <xdr:sp macro="" textlink="">
        <xdr:nvSpPr>
          <xdr:cNvPr id="265" name="AutoShape 732">
            <a:extLst>
              <a:ext uri="{FF2B5EF4-FFF2-40B4-BE49-F238E27FC236}">
                <a16:creationId xmlns:a16="http://schemas.microsoft.com/office/drawing/2014/main" id="{A1F443B9-C4AB-414B-8F6F-EAF3C40CD987}"/>
              </a:ext>
            </a:extLst>
          </xdr:cNvPr>
          <xdr:cNvSpPr>
            <a:spLocks noChangeArrowheads="1"/>
          </xdr:cNvSpPr>
        </xdr:nvSpPr>
        <xdr:spPr bwMode="auto">
          <a:xfrm>
            <a:off x="135" y="2957"/>
            <a:ext cx="8" cy="8"/>
          </a:xfrm>
          <a:prstGeom prst="flowChartConnector">
            <a:avLst/>
          </a:prstGeom>
          <a:solidFill>
            <a:srgbClr val="FFFFFF"/>
          </a:solidFill>
          <a:ln w="9525">
            <a:solidFill>
              <a:srgbClr val="000000"/>
            </a:solidFill>
            <a:round/>
            <a:headEnd/>
            <a:tailEnd/>
          </a:ln>
        </xdr:spPr>
      </xdr:sp>
      <xdr:sp macro="" textlink="">
        <xdr:nvSpPr>
          <xdr:cNvPr id="266" name="AutoShape 733">
            <a:extLst>
              <a:ext uri="{FF2B5EF4-FFF2-40B4-BE49-F238E27FC236}">
                <a16:creationId xmlns:a16="http://schemas.microsoft.com/office/drawing/2014/main" id="{557B87AD-192D-4FF6-89BE-10806CA16A13}"/>
              </a:ext>
            </a:extLst>
          </xdr:cNvPr>
          <xdr:cNvSpPr>
            <a:spLocks noChangeArrowheads="1"/>
          </xdr:cNvSpPr>
        </xdr:nvSpPr>
        <xdr:spPr bwMode="auto">
          <a:xfrm>
            <a:off x="134" y="2920"/>
            <a:ext cx="8" cy="8"/>
          </a:xfrm>
          <a:prstGeom prst="flowChartConnector">
            <a:avLst/>
          </a:prstGeom>
          <a:solidFill>
            <a:srgbClr val="FFFFFF"/>
          </a:solidFill>
          <a:ln w="9525">
            <a:solidFill>
              <a:srgbClr val="000000"/>
            </a:solidFill>
            <a:round/>
            <a:headEnd/>
            <a:tailEnd/>
          </a:ln>
        </xdr:spPr>
      </xdr:sp>
      <xdr:sp macro="" textlink="">
        <xdr:nvSpPr>
          <xdr:cNvPr id="267" name="AutoShape 736">
            <a:extLst>
              <a:ext uri="{FF2B5EF4-FFF2-40B4-BE49-F238E27FC236}">
                <a16:creationId xmlns:a16="http://schemas.microsoft.com/office/drawing/2014/main" id="{BA0D0002-79DE-470B-87F9-34EED3347584}"/>
              </a:ext>
            </a:extLst>
          </xdr:cNvPr>
          <xdr:cNvSpPr>
            <a:spLocks noChangeArrowheads="1"/>
          </xdr:cNvSpPr>
        </xdr:nvSpPr>
        <xdr:spPr bwMode="auto">
          <a:xfrm>
            <a:off x="183" y="2921"/>
            <a:ext cx="8" cy="8"/>
          </a:xfrm>
          <a:prstGeom prst="flowChartConnector">
            <a:avLst/>
          </a:prstGeom>
          <a:solidFill>
            <a:srgbClr val="FFFFFF"/>
          </a:solidFill>
          <a:ln w="9525">
            <a:solidFill>
              <a:srgbClr val="000000"/>
            </a:solidFill>
            <a:round/>
            <a:headEnd/>
            <a:tailEnd/>
          </a:ln>
        </xdr:spPr>
      </xdr:sp>
      <xdr:sp macro="" textlink="">
        <xdr:nvSpPr>
          <xdr:cNvPr id="268" name="Line 737">
            <a:extLst>
              <a:ext uri="{FF2B5EF4-FFF2-40B4-BE49-F238E27FC236}">
                <a16:creationId xmlns:a16="http://schemas.microsoft.com/office/drawing/2014/main" id="{9C5DF3C2-0C23-47DF-A6F9-4E6EB5AAB552}"/>
              </a:ext>
            </a:extLst>
          </xdr:cNvPr>
          <xdr:cNvSpPr>
            <a:spLocks noChangeShapeType="1"/>
          </xdr:cNvSpPr>
        </xdr:nvSpPr>
        <xdr:spPr bwMode="auto">
          <a:xfrm>
            <a:off x="142" y="2922"/>
            <a:ext cx="4" cy="5"/>
          </a:xfrm>
          <a:prstGeom prst="line">
            <a:avLst/>
          </a:prstGeom>
          <a:noFill/>
          <a:ln w="19050">
            <a:solidFill>
              <a:srgbClr val="000000"/>
            </a:solidFill>
            <a:round/>
            <a:headEnd/>
            <a:tailEnd/>
          </a:ln>
        </xdr:spPr>
      </xdr:sp>
      <xdr:sp macro="" textlink="">
        <xdr:nvSpPr>
          <xdr:cNvPr id="269" name="Line 738">
            <a:extLst>
              <a:ext uri="{FF2B5EF4-FFF2-40B4-BE49-F238E27FC236}">
                <a16:creationId xmlns:a16="http://schemas.microsoft.com/office/drawing/2014/main" id="{432A56FA-BDE8-47B1-A2D8-128B86C8DF25}"/>
              </a:ext>
            </a:extLst>
          </xdr:cNvPr>
          <xdr:cNvSpPr>
            <a:spLocks noChangeShapeType="1"/>
          </xdr:cNvSpPr>
        </xdr:nvSpPr>
        <xdr:spPr bwMode="auto">
          <a:xfrm>
            <a:off x="136" y="2927"/>
            <a:ext cx="5" cy="4"/>
          </a:xfrm>
          <a:prstGeom prst="line">
            <a:avLst/>
          </a:prstGeom>
          <a:noFill/>
          <a:ln w="19050">
            <a:solidFill>
              <a:srgbClr val="000000"/>
            </a:solidFill>
            <a:round/>
            <a:headEnd/>
            <a:tailEnd/>
          </a:ln>
        </xdr:spPr>
      </xdr:sp>
      <xdr:sp macro="" textlink="">
        <xdr:nvSpPr>
          <xdr:cNvPr id="270" name="Line 741">
            <a:extLst>
              <a:ext uri="{FF2B5EF4-FFF2-40B4-BE49-F238E27FC236}">
                <a16:creationId xmlns:a16="http://schemas.microsoft.com/office/drawing/2014/main" id="{0BA91951-3DC9-473A-B4AF-709B728F3C9D}"/>
              </a:ext>
            </a:extLst>
          </xdr:cNvPr>
          <xdr:cNvSpPr>
            <a:spLocks noChangeShapeType="1"/>
          </xdr:cNvSpPr>
        </xdr:nvSpPr>
        <xdr:spPr bwMode="auto">
          <a:xfrm>
            <a:off x="205" y="2910"/>
            <a:ext cx="0" cy="72"/>
          </a:xfrm>
          <a:prstGeom prst="line">
            <a:avLst/>
          </a:prstGeom>
          <a:noFill/>
          <a:ln w="9525">
            <a:solidFill>
              <a:srgbClr val="000000"/>
            </a:solidFill>
            <a:round/>
            <a:headEnd/>
            <a:tailEnd/>
          </a:ln>
        </xdr:spPr>
      </xdr:sp>
      <xdr:sp macro="" textlink="">
        <xdr:nvSpPr>
          <xdr:cNvPr id="271" name="Line 743">
            <a:extLst>
              <a:ext uri="{FF2B5EF4-FFF2-40B4-BE49-F238E27FC236}">
                <a16:creationId xmlns:a16="http://schemas.microsoft.com/office/drawing/2014/main" id="{7A7D117A-1E25-4A4B-9ED4-BA5CD95F0D02}"/>
              </a:ext>
            </a:extLst>
          </xdr:cNvPr>
          <xdr:cNvSpPr>
            <a:spLocks noChangeShapeType="1"/>
          </xdr:cNvSpPr>
        </xdr:nvSpPr>
        <xdr:spPr bwMode="auto">
          <a:xfrm>
            <a:off x="121" y="2988"/>
            <a:ext cx="86" cy="0"/>
          </a:xfrm>
          <a:prstGeom prst="line">
            <a:avLst/>
          </a:prstGeom>
          <a:noFill/>
          <a:ln w="9525">
            <a:solidFill>
              <a:srgbClr val="000000"/>
            </a:solidFill>
            <a:round/>
            <a:headEnd/>
            <a:tailEnd/>
          </a:ln>
        </xdr:spPr>
      </xdr:sp>
      <xdr:sp macro="" textlink="">
        <xdr:nvSpPr>
          <xdr:cNvPr id="272" name="Line 745">
            <a:extLst>
              <a:ext uri="{FF2B5EF4-FFF2-40B4-BE49-F238E27FC236}">
                <a16:creationId xmlns:a16="http://schemas.microsoft.com/office/drawing/2014/main" id="{88FB5A59-AC80-4D7D-AD33-EB9E06750B8A}"/>
              </a:ext>
            </a:extLst>
          </xdr:cNvPr>
          <xdr:cNvSpPr>
            <a:spLocks noChangeShapeType="1"/>
          </xdr:cNvSpPr>
        </xdr:nvSpPr>
        <xdr:spPr bwMode="auto">
          <a:xfrm>
            <a:off x="200" y="2916"/>
            <a:ext cx="20" cy="0"/>
          </a:xfrm>
          <a:prstGeom prst="line">
            <a:avLst/>
          </a:prstGeom>
          <a:noFill/>
          <a:ln w="9525">
            <a:solidFill>
              <a:srgbClr val="000000"/>
            </a:solidFill>
            <a:round/>
            <a:headEnd/>
            <a:tailEnd/>
          </a:ln>
        </xdr:spPr>
      </xdr:sp>
      <xdr:sp macro="" textlink="">
        <xdr:nvSpPr>
          <xdr:cNvPr id="273" name="Line 746">
            <a:extLst>
              <a:ext uri="{FF2B5EF4-FFF2-40B4-BE49-F238E27FC236}">
                <a16:creationId xmlns:a16="http://schemas.microsoft.com/office/drawing/2014/main" id="{1E14E253-A09D-421B-A4D4-9AA7E73CBB20}"/>
              </a:ext>
            </a:extLst>
          </xdr:cNvPr>
          <xdr:cNvSpPr>
            <a:spLocks noChangeShapeType="1"/>
          </xdr:cNvSpPr>
        </xdr:nvSpPr>
        <xdr:spPr bwMode="auto">
          <a:xfrm>
            <a:off x="199" y="2969"/>
            <a:ext cx="18" cy="0"/>
          </a:xfrm>
          <a:prstGeom prst="line">
            <a:avLst/>
          </a:prstGeom>
          <a:noFill/>
          <a:ln w="9525">
            <a:solidFill>
              <a:srgbClr val="000000"/>
            </a:solidFill>
            <a:round/>
            <a:headEnd/>
            <a:tailEnd/>
          </a:ln>
        </xdr:spPr>
      </xdr:sp>
      <xdr:sp macro="" textlink="">
        <xdr:nvSpPr>
          <xdr:cNvPr id="274" name="Line 751">
            <a:extLst>
              <a:ext uri="{FF2B5EF4-FFF2-40B4-BE49-F238E27FC236}">
                <a16:creationId xmlns:a16="http://schemas.microsoft.com/office/drawing/2014/main" id="{9F9E94C9-9944-4EE7-8241-2E531CB1C5F6}"/>
              </a:ext>
            </a:extLst>
          </xdr:cNvPr>
          <xdr:cNvSpPr>
            <a:spLocks noChangeShapeType="1"/>
          </xdr:cNvSpPr>
        </xdr:nvSpPr>
        <xdr:spPr bwMode="auto">
          <a:xfrm flipH="1">
            <a:off x="201" y="2913"/>
            <a:ext cx="8" cy="5"/>
          </a:xfrm>
          <a:prstGeom prst="line">
            <a:avLst/>
          </a:prstGeom>
          <a:noFill/>
          <a:ln w="19050">
            <a:solidFill>
              <a:srgbClr val="000000"/>
            </a:solidFill>
            <a:round/>
            <a:headEnd/>
            <a:tailEnd/>
          </a:ln>
        </xdr:spPr>
      </xdr:sp>
      <xdr:sp macro="" textlink="">
        <xdr:nvSpPr>
          <xdr:cNvPr id="275" name="Line 752">
            <a:extLst>
              <a:ext uri="{FF2B5EF4-FFF2-40B4-BE49-F238E27FC236}">
                <a16:creationId xmlns:a16="http://schemas.microsoft.com/office/drawing/2014/main" id="{0423257D-79F7-4652-8D64-523111E1E97B}"/>
              </a:ext>
            </a:extLst>
          </xdr:cNvPr>
          <xdr:cNvSpPr>
            <a:spLocks noChangeShapeType="1"/>
          </xdr:cNvSpPr>
        </xdr:nvSpPr>
        <xdr:spPr bwMode="auto">
          <a:xfrm flipH="1">
            <a:off x="202" y="2965"/>
            <a:ext cx="8" cy="6"/>
          </a:xfrm>
          <a:prstGeom prst="line">
            <a:avLst/>
          </a:prstGeom>
          <a:noFill/>
          <a:ln w="19050">
            <a:solidFill>
              <a:srgbClr val="000000"/>
            </a:solidFill>
            <a:round/>
            <a:headEnd/>
            <a:tailEnd/>
          </a:ln>
        </xdr:spPr>
      </xdr:sp>
      <xdr:sp macro="" textlink="">
        <xdr:nvSpPr>
          <xdr:cNvPr id="276" name="Line 753">
            <a:extLst>
              <a:ext uri="{FF2B5EF4-FFF2-40B4-BE49-F238E27FC236}">
                <a16:creationId xmlns:a16="http://schemas.microsoft.com/office/drawing/2014/main" id="{2932320A-F446-4EDE-A40C-DC616EAC0C85}"/>
              </a:ext>
            </a:extLst>
          </xdr:cNvPr>
          <xdr:cNvSpPr>
            <a:spLocks noChangeShapeType="1"/>
          </xdr:cNvSpPr>
        </xdr:nvSpPr>
        <xdr:spPr bwMode="auto">
          <a:xfrm>
            <a:off x="130" y="2980"/>
            <a:ext cx="0" cy="18"/>
          </a:xfrm>
          <a:prstGeom prst="line">
            <a:avLst/>
          </a:prstGeom>
          <a:noFill/>
          <a:ln w="9525">
            <a:solidFill>
              <a:srgbClr val="000000"/>
            </a:solidFill>
            <a:round/>
            <a:headEnd/>
            <a:tailEnd/>
          </a:ln>
        </xdr:spPr>
      </xdr:sp>
      <xdr:sp macro="" textlink="">
        <xdr:nvSpPr>
          <xdr:cNvPr id="277" name="Line 754">
            <a:extLst>
              <a:ext uri="{FF2B5EF4-FFF2-40B4-BE49-F238E27FC236}">
                <a16:creationId xmlns:a16="http://schemas.microsoft.com/office/drawing/2014/main" id="{89BBF3AD-6B11-47CF-A182-054A0A2947D9}"/>
              </a:ext>
            </a:extLst>
          </xdr:cNvPr>
          <xdr:cNvSpPr>
            <a:spLocks noChangeShapeType="1"/>
          </xdr:cNvSpPr>
        </xdr:nvSpPr>
        <xdr:spPr bwMode="auto">
          <a:xfrm>
            <a:off x="196" y="2980"/>
            <a:ext cx="0" cy="18"/>
          </a:xfrm>
          <a:prstGeom prst="line">
            <a:avLst/>
          </a:prstGeom>
          <a:noFill/>
          <a:ln w="9525">
            <a:solidFill>
              <a:srgbClr val="000000"/>
            </a:solidFill>
            <a:round/>
            <a:headEnd/>
            <a:tailEnd/>
          </a:ln>
        </xdr:spPr>
      </xdr:sp>
      <xdr:sp macro="" textlink="">
        <xdr:nvSpPr>
          <xdr:cNvPr id="278" name="Line 755">
            <a:extLst>
              <a:ext uri="{FF2B5EF4-FFF2-40B4-BE49-F238E27FC236}">
                <a16:creationId xmlns:a16="http://schemas.microsoft.com/office/drawing/2014/main" id="{826DA641-21FE-4E9F-ADB5-F30229196C45}"/>
              </a:ext>
            </a:extLst>
          </xdr:cNvPr>
          <xdr:cNvSpPr>
            <a:spLocks noChangeShapeType="1"/>
          </xdr:cNvSpPr>
        </xdr:nvSpPr>
        <xdr:spPr bwMode="auto">
          <a:xfrm flipH="1">
            <a:off x="126" y="2985"/>
            <a:ext cx="8" cy="6"/>
          </a:xfrm>
          <a:prstGeom prst="line">
            <a:avLst/>
          </a:prstGeom>
          <a:noFill/>
          <a:ln w="19050">
            <a:solidFill>
              <a:srgbClr val="000000"/>
            </a:solidFill>
            <a:round/>
            <a:headEnd/>
            <a:tailEnd/>
          </a:ln>
        </xdr:spPr>
      </xdr:sp>
      <xdr:sp macro="" textlink="">
        <xdr:nvSpPr>
          <xdr:cNvPr id="279" name="Line 756">
            <a:extLst>
              <a:ext uri="{FF2B5EF4-FFF2-40B4-BE49-F238E27FC236}">
                <a16:creationId xmlns:a16="http://schemas.microsoft.com/office/drawing/2014/main" id="{27B49ED8-DFA5-4E93-B021-3B369D53D20F}"/>
              </a:ext>
            </a:extLst>
          </xdr:cNvPr>
          <xdr:cNvSpPr>
            <a:spLocks noChangeShapeType="1"/>
          </xdr:cNvSpPr>
        </xdr:nvSpPr>
        <xdr:spPr bwMode="auto">
          <a:xfrm flipH="1">
            <a:off x="191" y="2985"/>
            <a:ext cx="8" cy="6"/>
          </a:xfrm>
          <a:prstGeom prst="line">
            <a:avLst/>
          </a:prstGeom>
          <a:noFill/>
          <a:ln w="19050">
            <a:solidFill>
              <a:srgbClr val="000000"/>
            </a:solidFill>
            <a:round/>
            <a:headEnd/>
            <a:tailEnd/>
          </a:ln>
        </xdr:spPr>
      </xdr:sp>
    </xdr:grpSp>
    <xdr:clientData/>
  </xdr:twoCellAnchor>
  <xdr:twoCellAnchor editAs="absolute">
    <xdr:from>
      <xdr:col>0</xdr:col>
      <xdr:colOff>169340</xdr:colOff>
      <xdr:row>6</xdr:row>
      <xdr:rowOff>0</xdr:rowOff>
    </xdr:from>
    <xdr:to>
      <xdr:col>2</xdr:col>
      <xdr:colOff>564562</xdr:colOff>
      <xdr:row>19</xdr:row>
      <xdr:rowOff>83820</xdr:rowOff>
    </xdr:to>
    <xdr:grpSp>
      <xdr:nvGrpSpPr>
        <xdr:cNvPr id="280" name="Group 279">
          <a:extLst>
            <a:ext uri="{FF2B5EF4-FFF2-40B4-BE49-F238E27FC236}">
              <a16:creationId xmlns:a16="http://schemas.microsoft.com/office/drawing/2014/main" id="{BE2050ED-5645-4CB3-82A3-39FCC4C9632C}"/>
            </a:ext>
          </a:extLst>
        </xdr:cNvPr>
        <xdr:cNvGrpSpPr/>
      </xdr:nvGrpSpPr>
      <xdr:grpSpPr>
        <a:xfrm>
          <a:off x="169340" y="1158240"/>
          <a:ext cx="1878582" cy="2593340"/>
          <a:chOff x="168090" y="762000"/>
          <a:chExt cx="1818369" cy="2560320"/>
        </a:xfrm>
      </xdr:grpSpPr>
      <xdr:sp macro="[0]!TBHOME_Click" textlink="">
        <xdr:nvSpPr>
          <xdr:cNvPr id="281" name="TB.HOME">
            <a:extLst>
              <a:ext uri="{FF2B5EF4-FFF2-40B4-BE49-F238E27FC236}">
                <a16:creationId xmlns:a16="http://schemas.microsoft.com/office/drawing/2014/main" id="{C3167904-0950-4AA7-BA26-323F447EC7EC}"/>
              </a:ext>
            </a:extLst>
          </xdr:cNvPr>
          <xdr:cNvSpPr/>
        </xdr:nvSpPr>
        <xdr:spPr>
          <a:xfrm>
            <a:off x="168090" y="762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282" name="TB.DATA">
            <a:extLst>
              <a:ext uri="{FF2B5EF4-FFF2-40B4-BE49-F238E27FC236}">
                <a16:creationId xmlns:a16="http://schemas.microsoft.com/office/drawing/2014/main" id="{F73A55CA-103A-4C94-8169-1B868EBB87E9}"/>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283" name="TB.HITUNGVOLUME">
            <a:extLst>
              <a:ext uri="{FF2B5EF4-FFF2-40B4-BE49-F238E27FC236}">
                <a16:creationId xmlns:a16="http://schemas.microsoft.com/office/drawing/2014/main" id="{9FD04A66-7ACC-40DB-9044-0E28E41BC4C5}"/>
              </a:ext>
            </a:extLst>
          </xdr:cNvPr>
          <xdr:cNvSpPr/>
        </xdr:nvSpPr>
        <xdr:spPr>
          <a:xfrm>
            <a:off x="168090" y="152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HITUNG VOLUME</a:t>
            </a:r>
          </a:p>
        </xdr:txBody>
      </xdr:sp>
      <xdr:sp macro="[0]!TBHITUNGRAB_Click" textlink="">
        <xdr:nvSpPr>
          <xdr:cNvPr id="284" name="TB.HITUNGRAB">
            <a:extLst>
              <a:ext uri="{FF2B5EF4-FFF2-40B4-BE49-F238E27FC236}">
                <a16:creationId xmlns:a16="http://schemas.microsoft.com/office/drawing/2014/main" id="{47479601-BBF7-412A-882B-27B79D476967}"/>
              </a:ext>
            </a:extLst>
          </xdr:cNvPr>
          <xdr:cNvSpPr/>
        </xdr:nvSpPr>
        <xdr:spPr>
          <a:xfrm>
            <a:off x="168090" y="1905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HITUNG RAB</a:t>
            </a:r>
          </a:p>
        </xdr:txBody>
      </xdr:sp>
      <xdr:sp macro="[0]!TBREKAPITULASI_Click" textlink="">
        <xdr:nvSpPr>
          <xdr:cNvPr id="285" name="TB.REKAPITULASI">
            <a:extLst>
              <a:ext uri="{FF2B5EF4-FFF2-40B4-BE49-F238E27FC236}">
                <a16:creationId xmlns:a16="http://schemas.microsoft.com/office/drawing/2014/main" id="{1304D086-0526-496A-8126-803E91C68DFA}"/>
              </a:ext>
            </a:extLst>
          </xdr:cNvPr>
          <xdr:cNvSpPr/>
        </xdr:nvSpPr>
        <xdr:spPr>
          <a:xfrm>
            <a:off x="168090" y="2286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286" name="TB.DOKUMEN">
            <a:extLst>
              <a:ext uri="{FF2B5EF4-FFF2-40B4-BE49-F238E27FC236}">
                <a16:creationId xmlns:a16="http://schemas.microsoft.com/office/drawing/2014/main" id="{A488007B-7CDD-45DA-8310-11BA52A0DFD0}"/>
              </a:ext>
            </a:extLst>
          </xdr:cNvPr>
          <xdr:cNvSpPr/>
        </xdr:nvSpPr>
        <xdr:spPr>
          <a:xfrm>
            <a:off x="168090" y="2667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87" name="TB.PANDUAN">
            <a:extLst>
              <a:ext uri="{FF2B5EF4-FFF2-40B4-BE49-F238E27FC236}">
                <a16:creationId xmlns:a16="http://schemas.microsoft.com/office/drawing/2014/main" id="{5DB46ABF-11FA-41AD-A7FC-DF58FA740DF4}"/>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691962</xdr:colOff>
      <xdr:row>2</xdr:row>
      <xdr:rowOff>187698</xdr:rowOff>
    </xdr:to>
    <xdr:sp macro="" textlink="">
      <xdr:nvSpPr>
        <xdr:cNvPr id="19" name="Rectangle 18">
          <a:extLst>
            <a:ext uri="{FF2B5EF4-FFF2-40B4-BE49-F238E27FC236}">
              <a16:creationId xmlns:a16="http://schemas.microsoft.com/office/drawing/2014/main" id="{28288702-9130-487C-9633-2DB448344183}"/>
            </a:ext>
          </a:extLst>
        </xdr:cNvPr>
        <xdr:cNvSpPr/>
      </xdr:nvSpPr>
      <xdr:spPr>
        <a:xfrm>
          <a:off x="0" y="0"/>
          <a:ext cx="2120712"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563312</xdr:colOff>
      <xdr:row>19</xdr:row>
      <xdr:rowOff>83820</xdr:rowOff>
    </xdr:to>
    <xdr:grpSp>
      <xdr:nvGrpSpPr>
        <xdr:cNvPr id="20" name="Group 19">
          <a:extLst>
            <a:ext uri="{FF2B5EF4-FFF2-40B4-BE49-F238E27FC236}">
              <a16:creationId xmlns:a16="http://schemas.microsoft.com/office/drawing/2014/main" id="{9FD17C2B-9C3F-412D-A9D3-06138540C606}"/>
            </a:ext>
          </a:extLst>
        </xdr:cNvPr>
        <xdr:cNvGrpSpPr/>
      </xdr:nvGrpSpPr>
      <xdr:grpSpPr>
        <a:xfrm>
          <a:off x="168090" y="1158240"/>
          <a:ext cx="1878582" cy="2593340"/>
          <a:chOff x="168090" y="762000"/>
          <a:chExt cx="1818369" cy="2560320"/>
        </a:xfrm>
      </xdr:grpSpPr>
      <xdr:sp macro="[0]!TBHOME_Click" textlink="">
        <xdr:nvSpPr>
          <xdr:cNvPr id="21" name="TB.HOME">
            <a:extLst>
              <a:ext uri="{FF2B5EF4-FFF2-40B4-BE49-F238E27FC236}">
                <a16:creationId xmlns:a16="http://schemas.microsoft.com/office/drawing/2014/main" id="{A0679759-A9A4-4438-97E9-A49359A6D022}"/>
              </a:ext>
            </a:extLst>
          </xdr:cNvPr>
          <xdr:cNvSpPr/>
        </xdr:nvSpPr>
        <xdr:spPr>
          <a:xfrm>
            <a:off x="168090" y="762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22" name="TB.DATA">
            <a:extLst>
              <a:ext uri="{FF2B5EF4-FFF2-40B4-BE49-F238E27FC236}">
                <a16:creationId xmlns:a16="http://schemas.microsoft.com/office/drawing/2014/main" id="{803A0AD0-36EE-4506-90B7-2CB04C335825}"/>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23" name="TB.HITUNGVOLUME">
            <a:extLst>
              <a:ext uri="{FF2B5EF4-FFF2-40B4-BE49-F238E27FC236}">
                <a16:creationId xmlns:a16="http://schemas.microsoft.com/office/drawing/2014/main" id="{843FFCD2-88EC-4CFB-B182-F9DF313A824C}"/>
              </a:ext>
            </a:extLst>
          </xdr:cNvPr>
          <xdr:cNvSpPr/>
        </xdr:nvSpPr>
        <xdr:spPr>
          <a:xfrm>
            <a:off x="168090" y="152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HITUNG VOLUME</a:t>
            </a:r>
          </a:p>
        </xdr:txBody>
      </xdr:sp>
      <xdr:sp macro="[0]!TBHITUNGRAB_Click" textlink="">
        <xdr:nvSpPr>
          <xdr:cNvPr id="24" name="TB.HITUNGRAB">
            <a:extLst>
              <a:ext uri="{FF2B5EF4-FFF2-40B4-BE49-F238E27FC236}">
                <a16:creationId xmlns:a16="http://schemas.microsoft.com/office/drawing/2014/main" id="{548B2657-9B1D-4B85-BABA-6C18D028DD18}"/>
              </a:ext>
            </a:extLst>
          </xdr:cNvPr>
          <xdr:cNvSpPr/>
        </xdr:nvSpPr>
        <xdr:spPr>
          <a:xfrm>
            <a:off x="168090" y="1905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HITUNG RAB</a:t>
            </a:r>
          </a:p>
        </xdr:txBody>
      </xdr:sp>
      <xdr:sp macro="[0]!TBREKAPITULASI_Click" textlink="">
        <xdr:nvSpPr>
          <xdr:cNvPr id="25" name="TB.REKAPITULASI">
            <a:extLst>
              <a:ext uri="{FF2B5EF4-FFF2-40B4-BE49-F238E27FC236}">
                <a16:creationId xmlns:a16="http://schemas.microsoft.com/office/drawing/2014/main" id="{321622B9-D04B-4E76-9422-E2DDAF7FDBD9}"/>
              </a:ext>
            </a:extLst>
          </xdr:cNvPr>
          <xdr:cNvSpPr/>
        </xdr:nvSpPr>
        <xdr:spPr>
          <a:xfrm>
            <a:off x="168090" y="2286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26" name="TB.DOKUMEN">
            <a:extLst>
              <a:ext uri="{FF2B5EF4-FFF2-40B4-BE49-F238E27FC236}">
                <a16:creationId xmlns:a16="http://schemas.microsoft.com/office/drawing/2014/main" id="{60495F33-A82C-43C9-AB3F-7F4E6F24A4D8}"/>
              </a:ext>
            </a:extLst>
          </xdr:cNvPr>
          <xdr:cNvSpPr/>
        </xdr:nvSpPr>
        <xdr:spPr>
          <a:xfrm>
            <a:off x="168090" y="2667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7" name="TB.PANDUAN">
            <a:extLst>
              <a:ext uri="{FF2B5EF4-FFF2-40B4-BE49-F238E27FC236}">
                <a16:creationId xmlns:a16="http://schemas.microsoft.com/office/drawing/2014/main" id="{4E89DF48-535D-4304-ADDF-4E661BB93060}"/>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5</xdr:row>
      <xdr:rowOff>5</xdr:rowOff>
    </xdr:from>
    <xdr:to>
      <xdr:col>24</xdr:col>
      <xdr:colOff>586318</xdr:colOff>
      <xdr:row>14</xdr:row>
      <xdr:rowOff>177804</xdr:rowOff>
    </xdr:to>
    <xdr:grpSp>
      <xdr:nvGrpSpPr>
        <xdr:cNvPr id="18" name="Group 17">
          <a:extLst>
            <a:ext uri="{FF2B5EF4-FFF2-40B4-BE49-F238E27FC236}">
              <a16:creationId xmlns:a16="http://schemas.microsoft.com/office/drawing/2014/main" id="{37B7E5DE-279F-4859-875F-7F85EAF034BD}"/>
            </a:ext>
          </a:extLst>
        </xdr:cNvPr>
        <xdr:cNvGrpSpPr/>
      </xdr:nvGrpSpPr>
      <xdr:grpSpPr>
        <a:xfrm>
          <a:off x="2479040" y="955045"/>
          <a:ext cx="12778318" cy="1823719"/>
          <a:chOff x="2836332" y="12708467"/>
          <a:chExt cx="12810068" cy="1818710"/>
        </a:xfrm>
      </xdr:grpSpPr>
      <xdr:sp macro="" textlink="">
        <xdr:nvSpPr>
          <xdr:cNvPr id="19" name="Rectangle 18">
            <a:extLst>
              <a:ext uri="{FF2B5EF4-FFF2-40B4-BE49-F238E27FC236}">
                <a16:creationId xmlns:a16="http://schemas.microsoft.com/office/drawing/2014/main" id="{43B2B398-B38F-48C8-A909-F32E21FB9EBB}"/>
              </a:ext>
            </a:extLst>
          </xdr:cNvPr>
          <xdr:cNvSpPr/>
        </xdr:nvSpPr>
        <xdr:spPr>
          <a:xfrm>
            <a:off x="2836332" y="12903202"/>
            <a:ext cx="12810068" cy="1623975"/>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Ringkasan</a:t>
            </a:r>
            <a:r>
              <a:rPr lang="en-ID" sz="1100" baseline="0">
                <a:solidFill>
                  <a:sysClr val="windowText" lastClr="000000"/>
                </a:solidFill>
                <a:effectLst/>
                <a:latin typeface="+mn-lt"/>
                <a:ea typeface="+mn-ea"/>
                <a:cs typeface="+mn-cs"/>
              </a:rPr>
              <a:t> </a:t>
            </a:r>
            <a:r>
              <a:rPr lang="en-ID" sz="1100">
                <a:solidFill>
                  <a:sysClr val="windowText" lastClr="000000"/>
                </a:solidFill>
                <a:effectLst/>
                <a:latin typeface="+mn-lt"/>
                <a:ea typeface="+mn-ea"/>
                <a:cs typeface="+mn-cs"/>
              </a:rPr>
              <a:t>yang berisi daftar dan kuantitas (volume) dari seluruh item pekerjaan. Merupakan bagian krusial dari RAB</a:t>
            </a:r>
            <a:r>
              <a:rPr lang="en-ID" sz="1100" baseline="0">
                <a:solidFill>
                  <a:sysClr val="windowText" lastClr="000000"/>
                </a:solidFill>
                <a:effectLst/>
                <a:latin typeface="+mn-lt"/>
                <a:ea typeface="+mn-ea"/>
                <a:cs typeface="+mn-cs"/>
              </a:rPr>
              <a:t> </a:t>
            </a:r>
            <a:r>
              <a:rPr lang="en-ID" sz="1100">
                <a:solidFill>
                  <a:sysClr val="windowText" lastClr="000000"/>
                </a:solidFill>
                <a:effectLst/>
                <a:latin typeface="+mn-lt"/>
                <a:ea typeface="+mn-ea"/>
                <a:cs typeface="+mn-cs"/>
              </a:rPr>
              <a:t>yang berfungsi sebagai dasar untuk menghitung total biaya proyek.</a:t>
            </a:r>
          </a:p>
          <a:p>
            <a:pPr marL="0" marR="0" lvl="0" indent="0" algn="l" defTabSz="914400" eaLnBrk="1" fontAlgn="auto" latinLnBrk="0" hangingPunct="1">
              <a:lnSpc>
                <a:spcPct val="100000"/>
              </a:lnSpc>
              <a:spcBef>
                <a:spcPts val="0"/>
              </a:spcBef>
              <a:spcAft>
                <a:spcPts val="0"/>
              </a:spcAft>
              <a:buClrTx/>
              <a:buSzTx/>
              <a:buFontTx/>
              <a:buNone/>
              <a:tabLst/>
              <a:defRPr/>
            </a:pPr>
            <a:endParaRPr lang="en-ID"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1. Jangan merubah apapun</a:t>
            </a:r>
            <a:r>
              <a:rPr lang="en-ID" sz="1100" baseline="0">
                <a:solidFill>
                  <a:sysClr val="windowText" lastClr="000000"/>
                </a:solidFill>
                <a:effectLst/>
                <a:latin typeface="+mn-lt"/>
                <a:ea typeface="+mn-ea"/>
                <a:cs typeface="+mn-cs"/>
              </a:rPr>
              <a:t> isi dalam sheet REKAP VOLUME</a:t>
            </a:r>
            <a:endParaRPr lang="en-ID"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2. Terkoneksi dengan sheet</a:t>
            </a:r>
            <a:r>
              <a:rPr lang="en-ID" sz="1100" baseline="0">
                <a:solidFill>
                  <a:sysClr val="windowText" lastClr="000000"/>
                </a:solidFill>
                <a:effectLst/>
                <a:latin typeface="+mn-lt"/>
                <a:ea typeface="+mn-ea"/>
                <a:cs typeface="+mn-cs"/>
              </a:rPr>
              <a:t> HITUNG VOLUME, HITUNG RAB, REKAP RAB, REKAP VOLUME, REKAP PEKERJA, BOBOT PEKERJAAN &amp; KURVA-S</a:t>
            </a:r>
          </a:p>
          <a:p>
            <a:pPr marL="0" marR="0" lvl="0" indent="0" algn="l" defTabSz="914400" eaLnBrk="1" fontAlgn="auto" latinLnBrk="0" hangingPunct="1">
              <a:lnSpc>
                <a:spcPct val="100000"/>
              </a:lnSpc>
              <a:spcBef>
                <a:spcPts val="0"/>
              </a:spcBef>
              <a:spcAft>
                <a:spcPts val="0"/>
              </a:spcAft>
              <a:buClrTx/>
              <a:buSzTx/>
              <a:buFontTx/>
              <a:buNone/>
              <a:tabLst/>
              <a:defRPr/>
            </a:pPr>
            <a:endParaRPr lang="en-ID">
              <a:solidFill>
                <a:sysClr val="windowText" lastClr="000000"/>
              </a:solidFill>
              <a:effectLst/>
            </a:endParaRPr>
          </a:p>
          <a:p>
            <a:pPr algn="l"/>
            <a:endParaRPr lang="en-ID" sz="1100">
              <a:solidFill>
                <a:sysClr val="windowText" lastClr="000000"/>
              </a:solidFill>
            </a:endParaRPr>
          </a:p>
        </xdr:txBody>
      </xdr:sp>
      <xdr:sp macro="" textlink="">
        <xdr:nvSpPr>
          <xdr:cNvPr id="20" name="Rectangle 19">
            <a:extLst>
              <a:ext uri="{FF2B5EF4-FFF2-40B4-BE49-F238E27FC236}">
                <a16:creationId xmlns:a16="http://schemas.microsoft.com/office/drawing/2014/main" id="{76053063-86B3-4F66-9015-1A867DB1A9F9}"/>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REKAP VOLUME</a:t>
            </a:r>
          </a:p>
        </xdr:txBody>
      </xdr:sp>
    </xdr:grpSp>
    <xdr:clientData/>
  </xdr:twoCellAnchor>
  <xdr:twoCellAnchor>
    <xdr:from>
      <xdr:col>4</xdr:col>
      <xdr:colOff>0</xdr:colOff>
      <xdr:row>17</xdr:row>
      <xdr:rowOff>0</xdr:rowOff>
    </xdr:from>
    <xdr:to>
      <xdr:col>24</xdr:col>
      <xdr:colOff>586318</xdr:colOff>
      <xdr:row>26</xdr:row>
      <xdr:rowOff>177799</xdr:rowOff>
    </xdr:to>
    <xdr:grpSp>
      <xdr:nvGrpSpPr>
        <xdr:cNvPr id="21" name="Group 20">
          <a:extLst>
            <a:ext uri="{FF2B5EF4-FFF2-40B4-BE49-F238E27FC236}">
              <a16:creationId xmlns:a16="http://schemas.microsoft.com/office/drawing/2014/main" id="{F55A6F57-9EED-49C2-A9E9-17C0156E1E2B}"/>
            </a:ext>
          </a:extLst>
        </xdr:cNvPr>
        <xdr:cNvGrpSpPr/>
      </xdr:nvGrpSpPr>
      <xdr:grpSpPr>
        <a:xfrm>
          <a:off x="2479040" y="3149600"/>
          <a:ext cx="12778318" cy="1823719"/>
          <a:chOff x="2836332" y="12708467"/>
          <a:chExt cx="12810068" cy="1818710"/>
        </a:xfrm>
      </xdr:grpSpPr>
      <xdr:sp macro="" textlink="">
        <xdr:nvSpPr>
          <xdr:cNvPr id="22" name="Rectangle 21">
            <a:extLst>
              <a:ext uri="{FF2B5EF4-FFF2-40B4-BE49-F238E27FC236}">
                <a16:creationId xmlns:a16="http://schemas.microsoft.com/office/drawing/2014/main" id="{8414BD16-05A1-472B-B7C6-355FD049EA83}"/>
              </a:ext>
            </a:extLst>
          </xdr:cNvPr>
          <xdr:cNvSpPr/>
        </xdr:nvSpPr>
        <xdr:spPr>
          <a:xfrm>
            <a:off x="2836332" y="12903202"/>
            <a:ext cx="12810068" cy="1623975"/>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b="0">
                <a:solidFill>
                  <a:sysClr val="windowText" lastClr="000000"/>
                </a:solidFill>
                <a:effectLst/>
                <a:latin typeface="+mn-lt"/>
                <a:ea typeface="+mn-ea"/>
                <a:cs typeface="+mn-cs"/>
              </a:rPr>
              <a:t>Ringkasan total biaya dari seluruh pekerjaan yang direncanakan dalam Rencana Anggaran Biaya (RAB). Merangkum biaya per kategori pekerjaan hingga menghasilkan total biaya akhir.</a:t>
            </a:r>
            <a:endParaRPr lang="en-ID">
              <a:solidFill>
                <a:sysClr val="windowText" lastClr="000000"/>
              </a:solidFill>
              <a:effectLst/>
            </a:endParaRPr>
          </a:p>
          <a:p>
            <a:pPr algn="l"/>
            <a:endParaRPr lang="en-ID" sz="1100">
              <a:solidFill>
                <a:sysClr val="windowText" lastClr="000000"/>
              </a:solidFill>
            </a:endParaRPr>
          </a:p>
          <a:p>
            <a:pPr eaLnBrk="1" fontAlgn="auto" latinLnBrk="0" hangingPunct="1"/>
            <a:r>
              <a:rPr lang="en-ID" sz="1100">
                <a:solidFill>
                  <a:sysClr val="windowText" lastClr="000000"/>
                </a:solidFill>
                <a:effectLst/>
                <a:latin typeface="+mn-lt"/>
                <a:ea typeface="+mn-ea"/>
                <a:cs typeface="+mn-cs"/>
              </a:rPr>
              <a:t>1. Jangan merubah apapun</a:t>
            </a:r>
            <a:r>
              <a:rPr lang="en-ID" sz="1100" baseline="0">
                <a:solidFill>
                  <a:sysClr val="windowText" lastClr="000000"/>
                </a:solidFill>
                <a:effectLst/>
                <a:latin typeface="+mn-lt"/>
                <a:ea typeface="+mn-ea"/>
                <a:cs typeface="+mn-cs"/>
              </a:rPr>
              <a:t> isi dalam sheet REKAP RAB</a:t>
            </a:r>
            <a:endParaRPr lang="en-ID">
              <a:solidFill>
                <a:sysClr val="windowText" lastClr="000000"/>
              </a:solidFill>
              <a:effectLst/>
            </a:endParaRPr>
          </a:p>
          <a:p>
            <a:pPr eaLnBrk="1" fontAlgn="auto" latinLnBrk="0" hangingPunct="1"/>
            <a:r>
              <a:rPr lang="en-ID" sz="1100">
                <a:solidFill>
                  <a:sysClr val="windowText" lastClr="000000"/>
                </a:solidFill>
                <a:effectLst/>
                <a:latin typeface="+mn-lt"/>
                <a:ea typeface="+mn-ea"/>
                <a:cs typeface="+mn-cs"/>
              </a:rPr>
              <a:t>2. Terkoneksi dengan sheet</a:t>
            </a:r>
            <a:r>
              <a:rPr lang="en-ID" sz="1100" baseline="0">
                <a:solidFill>
                  <a:sysClr val="windowText" lastClr="000000"/>
                </a:solidFill>
                <a:effectLst/>
                <a:latin typeface="+mn-lt"/>
                <a:ea typeface="+mn-ea"/>
                <a:cs typeface="+mn-cs"/>
              </a:rPr>
              <a:t> AHSP, HSP, HITUNG VOLUME, HITUNG RAB, REKAP VOLUME, REKAP PEKERJA, BOBOT PEKERJAAN &amp; KURVA-S</a:t>
            </a:r>
            <a:endParaRPr lang="en-ID">
              <a:solidFill>
                <a:sysClr val="windowText" lastClr="000000"/>
              </a:solidFill>
              <a:effectLst/>
            </a:endParaRPr>
          </a:p>
          <a:p>
            <a:pPr algn="l"/>
            <a:endParaRPr lang="en-ID" sz="1100">
              <a:solidFill>
                <a:sysClr val="windowText" lastClr="000000"/>
              </a:solidFill>
            </a:endParaRPr>
          </a:p>
        </xdr:txBody>
      </xdr:sp>
      <xdr:sp macro="" textlink="">
        <xdr:nvSpPr>
          <xdr:cNvPr id="23" name="Rectangle 22">
            <a:extLst>
              <a:ext uri="{FF2B5EF4-FFF2-40B4-BE49-F238E27FC236}">
                <a16:creationId xmlns:a16="http://schemas.microsoft.com/office/drawing/2014/main" id="{8086B378-C42F-4FB0-AB39-183A118BA7AD}"/>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REKAP RAB</a:t>
            </a:r>
          </a:p>
        </xdr:txBody>
      </xdr:sp>
    </xdr:grpSp>
    <xdr:clientData/>
  </xdr:twoCellAnchor>
  <xdr:twoCellAnchor>
    <xdr:from>
      <xdr:col>4</xdr:col>
      <xdr:colOff>0</xdr:colOff>
      <xdr:row>28</xdr:row>
      <xdr:rowOff>186265</xdr:rowOff>
    </xdr:from>
    <xdr:to>
      <xdr:col>24</xdr:col>
      <xdr:colOff>586318</xdr:colOff>
      <xdr:row>40</xdr:row>
      <xdr:rowOff>16930</xdr:rowOff>
    </xdr:to>
    <xdr:grpSp>
      <xdr:nvGrpSpPr>
        <xdr:cNvPr id="24" name="Group 23">
          <a:extLst>
            <a:ext uri="{FF2B5EF4-FFF2-40B4-BE49-F238E27FC236}">
              <a16:creationId xmlns:a16="http://schemas.microsoft.com/office/drawing/2014/main" id="{637056F3-F4FA-4CAB-8484-4AD26FF81850}"/>
            </a:ext>
          </a:extLst>
        </xdr:cNvPr>
        <xdr:cNvGrpSpPr/>
      </xdr:nvGrpSpPr>
      <xdr:grpSpPr>
        <a:xfrm>
          <a:off x="2479040" y="5347545"/>
          <a:ext cx="12778318" cy="2025225"/>
          <a:chOff x="2836332" y="12708467"/>
          <a:chExt cx="12810068" cy="2026325"/>
        </a:xfrm>
      </xdr:grpSpPr>
      <xdr:sp macro="" textlink="">
        <xdr:nvSpPr>
          <xdr:cNvPr id="25" name="Rectangle 24">
            <a:extLst>
              <a:ext uri="{FF2B5EF4-FFF2-40B4-BE49-F238E27FC236}">
                <a16:creationId xmlns:a16="http://schemas.microsoft.com/office/drawing/2014/main" id="{6CE613FB-9BF3-48DD-B460-095F83451AE6}"/>
              </a:ext>
            </a:extLst>
          </xdr:cNvPr>
          <xdr:cNvSpPr/>
        </xdr:nvSpPr>
        <xdr:spPr>
          <a:xfrm>
            <a:off x="2836332" y="12903201"/>
            <a:ext cx="12810068" cy="1831591"/>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Dokumen perencanaan yang merinci jumlah, jenis, dan durasi tenaga kerja yang dibutuhkan untuk setiap tahapan proyek. Instrumen penting dalam manajemen proyek untuk memastikan ketersediaan sumber daya manusia.</a:t>
            </a:r>
            <a:endParaRPr lang="en-ID">
              <a:solidFill>
                <a:sysClr val="windowText" lastClr="000000"/>
              </a:solidFill>
              <a:effectLst/>
            </a:endParaRPr>
          </a:p>
          <a:p>
            <a:pPr algn="l"/>
            <a:endParaRPr lang="en-ID" sz="1100">
              <a:solidFill>
                <a:sysClr val="windowText" lastClr="000000"/>
              </a:solidFill>
            </a:endParaRPr>
          </a:p>
          <a:p>
            <a:pPr algn="l"/>
            <a:r>
              <a:rPr lang="en-ID" sz="1100">
                <a:solidFill>
                  <a:srgbClr val="FF0000"/>
                </a:solidFill>
              </a:rPr>
              <a:t>"HANYA GANTI TEKS YANG BERWARNA MERAH"</a:t>
            </a:r>
          </a:p>
          <a:p>
            <a:pPr algn="l"/>
            <a:endParaRPr lang="en-ID" sz="1100">
              <a:solidFill>
                <a:sysClr val="windowText" lastClr="000000"/>
              </a:solidFill>
            </a:endParaRPr>
          </a:p>
          <a:p>
            <a:pPr eaLnBrk="1" fontAlgn="auto" latinLnBrk="0" hangingPunct="1"/>
            <a:r>
              <a:rPr lang="en-ID" sz="1100">
                <a:solidFill>
                  <a:sysClr val="windowText" lastClr="000000"/>
                </a:solidFill>
                <a:effectLst/>
                <a:latin typeface="+mn-lt"/>
                <a:ea typeface="+mn-ea"/>
                <a:cs typeface="+mn-cs"/>
              </a:rPr>
              <a:t>1. Ganti kolom</a:t>
            </a:r>
            <a:r>
              <a:rPr lang="en-ID" sz="1100" baseline="0">
                <a:solidFill>
                  <a:sysClr val="windowText" lastClr="000000"/>
                </a:solidFill>
                <a:effectLst/>
                <a:latin typeface="+mn-lt"/>
                <a:ea typeface="+mn-ea"/>
                <a:cs typeface="+mn-cs"/>
              </a:rPr>
              <a:t> "Rencana Hari Kerja" untuk menyesuaikan kebutuhan tenaga kerja</a:t>
            </a:r>
          </a:p>
          <a:p>
            <a:pPr eaLnBrk="1" fontAlgn="auto" latinLnBrk="0" hangingPunct="1"/>
            <a:r>
              <a:rPr lang="en-ID" sz="1100" baseline="0">
                <a:solidFill>
                  <a:sysClr val="windowText" lastClr="000000"/>
                </a:solidFill>
                <a:effectLst/>
                <a:latin typeface="+mn-lt"/>
                <a:ea typeface="+mn-ea"/>
                <a:cs typeface="+mn-cs"/>
              </a:rPr>
              <a:t>3. Jumlah tenaga kerja yang dibutuhkan otomatis terhitung di kolom "Jumlah Pekerja Yang Dibutuhkan"</a:t>
            </a:r>
            <a:endParaRPr lang="en-ID">
              <a:solidFill>
                <a:sysClr val="windowText" lastClr="000000"/>
              </a:solidFill>
              <a:effectLst/>
            </a:endParaRPr>
          </a:p>
          <a:p>
            <a:pPr eaLnBrk="1" fontAlgn="auto" latinLnBrk="0" hangingPunct="1"/>
            <a:r>
              <a:rPr lang="en-ID" sz="1100">
                <a:solidFill>
                  <a:sysClr val="windowText" lastClr="000000"/>
                </a:solidFill>
                <a:effectLst/>
                <a:latin typeface="+mn-lt"/>
                <a:ea typeface="+mn-ea"/>
                <a:cs typeface="+mn-cs"/>
              </a:rPr>
              <a:t>2. Terkoneksi dengan sheet</a:t>
            </a:r>
            <a:r>
              <a:rPr lang="en-ID" sz="1100" baseline="0">
                <a:solidFill>
                  <a:sysClr val="windowText" lastClr="000000"/>
                </a:solidFill>
                <a:effectLst/>
                <a:latin typeface="+mn-lt"/>
                <a:ea typeface="+mn-ea"/>
                <a:cs typeface="+mn-cs"/>
              </a:rPr>
              <a:t> AHSP, HSP, HITUNG VOLUME, HITUNG RAB &amp; REKAP VOLUME</a:t>
            </a:r>
            <a:endParaRPr lang="en-ID">
              <a:solidFill>
                <a:sysClr val="windowText" lastClr="000000"/>
              </a:solidFill>
              <a:effectLst/>
            </a:endParaRPr>
          </a:p>
          <a:p>
            <a:pPr algn="l"/>
            <a:endParaRPr lang="en-ID" sz="1100">
              <a:solidFill>
                <a:sysClr val="windowText" lastClr="000000"/>
              </a:solidFill>
            </a:endParaRPr>
          </a:p>
        </xdr:txBody>
      </xdr:sp>
      <xdr:sp macro="" textlink="">
        <xdr:nvSpPr>
          <xdr:cNvPr id="26" name="Rectangle 25">
            <a:extLst>
              <a:ext uri="{FF2B5EF4-FFF2-40B4-BE49-F238E27FC236}">
                <a16:creationId xmlns:a16="http://schemas.microsoft.com/office/drawing/2014/main" id="{6FE812A5-831B-4296-BF94-4DF698D2B974}"/>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REKAP PEKERJA</a:t>
            </a:r>
          </a:p>
        </xdr:txBody>
      </xdr:sp>
    </xdr:grpSp>
    <xdr:clientData/>
  </xdr:twoCellAnchor>
  <xdr:twoCellAnchor editAs="absolute">
    <xdr:from>
      <xdr:col>0</xdr:col>
      <xdr:colOff>0</xdr:colOff>
      <xdr:row>0</xdr:row>
      <xdr:rowOff>0</xdr:rowOff>
    </xdr:from>
    <xdr:to>
      <xdr:col>2</xdr:col>
      <xdr:colOff>680756</xdr:colOff>
      <xdr:row>2</xdr:row>
      <xdr:rowOff>162298</xdr:rowOff>
    </xdr:to>
    <xdr:sp macro="" textlink="">
      <xdr:nvSpPr>
        <xdr:cNvPr id="39" name="Rectangle 38">
          <a:extLst>
            <a:ext uri="{FF2B5EF4-FFF2-40B4-BE49-F238E27FC236}">
              <a16:creationId xmlns:a16="http://schemas.microsoft.com/office/drawing/2014/main" id="{CDF8705E-DC62-4282-9C99-530D909965A2}"/>
            </a:ext>
          </a:extLst>
        </xdr:cNvPr>
        <xdr:cNvSpPr/>
      </xdr:nvSpPr>
      <xdr:spPr>
        <a:xfrm>
          <a:off x="0" y="0"/>
          <a:ext cx="2187823" cy="577165"/>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178590</xdr:colOff>
      <xdr:row>6</xdr:row>
      <xdr:rowOff>8467</xdr:rowOff>
    </xdr:from>
    <xdr:to>
      <xdr:col>2</xdr:col>
      <xdr:colOff>562606</xdr:colOff>
      <xdr:row>34</xdr:row>
      <xdr:rowOff>114512</xdr:rowOff>
    </xdr:to>
    <xdr:grpSp>
      <xdr:nvGrpSpPr>
        <xdr:cNvPr id="40" name="Group 39">
          <a:extLst>
            <a:ext uri="{FF2B5EF4-FFF2-40B4-BE49-F238E27FC236}">
              <a16:creationId xmlns:a16="http://schemas.microsoft.com/office/drawing/2014/main" id="{5EA0DC7A-241A-4360-8361-C6480EF9608F}"/>
            </a:ext>
          </a:extLst>
        </xdr:cNvPr>
        <xdr:cNvGrpSpPr/>
      </xdr:nvGrpSpPr>
      <xdr:grpSpPr>
        <a:xfrm>
          <a:off x="178590" y="1146387"/>
          <a:ext cx="1867376" cy="5226685"/>
          <a:chOff x="5894294" y="3810000"/>
          <a:chExt cx="1818369" cy="5227320"/>
        </a:xfrm>
      </xdr:grpSpPr>
      <xdr:sp macro="[0]!TBHOME_Click" textlink="">
        <xdr:nvSpPr>
          <xdr:cNvPr id="41" name="TB.HOME">
            <a:extLst>
              <a:ext uri="{FF2B5EF4-FFF2-40B4-BE49-F238E27FC236}">
                <a16:creationId xmlns:a16="http://schemas.microsoft.com/office/drawing/2014/main" id="{91C3557D-6EE9-468B-8324-86F6F146FBDF}"/>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42" name="TB.DATA">
            <a:extLst>
              <a:ext uri="{FF2B5EF4-FFF2-40B4-BE49-F238E27FC236}">
                <a16:creationId xmlns:a16="http://schemas.microsoft.com/office/drawing/2014/main" id="{288D5C14-ECA4-4377-9C3C-909A4B27109F}"/>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43" name="TB.HITUNGVOLUME">
            <a:extLst>
              <a:ext uri="{FF2B5EF4-FFF2-40B4-BE49-F238E27FC236}">
                <a16:creationId xmlns:a16="http://schemas.microsoft.com/office/drawing/2014/main" id="{45CFF96E-6157-4972-8589-DA938A7C4FB7}"/>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44" name="TB.HITUNGRAB">
            <a:extLst>
              <a:ext uri="{FF2B5EF4-FFF2-40B4-BE49-F238E27FC236}">
                <a16:creationId xmlns:a16="http://schemas.microsoft.com/office/drawing/2014/main" id="{7DA78F41-F688-42F0-9973-7D1BB1564DF2}"/>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45" name="TB.REKAPVOLUME">
            <a:extLst>
              <a:ext uri="{FF2B5EF4-FFF2-40B4-BE49-F238E27FC236}">
                <a16:creationId xmlns:a16="http://schemas.microsoft.com/office/drawing/2014/main" id="{6D9F6582-6253-42BA-AD78-79B7AB18954D}"/>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 VOLUME</a:t>
            </a:r>
          </a:p>
        </xdr:txBody>
      </xdr:sp>
      <xdr:sp macro="[0]!TBREKAPRAB_Click" textlink="">
        <xdr:nvSpPr>
          <xdr:cNvPr id="46" name="TB.REKAPRAB">
            <a:extLst>
              <a:ext uri="{FF2B5EF4-FFF2-40B4-BE49-F238E27FC236}">
                <a16:creationId xmlns:a16="http://schemas.microsoft.com/office/drawing/2014/main" id="{9D11B0C8-CA4F-4193-9275-C8DCEC4ED559}"/>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 RAB</a:t>
            </a:r>
          </a:p>
        </xdr:txBody>
      </xdr:sp>
      <xdr:sp macro="[0]!TBREKAPPEKERJA_Click" textlink="">
        <xdr:nvSpPr>
          <xdr:cNvPr id="47" name="TB.REKAPPEKERJA">
            <a:extLst>
              <a:ext uri="{FF2B5EF4-FFF2-40B4-BE49-F238E27FC236}">
                <a16:creationId xmlns:a16="http://schemas.microsoft.com/office/drawing/2014/main" id="{961EED2A-EA1D-44FE-9836-452E64B8C942}"/>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PEKERJA</a:t>
            </a:r>
          </a:p>
        </xdr:txBody>
      </xdr:sp>
      <xdr:sp macro="[0]!TBPERHTULANGAN_Click" textlink="">
        <xdr:nvSpPr>
          <xdr:cNvPr id="48" name="TBPERHTULANGAN">
            <a:extLst>
              <a:ext uri="{FF2B5EF4-FFF2-40B4-BE49-F238E27FC236}">
                <a16:creationId xmlns:a16="http://schemas.microsoft.com/office/drawing/2014/main" id="{36D6AAE5-54ED-44EB-809E-6B18893AA274}"/>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49" name="TBBOBOTPEKERJAAN">
            <a:extLst>
              <a:ext uri="{FF2B5EF4-FFF2-40B4-BE49-F238E27FC236}">
                <a16:creationId xmlns:a16="http://schemas.microsoft.com/office/drawing/2014/main" id="{60D2AD3E-3843-43E0-AC9A-1CAD595AB505}"/>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50" name="TB.KURVAS">
            <a:extLst>
              <a:ext uri="{FF2B5EF4-FFF2-40B4-BE49-F238E27FC236}">
                <a16:creationId xmlns:a16="http://schemas.microsoft.com/office/drawing/2014/main" id="{DFA347A6-7F24-455A-A96E-13673B4CA98E}"/>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51" name="TB.RABSMKK">
            <a:extLst>
              <a:ext uri="{FF2B5EF4-FFF2-40B4-BE49-F238E27FC236}">
                <a16:creationId xmlns:a16="http://schemas.microsoft.com/office/drawing/2014/main" id="{35887202-3869-42EC-AC0C-F2758EF0F56C}"/>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52" name="TB.REKAPITULASI">
            <a:extLst>
              <a:ext uri="{FF2B5EF4-FFF2-40B4-BE49-F238E27FC236}">
                <a16:creationId xmlns:a16="http://schemas.microsoft.com/office/drawing/2014/main" id="{501A76AC-8087-419C-9FC0-2635F9C07B23}"/>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REKAPITULASI</a:t>
            </a:r>
          </a:p>
        </xdr:txBody>
      </xdr:sp>
      <xdr:sp macro="[0]!TBDOKUMEN_Click" textlink="">
        <xdr:nvSpPr>
          <xdr:cNvPr id="53" name="TB.DOKUMEN">
            <a:extLst>
              <a:ext uri="{FF2B5EF4-FFF2-40B4-BE49-F238E27FC236}">
                <a16:creationId xmlns:a16="http://schemas.microsoft.com/office/drawing/2014/main" id="{72535687-3D21-4C68-8C41-8DC20740CE97}"/>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54" name="TB.PANDUAN">
            <a:extLst>
              <a:ext uri="{FF2B5EF4-FFF2-40B4-BE49-F238E27FC236}">
                <a16:creationId xmlns:a16="http://schemas.microsoft.com/office/drawing/2014/main" id="{242E027C-7104-4260-879F-18BFBF8C62D2}"/>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twoCellAnchor>
    <xdr:from>
      <xdr:col>4</xdr:col>
      <xdr:colOff>0</xdr:colOff>
      <xdr:row>42</xdr:row>
      <xdr:rowOff>0</xdr:rowOff>
    </xdr:from>
    <xdr:to>
      <xdr:col>24</xdr:col>
      <xdr:colOff>586318</xdr:colOff>
      <xdr:row>51</xdr:row>
      <xdr:rowOff>177799</xdr:rowOff>
    </xdr:to>
    <xdr:grpSp>
      <xdr:nvGrpSpPr>
        <xdr:cNvPr id="55" name="Group 54">
          <a:extLst>
            <a:ext uri="{FF2B5EF4-FFF2-40B4-BE49-F238E27FC236}">
              <a16:creationId xmlns:a16="http://schemas.microsoft.com/office/drawing/2014/main" id="{4D9FC21F-9853-4AF7-9DAA-D74DAA8CAF66}"/>
            </a:ext>
          </a:extLst>
        </xdr:cNvPr>
        <xdr:cNvGrpSpPr/>
      </xdr:nvGrpSpPr>
      <xdr:grpSpPr>
        <a:xfrm>
          <a:off x="2479040" y="7721600"/>
          <a:ext cx="12778318" cy="1823719"/>
          <a:chOff x="2836332" y="12708467"/>
          <a:chExt cx="12810068" cy="1818710"/>
        </a:xfrm>
      </xdr:grpSpPr>
      <xdr:sp macro="" textlink="">
        <xdr:nvSpPr>
          <xdr:cNvPr id="56" name="Rectangle 55">
            <a:extLst>
              <a:ext uri="{FF2B5EF4-FFF2-40B4-BE49-F238E27FC236}">
                <a16:creationId xmlns:a16="http://schemas.microsoft.com/office/drawing/2014/main" id="{FAE38A76-1A4B-42AD-8E4D-1DE7B22314C1}"/>
              </a:ext>
            </a:extLst>
          </xdr:cNvPr>
          <xdr:cNvSpPr/>
        </xdr:nvSpPr>
        <xdr:spPr>
          <a:xfrm>
            <a:off x="2836332" y="12903202"/>
            <a:ext cx="12810068" cy="1623975"/>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Proses rekayasa untuk menentukan jumlah, diameter, dan susunan baja tulangan yang dibutuhkan dalam struktur beton agar sesuai standar yang berlaku.</a:t>
            </a:r>
            <a:endParaRPr lang="en-ID">
              <a:solidFill>
                <a:sysClr val="windowText" lastClr="000000"/>
              </a:solidFill>
              <a:effectLst/>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rgbClr val="FF0000"/>
                </a:solidFill>
                <a:effectLst/>
                <a:latin typeface="+mn-lt"/>
                <a:ea typeface="+mn-ea"/>
                <a:cs typeface="+mn-cs"/>
              </a:rPr>
              <a:t>"HANYA GANTI TEKS YANG BERWARNA MERAH"</a:t>
            </a:r>
          </a:p>
          <a:p>
            <a:pPr marL="0" marR="0" lvl="0" indent="0" algn="l" defTabSz="914400" eaLnBrk="1" fontAlgn="auto" latinLnBrk="0" hangingPunct="1">
              <a:lnSpc>
                <a:spcPct val="100000"/>
              </a:lnSpc>
              <a:spcBef>
                <a:spcPts val="0"/>
              </a:spcBef>
              <a:spcAft>
                <a:spcPts val="0"/>
              </a:spcAft>
              <a:buClrTx/>
              <a:buSzTx/>
              <a:buFontTx/>
              <a:buNone/>
              <a:tabLst/>
              <a:defRPr/>
            </a:pPr>
            <a:endParaRPr lang="en-ID" sz="1100">
              <a:solidFill>
                <a:srgbClr val="FF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1.</a:t>
            </a:r>
            <a:r>
              <a:rPr lang="en-ID" sz="1100" baseline="0">
                <a:solidFill>
                  <a:sysClr val="windowText" lastClr="000000"/>
                </a:solidFill>
                <a:effectLst/>
                <a:latin typeface="+mn-lt"/>
                <a:ea typeface="+mn-ea"/>
                <a:cs typeface="+mn-cs"/>
              </a:rPr>
              <a:t> Untuk menentukan berat besi /Kg</a:t>
            </a:r>
          </a:p>
          <a:p>
            <a:pPr marL="0" marR="0" lvl="0" indent="0" algn="l" defTabSz="914400" eaLnBrk="1" fontAlgn="auto" latinLnBrk="0" hangingPunct="1">
              <a:lnSpc>
                <a:spcPct val="100000"/>
              </a:lnSpc>
              <a:spcBef>
                <a:spcPts val="0"/>
              </a:spcBef>
              <a:spcAft>
                <a:spcPts val="0"/>
              </a:spcAft>
              <a:buClrTx/>
              <a:buSzTx/>
              <a:buFontTx/>
              <a:buNone/>
              <a:tabLst/>
              <a:defRPr/>
            </a:pPr>
            <a:r>
              <a:rPr lang="en-ID" sz="1100" baseline="0">
                <a:solidFill>
                  <a:sysClr val="windowText" lastClr="000000"/>
                </a:solidFill>
                <a:effectLst/>
                <a:latin typeface="+mn-lt"/>
                <a:ea typeface="+mn-ea"/>
                <a:cs typeface="+mn-cs"/>
              </a:rPr>
              <a:t>2. Untuk menentukan kebutuhan besi dalam satuan panjang m'</a:t>
            </a:r>
          </a:p>
          <a:p>
            <a:pPr marL="0" marR="0" lvl="0" indent="0" algn="l" defTabSz="914400" eaLnBrk="1" fontAlgn="auto" latinLnBrk="0" hangingPunct="1">
              <a:lnSpc>
                <a:spcPct val="100000"/>
              </a:lnSpc>
              <a:spcBef>
                <a:spcPts val="0"/>
              </a:spcBef>
              <a:spcAft>
                <a:spcPts val="0"/>
              </a:spcAft>
              <a:buClrTx/>
              <a:buSzTx/>
              <a:buFontTx/>
              <a:buNone/>
              <a:tabLst/>
              <a:defRPr/>
            </a:pPr>
            <a:r>
              <a:rPr lang="en-ID" sz="1100" baseline="0">
                <a:solidFill>
                  <a:sysClr val="windowText" lastClr="000000"/>
                </a:solidFill>
                <a:effectLst/>
                <a:latin typeface="+mn-lt"/>
                <a:ea typeface="+mn-ea"/>
                <a:cs typeface="+mn-cs"/>
              </a:rPr>
              <a:t>3. Untuk menentukan kebutuhan begel</a:t>
            </a:r>
            <a:endParaRPr lang="en-ID">
              <a:solidFill>
                <a:sysClr val="windowText" lastClr="000000"/>
              </a:solidFill>
              <a:effectLst/>
            </a:endParaRPr>
          </a:p>
        </xdr:txBody>
      </xdr:sp>
      <xdr:sp macro="" textlink="">
        <xdr:nvSpPr>
          <xdr:cNvPr id="57" name="Rectangle 56">
            <a:extLst>
              <a:ext uri="{FF2B5EF4-FFF2-40B4-BE49-F238E27FC236}">
                <a16:creationId xmlns:a16="http://schemas.microsoft.com/office/drawing/2014/main" id="{8A1427DA-7441-4DD7-A028-6F1524A623C6}"/>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PERHITUNGAN TULANGAN</a:t>
            </a:r>
          </a:p>
        </xdr:txBody>
      </xdr:sp>
    </xdr:grpSp>
    <xdr:clientData/>
  </xdr:twoCellAnchor>
  <xdr:twoCellAnchor>
    <xdr:from>
      <xdr:col>4</xdr:col>
      <xdr:colOff>0</xdr:colOff>
      <xdr:row>54</xdr:row>
      <xdr:rowOff>0</xdr:rowOff>
    </xdr:from>
    <xdr:to>
      <xdr:col>24</xdr:col>
      <xdr:colOff>586318</xdr:colOff>
      <xdr:row>63</xdr:row>
      <xdr:rowOff>177799</xdr:rowOff>
    </xdr:to>
    <xdr:grpSp>
      <xdr:nvGrpSpPr>
        <xdr:cNvPr id="58" name="Group 57">
          <a:extLst>
            <a:ext uri="{FF2B5EF4-FFF2-40B4-BE49-F238E27FC236}">
              <a16:creationId xmlns:a16="http://schemas.microsoft.com/office/drawing/2014/main" id="{362D0FCA-6E36-4418-BF20-739327FA5B6D}"/>
            </a:ext>
          </a:extLst>
        </xdr:cNvPr>
        <xdr:cNvGrpSpPr/>
      </xdr:nvGrpSpPr>
      <xdr:grpSpPr>
        <a:xfrm>
          <a:off x="2479040" y="9916160"/>
          <a:ext cx="12778318" cy="1823719"/>
          <a:chOff x="2836332" y="12708467"/>
          <a:chExt cx="12810068" cy="1818710"/>
        </a:xfrm>
      </xdr:grpSpPr>
      <xdr:sp macro="" textlink="">
        <xdr:nvSpPr>
          <xdr:cNvPr id="59" name="Rectangle 58">
            <a:extLst>
              <a:ext uri="{FF2B5EF4-FFF2-40B4-BE49-F238E27FC236}">
                <a16:creationId xmlns:a16="http://schemas.microsoft.com/office/drawing/2014/main" id="{E2830A1C-98AB-44E5-8930-D4D215A7F793}"/>
              </a:ext>
            </a:extLst>
          </xdr:cNvPr>
          <xdr:cNvSpPr/>
        </xdr:nvSpPr>
        <xdr:spPr>
          <a:xfrm>
            <a:off x="2836332" y="12903202"/>
            <a:ext cx="12810068" cy="1623975"/>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Nilai persentase yang merepresentasikan proporsi suatu jenis pekerjaan terhadap total biaya dan kemajuan keseluruhan proyek. Metrik paling penting dalam manajemen proyek sebagai alat ukur mengendalikan proyek secara efektif.</a:t>
            </a:r>
          </a:p>
          <a:p>
            <a:pPr marL="0" marR="0" lvl="0" indent="0" algn="l" defTabSz="914400" eaLnBrk="1" fontAlgn="auto" latinLnBrk="0" hangingPunct="1">
              <a:lnSpc>
                <a:spcPct val="100000"/>
              </a:lnSpc>
              <a:spcBef>
                <a:spcPts val="0"/>
              </a:spcBef>
              <a:spcAft>
                <a:spcPts val="0"/>
              </a:spcAft>
              <a:buClrTx/>
              <a:buSzTx/>
              <a:buFontTx/>
              <a:buNone/>
              <a:tabLst/>
              <a:defRPr/>
            </a:pPr>
            <a:endParaRPr lang="en-ID" sz="1100">
              <a:solidFill>
                <a:sysClr val="windowText" lastClr="000000"/>
              </a:solidFill>
              <a:effectLst/>
              <a:latin typeface="+mn-lt"/>
              <a:ea typeface="+mn-ea"/>
              <a:cs typeface="+mn-cs"/>
            </a:endParaRPr>
          </a:p>
          <a:p>
            <a:pPr eaLnBrk="1" fontAlgn="auto" latinLnBrk="0" hangingPunct="1"/>
            <a:r>
              <a:rPr lang="en-ID" sz="1100">
                <a:solidFill>
                  <a:sysClr val="windowText" lastClr="000000"/>
                </a:solidFill>
                <a:effectLst/>
                <a:latin typeface="+mn-lt"/>
                <a:ea typeface="+mn-ea"/>
                <a:cs typeface="+mn-cs"/>
              </a:rPr>
              <a:t>1. Jangan merubah apapun</a:t>
            </a:r>
            <a:r>
              <a:rPr lang="en-ID" sz="1100" baseline="0">
                <a:solidFill>
                  <a:sysClr val="windowText" lastClr="000000"/>
                </a:solidFill>
                <a:effectLst/>
                <a:latin typeface="+mn-lt"/>
                <a:ea typeface="+mn-ea"/>
                <a:cs typeface="+mn-cs"/>
              </a:rPr>
              <a:t> isi dalam sheet BOBOT PEKERJAAN</a:t>
            </a:r>
            <a:endParaRPr lang="en-ID">
              <a:solidFill>
                <a:sysClr val="windowText" lastClr="000000"/>
              </a:solidFill>
              <a:effectLst/>
            </a:endParaRPr>
          </a:p>
          <a:p>
            <a:pPr eaLnBrk="1" fontAlgn="auto" latinLnBrk="0" hangingPunct="1"/>
            <a:r>
              <a:rPr lang="en-ID" sz="1100">
                <a:solidFill>
                  <a:sysClr val="windowText" lastClr="000000"/>
                </a:solidFill>
                <a:effectLst/>
                <a:latin typeface="+mn-lt"/>
                <a:ea typeface="+mn-ea"/>
                <a:cs typeface="+mn-cs"/>
              </a:rPr>
              <a:t>2. Terkoneksi dengan sheet</a:t>
            </a:r>
            <a:r>
              <a:rPr lang="en-ID" sz="1100" baseline="0">
                <a:solidFill>
                  <a:sysClr val="windowText" lastClr="000000"/>
                </a:solidFill>
                <a:effectLst/>
                <a:latin typeface="+mn-lt"/>
                <a:ea typeface="+mn-ea"/>
                <a:cs typeface="+mn-cs"/>
              </a:rPr>
              <a:t> AHSP, HSP, HITUNG RAB,  HITUNG VOLUME, REKAP VOLUME &amp; KURVA-S</a:t>
            </a:r>
            <a:endParaRPr lang="en-ID">
              <a:solidFill>
                <a:sysClr val="windowText" lastClr="000000"/>
              </a:solidFill>
              <a:effectLst/>
            </a:endParaRPr>
          </a:p>
        </xdr:txBody>
      </xdr:sp>
      <xdr:sp macro="" textlink="">
        <xdr:nvSpPr>
          <xdr:cNvPr id="60" name="Rectangle 59">
            <a:extLst>
              <a:ext uri="{FF2B5EF4-FFF2-40B4-BE49-F238E27FC236}">
                <a16:creationId xmlns:a16="http://schemas.microsoft.com/office/drawing/2014/main" id="{3DA59E21-547C-415A-A5C5-7840A33F5E6C}"/>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BOBOT PEKERJAAN</a:t>
            </a:r>
          </a:p>
        </xdr:txBody>
      </xdr:sp>
    </xdr:grpSp>
    <xdr:clientData/>
  </xdr:twoCellAnchor>
  <xdr:twoCellAnchor>
    <xdr:from>
      <xdr:col>4</xdr:col>
      <xdr:colOff>0</xdr:colOff>
      <xdr:row>66</xdr:row>
      <xdr:rowOff>0</xdr:rowOff>
    </xdr:from>
    <xdr:to>
      <xdr:col>24</xdr:col>
      <xdr:colOff>586318</xdr:colOff>
      <xdr:row>75</xdr:row>
      <xdr:rowOff>177799</xdr:rowOff>
    </xdr:to>
    <xdr:grpSp>
      <xdr:nvGrpSpPr>
        <xdr:cNvPr id="76" name="Group 75">
          <a:extLst>
            <a:ext uri="{FF2B5EF4-FFF2-40B4-BE49-F238E27FC236}">
              <a16:creationId xmlns:a16="http://schemas.microsoft.com/office/drawing/2014/main" id="{9F1C882B-DE9C-4A00-9D3B-23E16C7C55FF}"/>
            </a:ext>
          </a:extLst>
        </xdr:cNvPr>
        <xdr:cNvGrpSpPr/>
      </xdr:nvGrpSpPr>
      <xdr:grpSpPr>
        <a:xfrm>
          <a:off x="2479040" y="12110720"/>
          <a:ext cx="12778318" cy="1823719"/>
          <a:chOff x="2836332" y="12708467"/>
          <a:chExt cx="12810068" cy="1818710"/>
        </a:xfrm>
      </xdr:grpSpPr>
      <xdr:sp macro="" textlink="">
        <xdr:nvSpPr>
          <xdr:cNvPr id="77" name="Rectangle 76">
            <a:extLst>
              <a:ext uri="{FF2B5EF4-FFF2-40B4-BE49-F238E27FC236}">
                <a16:creationId xmlns:a16="http://schemas.microsoft.com/office/drawing/2014/main" id="{A35E22B2-DEDB-4D54-88F1-D4141FEE5FD0}"/>
              </a:ext>
            </a:extLst>
          </xdr:cNvPr>
          <xdr:cNvSpPr/>
        </xdr:nvSpPr>
        <xdr:spPr>
          <a:xfrm>
            <a:off x="2836332" y="12903202"/>
            <a:ext cx="12810068" cy="1623975"/>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Metode yang digunakan dalam manajemen proyek untuk memvisualisasikan perbandingan antara rencana kemajuan proyek (progres yang dianggarkan) dengan realisasi di lapangan (progres aktual) terhadap waktu.</a:t>
            </a:r>
          </a:p>
          <a:p>
            <a:pPr marL="0" marR="0" lvl="0" indent="0" algn="l" defTabSz="914400" eaLnBrk="1" fontAlgn="auto" latinLnBrk="0" hangingPunct="1">
              <a:lnSpc>
                <a:spcPct val="100000"/>
              </a:lnSpc>
              <a:spcBef>
                <a:spcPts val="0"/>
              </a:spcBef>
              <a:spcAft>
                <a:spcPts val="0"/>
              </a:spcAft>
              <a:buClrTx/>
              <a:buSzTx/>
              <a:buFontTx/>
              <a:buNone/>
              <a:tabLst/>
              <a:defRPr/>
            </a:pPr>
            <a:endParaRPr lang="en-ID"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rgbClr val="FF0000"/>
                </a:solidFill>
                <a:effectLst/>
                <a:latin typeface="+mn-lt"/>
                <a:ea typeface="+mn-ea"/>
                <a:cs typeface="+mn-cs"/>
              </a:rPr>
              <a:t>"HANYA GANTI TEKS YANG BERWARNA MERAH"</a:t>
            </a:r>
          </a:p>
          <a:p>
            <a:pPr marL="0" marR="0" lvl="0" indent="0" algn="l" defTabSz="914400" eaLnBrk="1" fontAlgn="auto" latinLnBrk="0" hangingPunct="1">
              <a:lnSpc>
                <a:spcPct val="100000"/>
              </a:lnSpc>
              <a:spcBef>
                <a:spcPts val="0"/>
              </a:spcBef>
              <a:spcAft>
                <a:spcPts val="0"/>
              </a:spcAft>
              <a:buClrTx/>
              <a:buSzTx/>
              <a:buFontTx/>
              <a:buNone/>
              <a:tabLst/>
              <a:defRPr/>
            </a:pPr>
            <a:endParaRPr lang="en-ID">
              <a:solidFill>
                <a:sysClr val="windowText" lastClr="000000"/>
              </a:solidFill>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baseline="0">
                <a:solidFill>
                  <a:sysClr val="windowText" lastClr="000000"/>
                </a:solidFill>
                <a:effectLst/>
              </a:rPr>
              <a:t>Isi kolom jadwal pekerjaan sesuai dengan Bobot pekerjaan</a:t>
            </a:r>
            <a:endParaRPr lang="en-ID">
              <a:solidFill>
                <a:sysClr val="windowText" lastClr="000000"/>
              </a:solidFill>
              <a:effectLst/>
            </a:endParaRPr>
          </a:p>
          <a:p>
            <a:pPr algn="l"/>
            <a:endParaRPr lang="en-ID" sz="1100">
              <a:solidFill>
                <a:sysClr val="windowText" lastClr="000000"/>
              </a:solidFill>
            </a:endParaRPr>
          </a:p>
        </xdr:txBody>
      </xdr:sp>
      <xdr:sp macro="" textlink="">
        <xdr:nvSpPr>
          <xdr:cNvPr id="78" name="Rectangle 77">
            <a:extLst>
              <a:ext uri="{FF2B5EF4-FFF2-40B4-BE49-F238E27FC236}">
                <a16:creationId xmlns:a16="http://schemas.microsoft.com/office/drawing/2014/main" id="{FFA95222-DAD5-4FBD-AD20-FA7456740CF7}"/>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KURVA - S</a:t>
            </a:r>
          </a:p>
        </xdr:txBody>
      </xdr:sp>
    </xdr:grpSp>
    <xdr:clientData/>
  </xdr:twoCellAnchor>
  <xdr:twoCellAnchor>
    <xdr:from>
      <xdr:col>4</xdr:col>
      <xdr:colOff>0</xdr:colOff>
      <xdr:row>78</xdr:row>
      <xdr:rowOff>0</xdr:rowOff>
    </xdr:from>
    <xdr:to>
      <xdr:col>24</xdr:col>
      <xdr:colOff>586318</xdr:colOff>
      <xdr:row>87</xdr:row>
      <xdr:rowOff>177799</xdr:rowOff>
    </xdr:to>
    <xdr:grpSp>
      <xdr:nvGrpSpPr>
        <xdr:cNvPr id="79" name="Group 78">
          <a:extLst>
            <a:ext uri="{FF2B5EF4-FFF2-40B4-BE49-F238E27FC236}">
              <a16:creationId xmlns:a16="http://schemas.microsoft.com/office/drawing/2014/main" id="{F2B5260A-9689-427A-A7F4-A7763B6D80CF}"/>
            </a:ext>
          </a:extLst>
        </xdr:cNvPr>
        <xdr:cNvGrpSpPr/>
      </xdr:nvGrpSpPr>
      <xdr:grpSpPr>
        <a:xfrm>
          <a:off x="2479040" y="14305280"/>
          <a:ext cx="12778318" cy="1823719"/>
          <a:chOff x="2836332" y="12708467"/>
          <a:chExt cx="12810068" cy="1818710"/>
        </a:xfrm>
      </xdr:grpSpPr>
      <xdr:sp macro="" textlink="">
        <xdr:nvSpPr>
          <xdr:cNvPr id="80" name="Rectangle 79">
            <a:extLst>
              <a:ext uri="{FF2B5EF4-FFF2-40B4-BE49-F238E27FC236}">
                <a16:creationId xmlns:a16="http://schemas.microsoft.com/office/drawing/2014/main" id="{AFAD976D-09BF-458E-96EC-6A354D8BC264}"/>
              </a:ext>
            </a:extLst>
          </xdr:cNvPr>
          <xdr:cNvSpPr/>
        </xdr:nvSpPr>
        <xdr:spPr>
          <a:xfrm>
            <a:off x="2836332" y="12903202"/>
            <a:ext cx="12810068" cy="1623975"/>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ID" sz="1100">
                <a:solidFill>
                  <a:sysClr val="windowText" lastClr="000000"/>
                </a:solidFill>
                <a:effectLst/>
                <a:latin typeface="+mn-lt"/>
                <a:ea typeface="+mn-ea"/>
                <a:cs typeface="+mn-cs"/>
              </a:rPr>
              <a:t>Rencana Anggaran Biaya yang merinci seluruh biaya yang diperlukan untuk penerapan Sistem Manajemen Keselamatan Konstruksi, meliputi aspek keselamatan, kesehatan kerja, dan perlindungan lingkungan di proyek.</a:t>
            </a:r>
            <a:endParaRPr lang="en-ID">
              <a:solidFill>
                <a:sysClr val="windowText" lastClr="000000"/>
              </a:solidFill>
              <a:effectLst/>
            </a:endParaRPr>
          </a:p>
          <a:p>
            <a:pPr algn="l"/>
            <a:endParaRPr lang="en-ID" sz="1100">
              <a:solidFill>
                <a:sysClr val="windowText" lastClr="000000"/>
              </a:solidFill>
            </a:endParaRPr>
          </a:p>
          <a:p>
            <a:pPr algn="l"/>
            <a:r>
              <a:rPr lang="en-ID" sz="1100">
                <a:solidFill>
                  <a:sysClr val="windowText" lastClr="000000"/>
                </a:solidFill>
              </a:rPr>
              <a:t>Untuk RAB SMKK anda harus</a:t>
            </a:r>
            <a:r>
              <a:rPr lang="en-ID" sz="1100" baseline="0">
                <a:solidFill>
                  <a:sysClr val="windowText" lastClr="000000"/>
                </a:solidFill>
              </a:rPr>
              <a:t> isi secara manual, karena tidak terkoneksi dengan sheet apapun.</a:t>
            </a:r>
            <a:endParaRPr lang="en-ID" sz="1100">
              <a:solidFill>
                <a:sysClr val="windowText" lastClr="000000"/>
              </a:solidFill>
            </a:endParaRPr>
          </a:p>
        </xdr:txBody>
      </xdr:sp>
      <xdr:sp macro="" textlink="">
        <xdr:nvSpPr>
          <xdr:cNvPr id="81" name="Rectangle 80">
            <a:extLst>
              <a:ext uri="{FF2B5EF4-FFF2-40B4-BE49-F238E27FC236}">
                <a16:creationId xmlns:a16="http://schemas.microsoft.com/office/drawing/2014/main" id="{08BB5CE9-BE19-4D94-9C6F-1D3108641CD8}"/>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RAB SMKK</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187698</xdr:rowOff>
    </xdr:to>
    <xdr:sp macro="" textlink="">
      <xdr:nvSpPr>
        <xdr:cNvPr id="19" name="Rectangle 18">
          <a:extLst>
            <a:ext uri="{FF2B5EF4-FFF2-40B4-BE49-F238E27FC236}">
              <a16:creationId xmlns:a16="http://schemas.microsoft.com/office/drawing/2014/main" id="{F309C89F-F8BB-48E8-BD75-A3395CAD7EB7}"/>
            </a:ext>
          </a:extLst>
        </xdr:cNvPr>
        <xdr:cNvSpPr/>
      </xdr:nvSpPr>
      <xdr:spPr>
        <a:xfrm>
          <a:off x="0" y="0"/>
          <a:ext cx="2187823" cy="577165"/>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178590</xdr:colOff>
      <xdr:row>6</xdr:row>
      <xdr:rowOff>0</xdr:rowOff>
    </xdr:from>
    <xdr:to>
      <xdr:col>2</xdr:col>
      <xdr:colOff>562606</xdr:colOff>
      <xdr:row>33</xdr:row>
      <xdr:rowOff>63712</xdr:rowOff>
    </xdr:to>
    <xdr:grpSp>
      <xdr:nvGrpSpPr>
        <xdr:cNvPr id="20" name="Group 19">
          <a:extLst>
            <a:ext uri="{FF2B5EF4-FFF2-40B4-BE49-F238E27FC236}">
              <a16:creationId xmlns:a16="http://schemas.microsoft.com/office/drawing/2014/main" id="{85096849-F4C5-4994-A082-17E6C5543A50}"/>
            </a:ext>
          </a:extLst>
        </xdr:cNvPr>
        <xdr:cNvGrpSpPr/>
      </xdr:nvGrpSpPr>
      <xdr:grpSpPr>
        <a:xfrm>
          <a:off x="178590" y="1158240"/>
          <a:ext cx="1867376" cy="5275792"/>
          <a:chOff x="5894294" y="3810000"/>
          <a:chExt cx="1818369" cy="5227320"/>
        </a:xfrm>
      </xdr:grpSpPr>
      <xdr:sp macro="[0]!TBHOME_Click" textlink="">
        <xdr:nvSpPr>
          <xdr:cNvPr id="21" name="TB.HOME">
            <a:extLst>
              <a:ext uri="{FF2B5EF4-FFF2-40B4-BE49-F238E27FC236}">
                <a16:creationId xmlns:a16="http://schemas.microsoft.com/office/drawing/2014/main" id="{7E2AAEB4-980E-4A45-A3FF-33A50E8C1989}"/>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22" name="TB.DATA">
            <a:extLst>
              <a:ext uri="{FF2B5EF4-FFF2-40B4-BE49-F238E27FC236}">
                <a16:creationId xmlns:a16="http://schemas.microsoft.com/office/drawing/2014/main" id="{1A012583-0304-4598-AD5D-24910EED7226}"/>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23" name="TB.HITUNGVOLUME">
            <a:extLst>
              <a:ext uri="{FF2B5EF4-FFF2-40B4-BE49-F238E27FC236}">
                <a16:creationId xmlns:a16="http://schemas.microsoft.com/office/drawing/2014/main" id="{7BE4D062-3DCB-4C1A-B160-A88D68C309FC}"/>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24" name="TB.HITUNGRAB">
            <a:extLst>
              <a:ext uri="{FF2B5EF4-FFF2-40B4-BE49-F238E27FC236}">
                <a16:creationId xmlns:a16="http://schemas.microsoft.com/office/drawing/2014/main" id="{1E79793E-1936-4C44-A14C-A5B96AE3CC7B}"/>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25" name="TB.REKAPVOLUME">
            <a:extLst>
              <a:ext uri="{FF2B5EF4-FFF2-40B4-BE49-F238E27FC236}">
                <a16:creationId xmlns:a16="http://schemas.microsoft.com/office/drawing/2014/main" id="{D765510F-1146-4AB1-AF2B-57A2F18AED21}"/>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REKAP VOLUME</a:t>
            </a:r>
          </a:p>
        </xdr:txBody>
      </xdr:sp>
      <xdr:sp macro="[0]!TBREKAPRAB_Click" textlink="">
        <xdr:nvSpPr>
          <xdr:cNvPr id="26" name="TB.REKAPRAB">
            <a:extLst>
              <a:ext uri="{FF2B5EF4-FFF2-40B4-BE49-F238E27FC236}">
                <a16:creationId xmlns:a16="http://schemas.microsoft.com/office/drawing/2014/main" id="{0D366497-844E-499D-993D-A28232A0B110}"/>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 RAB</a:t>
            </a:r>
          </a:p>
        </xdr:txBody>
      </xdr:sp>
      <xdr:sp macro="[0]!TBREKAPPEKERJA_Click" textlink="">
        <xdr:nvSpPr>
          <xdr:cNvPr id="27" name="TB.REKAPPEKERJA">
            <a:extLst>
              <a:ext uri="{FF2B5EF4-FFF2-40B4-BE49-F238E27FC236}">
                <a16:creationId xmlns:a16="http://schemas.microsoft.com/office/drawing/2014/main" id="{A2545538-531C-452E-8E9F-408EB9BA3BD2}"/>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PEKERJA</a:t>
            </a:r>
          </a:p>
        </xdr:txBody>
      </xdr:sp>
      <xdr:sp macro="[0]!TBPERHTULANGAN_Click" textlink="">
        <xdr:nvSpPr>
          <xdr:cNvPr id="28" name="TBPERHTULANGAN">
            <a:extLst>
              <a:ext uri="{FF2B5EF4-FFF2-40B4-BE49-F238E27FC236}">
                <a16:creationId xmlns:a16="http://schemas.microsoft.com/office/drawing/2014/main" id="{FC8B2EB6-52A9-4C00-8930-189710BD9BDD}"/>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29" name="TBBOBOTPEKERJAAN">
            <a:extLst>
              <a:ext uri="{FF2B5EF4-FFF2-40B4-BE49-F238E27FC236}">
                <a16:creationId xmlns:a16="http://schemas.microsoft.com/office/drawing/2014/main" id="{FBE7409C-FABA-47F3-8276-A1B6D8C99A1D}"/>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30" name="TB.KURVAS">
            <a:extLst>
              <a:ext uri="{FF2B5EF4-FFF2-40B4-BE49-F238E27FC236}">
                <a16:creationId xmlns:a16="http://schemas.microsoft.com/office/drawing/2014/main" id="{8ACF6E7F-B8C6-4761-A996-F3D342F0A4E1}"/>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31" name="TB.RABSMKK">
            <a:extLst>
              <a:ext uri="{FF2B5EF4-FFF2-40B4-BE49-F238E27FC236}">
                <a16:creationId xmlns:a16="http://schemas.microsoft.com/office/drawing/2014/main" id="{CF8372A4-AFE5-495F-9A3F-14F04C3E0864}"/>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32" name="TB.REKAPITULASI">
            <a:extLst>
              <a:ext uri="{FF2B5EF4-FFF2-40B4-BE49-F238E27FC236}">
                <a16:creationId xmlns:a16="http://schemas.microsoft.com/office/drawing/2014/main" id="{E8380DA6-A3AF-442A-B70D-79E403E04AA6}"/>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33" name="TB.DOKUMEN">
            <a:extLst>
              <a:ext uri="{FF2B5EF4-FFF2-40B4-BE49-F238E27FC236}">
                <a16:creationId xmlns:a16="http://schemas.microsoft.com/office/drawing/2014/main" id="{B89C53D8-C0F3-4F96-9587-345A8564F85C}"/>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49" name="TB.PANDUAN">
            <a:extLst>
              <a:ext uri="{FF2B5EF4-FFF2-40B4-BE49-F238E27FC236}">
                <a16:creationId xmlns:a16="http://schemas.microsoft.com/office/drawing/2014/main" id="{A3F39DD4-583B-47AE-97E4-33D5B2BF6313}"/>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187698</xdr:rowOff>
    </xdr:to>
    <xdr:sp macro="" textlink="">
      <xdr:nvSpPr>
        <xdr:cNvPr id="5" name="Rectangle 4">
          <a:extLst>
            <a:ext uri="{FF2B5EF4-FFF2-40B4-BE49-F238E27FC236}">
              <a16:creationId xmlns:a16="http://schemas.microsoft.com/office/drawing/2014/main" id="{2ED3F52D-F498-42CB-8A44-F2BB7F485F4B}"/>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178590</xdr:colOff>
      <xdr:row>6</xdr:row>
      <xdr:rowOff>0</xdr:rowOff>
    </xdr:from>
    <xdr:to>
      <xdr:col>2</xdr:col>
      <xdr:colOff>562606</xdr:colOff>
      <xdr:row>29</xdr:row>
      <xdr:rowOff>131445</xdr:rowOff>
    </xdr:to>
    <xdr:grpSp>
      <xdr:nvGrpSpPr>
        <xdr:cNvPr id="7" name="Group 6">
          <a:extLst>
            <a:ext uri="{FF2B5EF4-FFF2-40B4-BE49-F238E27FC236}">
              <a16:creationId xmlns:a16="http://schemas.microsoft.com/office/drawing/2014/main" id="{8B043BDF-6C5C-46F2-9D62-CF6F4C249CF4}"/>
            </a:ext>
          </a:extLst>
        </xdr:cNvPr>
        <xdr:cNvGrpSpPr/>
      </xdr:nvGrpSpPr>
      <xdr:grpSpPr>
        <a:xfrm>
          <a:off x="178590" y="1158240"/>
          <a:ext cx="1867376" cy="5302885"/>
          <a:chOff x="5894294" y="3810000"/>
          <a:chExt cx="1818369" cy="5227320"/>
        </a:xfrm>
      </xdr:grpSpPr>
      <xdr:sp macro="[0]!TBHOME_Click" textlink="">
        <xdr:nvSpPr>
          <xdr:cNvPr id="8" name="TB.HOME">
            <a:extLst>
              <a:ext uri="{FF2B5EF4-FFF2-40B4-BE49-F238E27FC236}">
                <a16:creationId xmlns:a16="http://schemas.microsoft.com/office/drawing/2014/main" id="{C1537A08-3B5A-49AA-AEA8-2D1DE1A6DE54}"/>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9" name="TB.DATA">
            <a:extLst>
              <a:ext uri="{FF2B5EF4-FFF2-40B4-BE49-F238E27FC236}">
                <a16:creationId xmlns:a16="http://schemas.microsoft.com/office/drawing/2014/main" id="{13813D41-B2F9-4393-AA20-52B4B93244BC}"/>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10" name="TB.HITUNGVOLUME">
            <a:extLst>
              <a:ext uri="{FF2B5EF4-FFF2-40B4-BE49-F238E27FC236}">
                <a16:creationId xmlns:a16="http://schemas.microsoft.com/office/drawing/2014/main" id="{549D5C79-6383-4A37-BAD3-2B72B714A1FB}"/>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11" name="TB.HITUNGRAB">
            <a:extLst>
              <a:ext uri="{FF2B5EF4-FFF2-40B4-BE49-F238E27FC236}">
                <a16:creationId xmlns:a16="http://schemas.microsoft.com/office/drawing/2014/main" id="{0CD54681-8AB4-4D1B-8037-3BF0675E69A2}"/>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12" name="TB.REKAPVOLUME">
            <a:extLst>
              <a:ext uri="{FF2B5EF4-FFF2-40B4-BE49-F238E27FC236}">
                <a16:creationId xmlns:a16="http://schemas.microsoft.com/office/drawing/2014/main" id="{B3A2D185-34E5-4F3C-A7AB-A6267E624118}"/>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 VOLUME</a:t>
            </a:r>
          </a:p>
        </xdr:txBody>
      </xdr:sp>
      <xdr:sp macro="[0]!TBREKAPRAB_Click" textlink="">
        <xdr:nvSpPr>
          <xdr:cNvPr id="13" name="TB.REKAPRAB">
            <a:extLst>
              <a:ext uri="{FF2B5EF4-FFF2-40B4-BE49-F238E27FC236}">
                <a16:creationId xmlns:a16="http://schemas.microsoft.com/office/drawing/2014/main" id="{EF9A6B76-537F-4911-895C-B32966CF1FE2}"/>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REKAP RAB</a:t>
            </a:r>
          </a:p>
        </xdr:txBody>
      </xdr:sp>
      <xdr:sp macro="[0]!TBREKAPPEKERJA_Click" textlink="">
        <xdr:nvSpPr>
          <xdr:cNvPr id="14" name="TB.REKAPPEKERJA">
            <a:extLst>
              <a:ext uri="{FF2B5EF4-FFF2-40B4-BE49-F238E27FC236}">
                <a16:creationId xmlns:a16="http://schemas.microsoft.com/office/drawing/2014/main" id="{F03B697F-5F1D-4B08-AAD8-F21429CBC3C5}"/>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PEKERJA</a:t>
            </a:r>
          </a:p>
        </xdr:txBody>
      </xdr:sp>
      <xdr:sp macro="[0]!TBPERHTULANGAN_Click" textlink="">
        <xdr:nvSpPr>
          <xdr:cNvPr id="15" name="TBPERHTULANGAN">
            <a:extLst>
              <a:ext uri="{FF2B5EF4-FFF2-40B4-BE49-F238E27FC236}">
                <a16:creationId xmlns:a16="http://schemas.microsoft.com/office/drawing/2014/main" id="{F5D0F69E-8344-471D-9DC7-8502B860513B}"/>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16" name="TBBOBOTPEKERJAAN">
            <a:extLst>
              <a:ext uri="{FF2B5EF4-FFF2-40B4-BE49-F238E27FC236}">
                <a16:creationId xmlns:a16="http://schemas.microsoft.com/office/drawing/2014/main" id="{46DAC2E0-615D-4DA4-AF72-2E9E2B747F61}"/>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17" name="TB.KURVAS">
            <a:extLst>
              <a:ext uri="{FF2B5EF4-FFF2-40B4-BE49-F238E27FC236}">
                <a16:creationId xmlns:a16="http://schemas.microsoft.com/office/drawing/2014/main" id="{AF168F28-DAA7-40B1-A900-CEC08A2A8F54}"/>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18" name="TB.RABSMKK">
            <a:extLst>
              <a:ext uri="{FF2B5EF4-FFF2-40B4-BE49-F238E27FC236}">
                <a16:creationId xmlns:a16="http://schemas.microsoft.com/office/drawing/2014/main" id="{58893FBB-DD50-4CC3-BD45-6CD2DFE17393}"/>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19" name="TB.REKAPITULASI">
            <a:extLst>
              <a:ext uri="{FF2B5EF4-FFF2-40B4-BE49-F238E27FC236}">
                <a16:creationId xmlns:a16="http://schemas.microsoft.com/office/drawing/2014/main" id="{1773B039-43D8-47B2-8425-3B6CE65FBA7C}"/>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20" name="TB.DOKUMEN">
            <a:extLst>
              <a:ext uri="{FF2B5EF4-FFF2-40B4-BE49-F238E27FC236}">
                <a16:creationId xmlns:a16="http://schemas.microsoft.com/office/drawing/2014/main" id="{7FF265D4-8EA4-4AE5-8AE2-F6FE2826E915}"/>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1" name="TB.PANDUAN">
            <a:extLst>
              <a:ext uri="{FF2B5EF4-FFF2-40B4-BE49-F238E27FC236}">
                <a16:creationId xmlns:a16="http://schemas.microsoft.com/office/drawing/2014/main" id="{0776BA0D-A394-4E67-A171-92D95C8002C3}"/>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675153</xdr:colOff>
      <xdr:row>2</xdr:row>
      <xdr:rowOff>187698</xdr:rowOff>
    </xdr:to>
    <xdr:sp macro="" textlink="">
      <xdr:nvSpPr>
        <xdr:cNvPr id="2" name="Rectangle 1">
          <a:extLst>
            <a:ext uri="{FF2B5EF4-FFF2-40B4-BE49-F238E27FC236}">
              <a16:creationId xmlns:a16="http://schemas.microsoft.com/office/drawing/2014/main" id="{96EF838D-13CB-4199-8A1E-9ED07D21E470}"/>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546503</xdr:colOff>
      <xdr:row>33</xdr:row>
      <xdr:rowOff>83820</xdr:rowOff>
    </xdr:to>
    <xdr:grpSp>
      <xdr:nvGrpSpPr>
        <xdr:cNvPr id="3" name="Group 2">
          <a:extLst>
            <a:ext uri="{FF2B5EF4-FFF2-40B4-BE49-F238E27FC236}">
              <a16:creationId xmlns:a16="http://schemas.microsoft.com/office/drawing/2014/main" id="{62A2927E-77B0-47B9-A274-A9178241AABF}"/>
            </a:ext>
          </a:extLst>
        </xdr:cNvPr>
        <xdr:cNvGrpSpPr/>
      </xdr:nvGrpSpPr>
      <xdr:grpSpPr>
        <a:xfrm>
          <a:off x="168090" y="1158240"/>
          <a:ext cx="1861773" cy="5295900"/>
          <a:chOff x="5894294" y="3810000"/>
          <a:chExt cx="1818369" cy="5227320"/>
        </a:xfrm>
      </xdr:grpSpPr>
      <xdr:sp macro="[0]!TBHOME_Click" textlink="">
        <xdr:nvSpPr>
          <xdr:cNvPr id="4" name="TB.HOME">
            <a:extLst>
              <a:ext uri="{FF2B5EF4-FFF2-40B4-BE49-F238E27FC236}">
                <a16:creationId xmlns:a16="http://schemas.microsoft.com/office/drawing/2014/main" id="{3C88B596-A25F-4CD9-B8CD-BEA1107B178E}"/>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5" name="TB.DATA">
            <a:extLst>
              <a:ext uri="{FF2B5EF4-FFF2-40B4-BE49-F238E27FC236}">
                <a16:creationId xmlns:a16="http://schemas.microsoft.com/office/drawing/2014/main" id="{1765DD90-9EB0-49EE-9C44-A45E53994F64}"/>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6" name="TB.HITUNGVOLUME">
            <a:extLst>
              <a:ext uri="{FF2B5EF4-FFF2-40B4-BE49-F238E27FC236}">
                <a16:creationId xmlns:a16="http://schemas.microsoft.com/office/drawing/2014/main" id="{4218A9BE-43CA-40EA-9BB3-C8870E9B78D0}"/>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7" name="TB.HITUNGRAB">
            <a:extLst>
              <a:ext uri="{FF2B5EF4-FFF2-40B4-BE49-F238E27FC236}">
                <a16:creationId xmlns:a16="http://schemas.microsoft.com/office/drawing/2014/main" id="{38A5392F-5E49-4DED-A904-6B3CFA7815C0}"/>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8" name="TB.REKAPVOLUME">
            <a:extLst>
              <a:ext uri="{FF2B5EF4-FFF2-40B4-BE49-F238E27FC236}">
                <a16:creationId xmlns:a16="http://schemas.microsoft.com/office/drawing/2014/main" id="{83A34276-4DA1-4513-BC20-2EDB4B2A9F43}"/>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VOLUME</a:t>
            </a:r>
          </a:p>
        </xdr:txBody>
      </xdr:sp>
      <xdr:sp macro="[0]!TBREKAPRAB_Click" textlink="">
        <xdr:nvSpPr>
          <xdr:cNvPr id="9" name="TB.REKAPRAB">
            <a:extLst>
              <a:ext uri="{FF2B5EF4-FFF2-40B4-BE49-F238E27FC236}">
                <a16:creationId xmlns:a16="http://schemas.microsoft.com/office/drawing/2014/main" id="{035DA84F-5882-42A4-9D98-86BB328C2A80}"/>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RAB</a:t>
            </a:r>
          </a:p>
        </xdr:txBody>
      </xdr:sp>
      <xdr:sp macro="[0]!TBREKAPPEKERJA_Click" textlink="">
        <xdr:nvSpPr>
          <xdr:cNvPr id="10" name="TB.REKAPPEKERJA">
            <a:extLst>
              <a:ext uri="{FF2B5EF4-FFF2-40B4-BE49-F238E27FC236}">
                <a16:creationId xmlns:a16="http://schemas.microsoft.com/office/drawing/2014/main" id="{FAC3D4F3-FEF0-476E-B52B-F6BDFD8C2F5A}"/>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REKAP PEKERJA</a:t>
            </a:r>
          </a:p>
        </xdr:txBody>
      </xdr:sp>
      <xdr:sp macro="[0]!TBPERHTULANGAN_Click" textlink="">
        <xdr:nvSpPr>
          <xdr:cNvPr id="11" name="TBPERHTULANGAN">
            <a:extLst>
              <a:ext uri="{FF2B5EF4-FFF2-40B4-BE49-F238E27FC236}">
                <a16:creationId xmlns:a16="http://schemas.microsoft.com/office/drawing/2014/main" id="{6308F6F7-4045-4751-82B9-9B454BD45E08}"/>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12" name="TBBOBOTPEKERJAAN">
            <a:extLst>
              <a:ext uri="{FF2B5EF4-FFF2-40B4-BE49-F238E27FC236}">
                <a16:creationId xmlns:a16="http://schemas.microsoft.com/office/drawing/2014/main" id="{8AA4C57D-D6E4-4876-AC9D-DC6E9195DE03}"/>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13" name="TB.KURVAS">
            <a:extLst>
              <a:ext uri="{FF2B5EF4-FFF2-40B4-BE49-F238E27FC236}">
                <a16:creationId xmlns:a16="http://schemas.microsoft.com/office/drawing/2014/main" id="{F4759034-7ED6-4D32-B973-9820B3627315}"/>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14" name="TB.RABSMKK">
            <a:extLst>
              <a:ext uri="{FF2B5EF4-FFF2-40B4-BE49-F238E27FC236}">
                <a16:creationId xmlns:a16="http://schemas.microsoft.com/office/drawing/2014/main" id="{01369BF6-B105-41FF-8D26-81394F616346}"/>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15" name="TB.REKAPITULASI">
            <a:extLst>
              <a:ext uri="{FF2B5EF4-FFF2-40B4-BE49-F238E27FC236}">
                <a16:creationId xmlns:a16="http://schemas.microsoft.com/office/drawing/2014/main" id="{B9330A89-B0CA-4DC1-94FB-83F4C6A44754}"/>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16" name="TB.DOKUMEN">
            <a:extLst>
              <a:ext uri="{FF2B5EF4-FFF2-40B4-BE49-F238E27FC236}">
                <a16:creationId xmlns:a16="http://schemas.microsoft.com/office/drawing/2014/main" id="{8345A321-E1D4-4051-ABB6-B2BBE44FABA7}"/>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17" name="TB.PANDUAN">
            <a:extLst>
              <a:ext uri="{FF2B5EF4-FFF2-40B4-BE49-F238E27FC236}">
                <a16:creationId xmlns:a16="http://schemas.microsoft.com/office/drawing/2014/main" id="{01674003-A8D4-431E-9669-E2DAA8EA99A9}"/>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675153</xdr:colOff>
      <xdr:row>2</xdr:row>
      <xdr:rowOff>187698</xdr:rowOff>
    </xdr:to>
    <xdr:sp macro="" textlink="">
      <xdr:nvSpPr>
        <xdr:cNvPr id="5" name="Rectangle 4">
          <a:extLst>
            <a:ext uri="{FF2B5EF4-FFF2-40B4-BE49-F238E27FC236}">
              <a16:creationId xmlns:a16="http://schemas.microsoft.com/office/drawing/2014/main" id="{14C27E25-C1C3-4136-9987-E3D6D86898FB}"/>
            </a:ext>
          </a:extLst>
        </xdr:cNvPr>
        <xdr:cNvSpPr/>
      </xdr:nvSpPr>
      <xdr:spPr>
        <a:xfrm>
          <a:off x="0" y="0"/>
          <a:ext cx="2103903"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546503</xdr:colOff>
      <xdr:row>33</xdr:row>
      <xdr:rowOff>83820</xdr:rowOff>
    </xdr:to>
    <xdr:grpSp>
      <xdr:nvGrpSpPr>
        <xdr:cNvPr id="6" name="Group 5">
          <a:extLst>
            <a:ext uri="{FF2B5EF4-FFF2-40B4-BE49-F238E27FC236}">
              <a16:creationId xmlns:a16="http://schemas.microsoft.com/office/drawing/2014/main" id="{3DD8C4D5-AF58-41C3-AF54-F403EF7F9786}"/>
            </a:ext>
          </a:extLst>
        </xdr:cNvPr>
        <xdr:cNvGrpSpPr/>
      </xdr:nvGrpSpPr>
      <xdr:grpSpPr>
        <a:xfrm>
          <a:off x="168090" y="1158240"/>
          <a:ext cx="1861773" cy="5295900"/>
          <a:chOff x="5894294" y="3810000"/>
          <a:chExt cx="1818369" cy="5227320"/>
        </a:xfrm>
      </xdr:grpSpPr>
      <xdr:sp macro="[0]!TBHOME_Click" textlink="">
        <xdr:nvSpPr>
          <xdr:cNvPr id="7" name="TB.HOME">
            <a:extLst>
              <a:ext uri="{FF2B5EF4-FFF2-40B4-BE49-F238E27FC236}">
                <a16:creationId xmlns:a16="http://schemas.microsoft.com/office/drawing/2014/main" id="{B38E7E1B-AE4C-48C5-BB63-0B9F450F6724}"/>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8" name="TB.DATA">
            <a:extLst>
              <a:ext uri="{FF2B5EF4-FFF2-40B4-BE49-F238E27FC236}">
                <a16:creationId xmlns:a16="http://schemas.microsoft.com/office/drawing/2014/main" id="{2B4F7E70-2AC3-4A25-AC71-BE815ED1B00D}"/>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9" name="TB.HITUNGVOLUME">
            <a:extLst>
              <a:ext uri="{FF2B5EF4-FFF2-40B4-BE49-F238E27FC236}">
                <a16:creationId xmlns:a16="http://schemas.microsoft.com/office/drawing/2014/main" id="{78B3165B-4C98-4431-B496-4474958C0ED8}"/>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10" name="TB.HITUNGRAB">
            <a:extLst>
              <a:ext uri="{FF2B5EF4-FFF2-40B4-BE49-F238E27FC236}">
                <a16:creationId xmlns:a16="http://schemas.microsoft.com/office/drawing/2014/main" id="{0E1AA99B-ED87-4005-9029-D7EC401E23B3}"/>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11" name="TB.REKAPVOLUME">
            <a:extLst>
              <a:ext uri="{FF2B5EF4-FFF2-40B4-BE49-F238E27FC236}">
                <a16:creationId xmlns:a16="http://schemas.microsoft.com/office/drawing/2014/main" id="{DF7981E1-91FA-4736-B61C-8B61E6E1F83C}"/>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VOLUME</a:t>
            </a:r>
          </a:p>
        </xdr:txBody>
      </xdr:sp>
      <xdr:sp macro="[0]!TBREKAPRAB_Click" textlink="">
        <xdr:nvSpPr>
          <xdr:cNvPr id="12" name="TB.REKAPRAB">
            <a:extLst>
              <a:ext uri="{FF2B5EF4-FFF2-40B4-BE49-F238E27FC236}">
                <a16:creationId xmlns:a16="http://schemas.microsoft.com/office/drawing/2014/main" id="{46771E67-6C4F-4429-8BB8-D60149ADE211}"/>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RAB</a:t>
            </a:r>
          </a:p>
        </xdr:txBody>
      </xdr:sp>
      <xdr:sp macro="[0]!TBREKAPPEKERJA_Click" textlink="">
        <xdr:nvSpPr>
          <xdr:cNvPr id="13" name="TB.REKAPPEKERJA">
            <a:extLst>
              <a:ext uri="{FF2B5EF4-FFF2-40B4-BE49-F238E27FC236}">
                <a16:creationId xmlns:a16="http://schemas.microsoft.com/office/drawing/2014/main" id="{58F06BA3-3689-4B45-832D-42C9C3D64839}"/>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 PEKERJA</a:t>
            </a:r>
          </a:p>
        </xdr:txBody>
      </xdr:sp>
      <xdr:sp macro="[0]!TBPERHTULANGAN_Click" textlink="">
        <xdr:nvSpPr>
          <xdr:cNvPr id="14" name="TBPERHTULANGAN">
            <a:extLst>
              <a:ext uri="{FF2B5EF4-FFF2-40B4-BE49-F238E27FC236}">
                <a16:creationId xmlns:a16="http://schemas.microsoft.com/office/drawing/2014/main" id="{7CF1A765-DA37-4C0D-8B37-C152686AB276}"/>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PERH. TULANGAN</a:t>
            </a:r>
          </a:p>
        </xdr:txBody>
      </xdr:sp>
      <xdr:sp macro="[0]!TBBOBOTPEKERJAAN_Click" textlink="">
        <xdr:nvSpPr>
          <xdr:cNvPr id="15" name="TBBOBOTPEKERJAAN">
            <a:extLst>
              <a:ext uri="{FF2B5EF4-FFF2-40B4-BE49-F238E27FC236}">
                <a16:creationId xmlns:a16="http://schemas.microsoft.com/office/drawing/2014/main" id="{BA59B1CE-BFE3-4F45-9172-D390BF0CAE4D}"/>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16" name="TB.KURVAS">
            <a:extLst>
              <a:ext uri="{FF2B5EF4-FFF2-40B4-BE49-F238E27FC236}">
                <a16:creationId xmlns:a16="http://schemas.microsoft.com/office/drawing/2014/main" id="{D846EE44-F7A6-4A56-9960-1A062A8B721B}"/>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17" name="TB.RABSMKK">
            <a:extLst>
              <a:ext uri="{FF2B5EF4-FFF2-40B4-BE49-F238E27FC236}">
                <a16:creationId xmlns:a16="http://schemas.microsoft.com/office/drawing/2014/main" id="{3566D524-6D1A-4F89-A56D-7BD16C065AA3}"/>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18" name="TB.REKAPITULASI">
            <a:extLst>
              <a:ext uri="{FF2B5EF4-FFF2-40B4-BE49-F238E27FC236}">
                <a16:creationId xmlns:a16="http://schemas.microsoft.com/office/drawing/2014/main" id="{E756567C-1D4E-4F4E-9A48-EBB162ED81E2}"/>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19" name="TB.DOKUMEN">
            <a:extLst>
              <a:ext uri="{FF2B5EF4-FFF2-40B4-BE49-F238E27FC236}">
                <a16:creationId xmlns:a16="http://schemas.microsoft.com/office/drawing/2014/main" id="{488031E1-29C2-4149-8724-6DB7D59A7D60}"/>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0" name="TB.PANDUAN">
            <a:extLst>
              <a:ext uri="{FF2B5EF4-FFF2-40B4-BE49-F238E27FC236}">
                <a16:creationId xmlns:a16="http://schemas.microsoft.com/office/drawing/2014/main" id="{A7B49A3A-504E-4FD6-AB2E-C0FDA0587DBF}"/>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187698</xdr:rowOff>
    </xdr:to>
    <xdr:sp macro="" textlink="">
      <xdr:nvSpPr>
        <xdr:cNvPr id="5" name="Rectangle 4">
          <a:extLst>
            <a:ext uri="{FF2B5EF4-FFF2-40B4-BE49-F238E27FC236}">
              <a16:creationId xmlns:a16="http://schemas.microsoft.com/office/drawing/2014/main" id="{259A7FC0-0132-4857-9129-B64AEA3A8781}"/>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552106</xdr:colOff>
      <xdr:row>33</xdr:row>
      <xdr:rowOff>83820</xdr:rowOff>
    </xdr:to>
    <xdr:grpSp>
      <xdr:nvGrpSpPr>
        <xdr:cNvPr id="6" name="Group 5">
          <a:extLst>
            <a:ext uri="{FF2B5EF4-FFF2-40B4-BE49-F238E27FC236}">
              <a16:creationId xmlns:a16="http://schemas.microsoft.com/office/drawing/2014/main" id="{7B01A280-0EA6-4F09-BD79-C111176656A5}"/>
            </a:ext>
          </a:extLst>
        </xdr:cNvPr>
        <xdr:cNvGrpSpPr/>
      </xdr:nvGrpSpPr>
      <xdr:grpSpPr>
        <a:xfrm>
          <a:off x="168090" y="1158240"/>
          <a:ext cx="1867376" cy="5295900"/>
          <a:chOff x="5894294" y="3810000"/>
          <a:chExt cx="1818369" cy="5227320"/>
        </a:xfrm>
      </xdr:grpSpPr>
      <xdr:sp macro="[0]!TBHOME_Click" textlink="">
        <xdr:nvSpPr>
          <xdr:cNvPr id="7" name="TB.HOME">
            <a:extLst>
              <a:ext uri="{FF2B5EF4-FFF2-40B4-BE49-F238E27FC236}">
                <a16:creationId xmlns:a16="http://schemas.microsoft.com/office/drawing/2014/main" id="{194BF322-560C-498B-883F-290110529769}"/>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8" name="TB.DATA">
            <a:extLst>
              <a:ext uri="{FF2B5EF4-FFF2-40B4-BE49-F238E27FC236}">
                <a16:creationId xmlns:a16="http://schemas.microsoft.com/office/drawing/2014/main" id="{723973AB-F13F-4A4F-B67A-12EAF36FDB2A}"/>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9" name="TB.HITUNGVOLUME">
            <a:extLst>
              <a:ext uri="{FF2B5EF4-FFF2-40B4-BE49-F238E27FC236}">
                <a16:creationId xmlns:a16="http://schemas.microsoft.com/office/drawing/2014/main" id="{3F91A8C1-2826-4C56-935D-6094944B5174}"/>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10" name="TB.HITUNGRAB">
            <a:extLst>
              <a:ext uri="{FF2B5EF4-FFF2-40B4-BE49-F238E27FC236}">
                <a16:creationId xmlns:a16="http://schemas.microsoft.com/office/drawing/2014/main" id="{D33C4E52-1C1A-47CB-8504-310F920B4832}"/>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11" name="TB.REKAPVOLUME">
            <a:extLst>
              <a:ext uri="{FF2B5EF4-FFF2-40B4-BE49-F238E27FC236}">
                <a16:creationId xmlns:a16="http://schemas.microsoft.com/office/drawing/2014/main" id="{16875661-6FAC-4189-8F99-D2674444DABF}"/>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VOLUME</a:t>
            </a:r>
          </a:p>
        </xdr:txBody>
      </xdr:sp>
      <xdr:sp macro="[0]!TBREKAPRAB_Click" textlink="">
        <xdr:nvSpPr>
          <xdr:cNvPr id="12" name="TB.REKAPRAB">
            <a:extLst>
              <a:ext uri="{FF2B5EF4-FFF2-40B4-BE49-F238E27FC236}">
                <a16:creationId xmlns:a16="http://schemas.microsoft.com/office/drawing/2014/main" id="{9AF5717B-2CBB-4866-8A2B-1A93540994EE}"/>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RAB</a:t>
            </a:r>
          </a:p>
        </xdr:txBody>
      </xdr:sp>
      <xdr:sp macro="[0]!TBREKAPPEKERJA_Click" textlink="">
        <xdr:nvSpPr>
          <xdr:cNvPr id="13" name="TB.REKAPPEKERJA">
            <a:extLst>
              <a:ext uri="{FF2B5EF4-FFF2-40B4-BE49-F238E27FC236}">
                <a16:creationId xmlns:a16="http://schemas.microsoft.com/office/drawing/2014/main" id="{B2E6E066-1842-4B81-8836-9F299C73B4A3}"/>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PEKERJA</a:t>
            </a:r>
          </a:p>
        </xdr:txBody>
      </xdr:sp>
      <xdr:sp macro="[0]!TBPERHTULANGAN_Click" textlink="">
        <xdr:nvSpPr>
          <xdr:cNvPr id="14" name="TBPERHTULANGAN">
            <a:extLst>
              <a:ext uri="{FF2B5EF4-FFF2-40B4-BE49-F238E27FC236}">
                <a16:creationId xmlns:a16="http://schemas.microsoft.com/office/drawing/2014/main" id="{AC864A0D-3D81-4F66-A528-D8A6675D81C5}"/>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15" name="TBBOBOTPEKERJAAN">
            <a:extLst>
              <a:ext uri="{FF2B5EF4-FFF2-40B4-BE49-F238E27FC236}">
                <a16:creationId xmlns:a16="http://schemas.microsoft.com/office/drawing/2014/main" id="{766E898C-F8B0-40E9-B044-EABC30D3D73C}"/>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BOBOT</a:t>
            </a:r>
            <a:r>
              <a:rPr lang="en-US" sz="1200" b="1" baseline="0">
                <a:solidFill>
                  <a:srgbClr val="FFC000"/>
                </a:solidFill>
              </a:rPr>
              <a:t> PEKERJAAN</a:t>
            </a:r>
            <a:endParaRPr lang="en-US" sz="1200" b="1">
              <a:solidFill>
                <a:srgbClr val="FFC000"/>
              </a:solidFill>
            </a:endParaRPr>
          </a:p>
        </xdr:txBody>
      </xdr:sp>
      <xdr:sp macro="[0]!TBKURVAS_Click" textlink="">
        <xdr:nvSpPr>
          <xdr:cNvPr id="16" name="TB.KURVAS">
            <a:extLst>
              <a:ext uri="{FF2B5EF4-FFF2-40B4-BE49-F238E27FC236}">
                <a16:creationId xmlns:a16="http://schemas.microsoft.com/office/drawing/2014/main" id="{A084DBC3-92D9-483D-B984-3DE287681CE8}"/>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17" name="TB.RABSMKK">
            <a:extLst>
              <a:ext uri="{FF2B5EF4-FFF2-40B4-BE49-F238E27FC236}">
                <a16:creationId xmlns:a16="http://schemas.microsoft.com/office/drawing/2014/main" id="{ED9ECEB8-6B7B-444A-BECE-AC63AB2BEC4A}"/>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18" name="TB.REKAPITULASI">
            <a:extLst>
              <a:ext uri="{FF2B5EF4-FFF2-40B4-BE49-F238E27FC236}">
                <a16:creationId xmlns:a16="http://schemas.microsoft.com/office/drawing/2014/main" id="{C64E69D2-2EA5-44AB-BDAB-DFF8C1320813}"/>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19" name="TB.DOKUMEN">
            <a:extLst>
              <a:ext uri="{FF2B5EF4-FFF2-40B4-BE49-F238E27FC236}">
                <a16:creationId xmlns:a16="http://schemas.microsoft.com/office/drawing/2014/main" id="{56EB584B-2D85-4C08-8158-04983E978090}"/>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0" name="TB.PANDUAN">
            <a:extLst>
              <a:ext uri="{FF2B5EF4-FFF2-40B4-BE49-F238E27FC236}">
                <a16:creationId xmlns:a16="http://schemas.microsoft.com/office/drawing/2014/main" id="{D316F234-5167-42F9-81CC-4F4506ED017E}"/>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23</xdr:col>
      <xdr:colOff>73135</xdr:colOff>
      <xdr:row>88</xdr:row>
      <xdr:rowOff>127068</xdr:rowOff>
    </xdr:from>
    <xdr:to>
      <xdr:col>35</xdr:col>
      <xdr:colOff>571500</xdr:colOff>
      <xdr:row>117</xdr:row>
      <xdr:rowOff>10206</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PrintsWithSheet="0"/>
  </xdr:twoCellAnchor>
  <xdr:twoCellAnchor editAs="absolute">
    <xdr:from>
      <xdr:col>0</xdr:col>
      <xdr:colOff>0</xdr:colOff>
      <xdr:row>0</xdr:row>
      <xdr:rowOff>0</xdr:rowOff>
    </xdr:from>
    <xdr:to>
      <xdr:col>2</xdr:col>
      <xdr:colOff>667149</xdr:colOff>
      <xdr:row>2</xdr:row>
      <xdr:rowOff>187698</xdr:rowOff>
    </xdr:to>
    <xdr:sp macro="" textlink="">
      <xdr:nvSpPr>
        <xdr:cNvPr id="5" name="Rectangle 4">
          <a:extLst>
            <a:ext uri="{FF2B5EF4-FFF2-40B4-BE49-F238E27FC236}">
              <a16:creationId xmlns:a16="http://schemas.microsoft.com/office/drawing/2014/main" id="{A5806A72-5CEB-4CD0-B322-10CFEFF5625A}"/>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538499</xdr:colOff>
      <xdr:row>33</xdr:row>
      <xdr:rowOff>83820</xdr:rowOff>
    </xdr:to>
    <xdr:grpSp>
      <xdr:nvGrpSpPr>
        <xdr:cNvPr id="6" name="Group 5">
          <a:extLst>
            <a:ext uri="{FF2B5EF4-FFF2-40B4-BE49-F238E27FC236}">
              <a16:creationId xmlns:a16="http://schemas.microsoft.com/office/drawing/2014/main" id="{B52B2EC7-903E-4549-8C01-DB008D1C0281}"/>
            </a:ext>
          </a:extLst>
        </xdr:cNvPr>
        <xdr:cNvGrpSpPr/>
      </xdr:nvGrpSpPr>
      <xdr:grpSpPr>
        <a:xfrm>
          <a:off x="168090" y="1158240"/>
          <a:ext cx="1853769" cy="5295900"/>
          <a:chOff x="5894294" y="3810000"/>
          <a:chExt cx="1818369" cy="5227320"/>
        </a:xfrm>
      </xdr:grpSpPr>
      <xdr:sp macro="[0]!TBHOME_Click" textlink="">
        <xdr:nvSpPr>
          <xdr:cNvPr id="7" name="TB.HOME">
            <a:extLst>
              <a:ext uri="{FF2B5EF4-FFF2-40B4-BE49-F238E27FC236}">
                <a16:creationId xmlns:a16="http://schemas.microsoft.com/office/drawing/2014/main" id="{83D1D620-AB4F-4DAD-8B97-9A206455BDB1}"/>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8" name="TB.DATA">
            <a:extLst>
              <a:ext uri="{FF2B5EF4-FFF2-40B4-BE49-F238E27FC236}">
                <a16:creationId xmlns:a16="http://schemas.microsoft.com/office/drawing/2014/main" id="{593047A2-6234-48A2-8242-AA860D8F57E6}"/>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9" name="TB.HITUNGVOLUME">
            <a:extLst>
              <a:ext uri="{FF2B5EF4-FFF2-40B4-BE49-F238E27FC236}">
                <a16:creationId xmlns:a16="http://schemas.microsoft.com/office/drawing/2014/main" id="{9D0DD48E-64F6-4C14-BAD5-92E1AD89002B}"/>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10" name="TB.HITUNGRAB">
            <a:extLst>
              <a:ext uri="{FF2B5EF4-FFF2-40B4-BE49-F238E27FC236}">
                <a16:creationId xmlns:a16="http://schemas.microsoft.com/office/drawing/2014/main" id="{6CC8CEFC-11A7-49E7-B0A1-76AC0C495E9D}"/>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11" name="TB.REKAPVOLUME">
            <a:extLst>
              <a:ext uri="{FF2B5EF4-FFF2-40B4-BE49-F238E27FC236}">
                <a16:creationId xmlns:a16="http://schemas.microsoft.com/office/drawing/2014/main" id="{067E9132-D74E-4ADF-A440-7233906C5A9A}"/>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VOLUME</a:t>
            </a:r>
          </a:p>
        </xdr:txBody>
      </xdr:sp>
      <xdr:sp macro="[0]!TBREKAPRAB_Click" textlink="">
        <xdr:nvSpPr>
          <xdr:cNvPr id="12" name="TB.REKAPRAB">
            <a:extLst>
              <a:ext uri="{FF2B5EF4-FFF2-40B4-BE49-F238E27FC236}">
                <a16:creationId xmlns:a16="http://schemas.microsoft.com/office/drawing/2014/main" id="{CD12AECB-B55E-4A31-A449-825BF3E24851}"/>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RAB</a:t>
            </a:r>
          </a:p>
        </xdr:txBody>
      </xdr:sp>
      <xdr:sp macro="[0]!TBREKAPPEKERJA_Click" textlink="">
        <xdr:nvSpPr>
          <xdr:cNvPr id="13" name="TB.REKAPPEKERJA">
            <a:extLst>
              <a:ext uri="{FF2B5EF4-FFF2-40B4-BE49-F238E27FC236}">
                <a16:creationId xmlns:a16="http://schemas.microsoft.com/office/drawing/2014/main" id="{F1301C82-58EA-4A6C-97A4-E1706053FB85}"/>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PEKERJA</a:t>
            </a:r>
          </a:p>
        </xdr:txBody>
      </xdr:sp>
      <xdr:sp macro="[0]!TBPERHTULANGAN_Click" textlink="">
        <xdr:nvSpPr>
          <xdr:cNvPr id="14" name="TBPERHTULANGAN">
            <a:extLst>
              <a:ext uri="{FF2B5EF4-FFF2-40B4-BE49-F238E27FC236}">
                <a16:creationId xmlns:a16="http://schemas.microsoft.com/office/drawing/2014/main" id="{AEDBAD52-CE45-4A12-9027-E774E8D4F04A}"/>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15" name="TBBOBOTPEKERJAAN">
            <a:extLst>
              <a:ext uri="{FF2B5EF4-FFF2-40B4-BE49-F238E27FC236}">
                <a16:creationId xmlns:a16="http://schemas.microsoft.com/office/drawing/2014/main" id="{164B2B55-77D3-444D-9AA8-C693E4F6C834}"/>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16" name="TB.KURVAS">
            <a:extLst>
              <a:ext uri="{FF2B5EF4-FFF2-40B4-BE49-F238E27FC236}">
                <a16:creationId xmlns:a16="http://schemas.microsoft.com/office/drawing/2014/main" id="{77543B66-4496-4D4F-84A4-95C1268D62AD}"/>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KURVA</a:t>
            </a:r>
            <a:r>
              <a:rPr lang="en-US" sz="1200" b="1" baseline="0">
                <a:solidFill>
                  <a:srgbClr val="FFC000"/>
                </a:solidFill>
              </a:rPr>
              <a:t> - S</a:t>
            </a:r>
            <a:endParaRPr lang="en-US" sz="1200" b="1">
              <a:solidFill>
                <a:srgbClr val="FFC000"/>
              </a:solidFill>
            </a:endParaRPr>
          </a:p>
        </xdr:txBody>
      </xdr:sp>
      <xdr:sp macro="[0]!TBRABSMKK_Click" textlink="">
        <xdr:nvSpPr>
          <xdr:cNvPr id="17" name="TB.RABSMKK">
            <a:extLst>
              <a:ext uri="{FF2B5EF4-FFF2-40B4-BE49-F238E27FC236}">
                <a16:creationId xmlns:a16="http://schemas.microsoft.com/office/drawing/2014/main" id="{E28CE08C-3BB5-41EF-B363-E8D684D147D3}"/>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RAB SMKK</a:t>
            </a:r>
          </a:p>
        </xdr:txBody>
      </xdr:sp>
      <xdr:sp macro="[0]!TBREKAPITULASI_Click" textlink="">
        <xdr:nvSpPr>
          <xdr:cNvPr id="18" name="TB.REKAPITULASI">
            <a:extLst>
              <a:ext uri="{FF2B5EF4-FFF2-40B4-BE49-F238E27FC236}">
                <a16:creationId xmlns:a16="http://schemas.microsoft.com/office/drawing/2014/main" id="{9923F647-23F9-43BC-BBC9-218E9AC21289}"/>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19" name="TB.DOKUMEN">
            <a:extLst>
              <a:ext uri="{FF2B5EF4-FFF2-40B4-BE49-F238E27FC236}">
                <a16:creationId xmlns:a16="http://schemas.microsoft.com/office/drawing/2014/main" id="{AC8CA3D3-5322-4E16-97BA-4BA37CC004EE}"/>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20" name="TB.PANDUAN">
            <a:extLst>
              <a:ext uri="{FF2B5EF4-FFF2-40B4-BE49-F238E27FC236}">
                <a16:creationId xmlns:a16="http://schemas.microsoft.com/office/drawing/2014/main" id="{2457436C-F734-47BA-925A-E7CF4A15CAE1}"/>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187698</xdr:rowOff>
    </xdr:to>
    <xdr:sp macro="" textlink="">
      <xdr:nvSpPr>
        <xdr:cNvPr id="2" name="Rectangle 1">
          <a:extLst>
            <a:ext uri="{FF2B5EF4-FFF2-40B4-BE49-F238E27FC236}">
              <a16:creationId xmlns:a16="http://schemas.microsoft.com/office/drawing/2014/main" id="{09F78A1B-5737-4E3F-A198-BA85DEF8106E}"/>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168090</xdr:colOff>
      <xdr:row>6</xdr:row>
      <xdr:rowOff>0</xdr:rowOff>
    </xdr:from>
    <xdr:to>
      <xdr:col>2</xdr:col>
      <xdr:colOff>552106</xdr:colOff>
      <xdr:row>33</xdr:row>
      <xdr:rowOff>83820</xdr:rowOff>
    </xdr:to>
    <xdr:grpSp>
      <xdr:nvGrpSpPr>
        <xdr:cNvPr id="3" name="Group 2">
          <a:extLst>
            <a:ext uri="{FF2B5EF4-FFF2-40B4-BE49-F238E27FC236}">
              <a16:creationId xmlns:a16="http://schemas.microsoft.com/office/drawing/2014/main" id="{4C7ABECB-4700-40A3-A339-12123B523976}"/>
            </a:ext>
          </a:extLst>
        </xdr:cNvPr>
        <xdr:cNvGrpSpPr/>
      </xdr:nvGrpSpPr>
      <xdr:grpSpPr>
        <a:xfrm>
          <a:off x="168090" y="1158240"/>
          <a:ext cx="1867376" cy="5295900"/>
          <a:chOff x="5894294" y="3810000"/>
          <a:chExt cx="1818369" cy="5227320"/>
        </a:xfrm>
      </xdr:grpSpPr>
      <xdr:sp macro="[0]!TBHOME_Click" textlink="">
        <xdr:nvSpPr>
          <xdr:cNvPr id="4" name="TB.HOME">
            <a:extLst>
              <a:ext uri="{FF2B5EF4-FFF2-40B4-BE49-F238E27FC236}">
                <a16:creationId xmlns:a16="http://schemas.microsoft.com/office/drawing/2014/main" id="{F27A4729-C496-4CC8-A817-46692FEDBD4E}"/>
              </a:ext>
            </a:extLst>
          </xdr:cNvPr>
          <xdr:cNvSpPr/>
        </xdr:nvSpPr>
        <xdr:spPr>
          <a:xfrm>
            <a:off x="5894294" y="3810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5" name="TB.DATA">
            <a:extLst>
              <a:ext uri="{FF2B5EF4-FFF2-40B4-BE49-F238E27FC236}">
                <a16:creationId xmlns:a16="http://schemas.microsoft.com/office/drawing/2014/main" id="{A906AE20-6792-45E6-AD67-C41030695F15}"/>
              </a:ext>
            </a:extLst>
          </xdr:cNvPr>
          <xdr:cNvSpPr/>
        </xdr:nvSpPr>
        <xdr:spPr>
          <a:xfrm>
            <a:off x="5894294" y="4191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6" name="TB.HITUNGVOLUME">
            <a:extLst>
              <a:ext uri="{FF2B5EF4-FFF2-40B4-BE49-F238E27FC236}">
                <a16:creationId xmlns:a16="http://schemas.microsoft.com/office/drawing/2014/main" id="{709684E3-96A0-41A1-95F9-C8DD1F8FDF19}"/>
              </a:ext>
            </a:extLst>
          </xdr:cNvPr>
          <xdr:cNvSpPr/>
        </xdr:nvSpPr>
        <xdr:spPr>
          <a:xfrm>
            <a:off x="5894294" y="457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7" name="TB.HITUNGRAB">
            <a:extLst>
              <a:ext uri="{FF2B5EF4-FFF2-40B4-BE49-F238E27FC236}">
                <a16:creationId xmlns:a16="http://schemas.microsoft.com/office/drawing/2014/main" id="{454B792C-D006-4467-BA3A-D4ACE25BC9DD}"/>
              </a:ext>
            </a:extLst>
          </xdr:cNvPr>
          <xdr:cNvSpPr/>
        </xdr:nvSpPr>
        <xdr:spPr>
          <a:xfrm>
            <a:off x="5894294" y="495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VOLUME_Click" textlink="">
        <xdr:nvSpPr>
          <xdr:cNvPr id="8" name="TB.REKAPVOLUME">
            <a:extLst>
              <a:ext uri="{FF2B5EF4-FFF2-40B4-BE49-F238E27FC236}">
                <a16:creationId xmlns:a16="http://schemas.microsoft.com/office/drawing/2014/main" id="{33C36209-112A-4745-84F8-76D277796F6D}"/>
              </a:ext>
            </a:extLst>
          </xdr:cNvPr>
          <xdr:cNvSpPr/>
        </xdr:nvSpPr>
        <xdr:spPr>
          <a:xfrm>
            <a:off x="6175698" y="5715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VOLUME</a:t>
            </a:r>
          </a:p>
        </xdr:txBody>
      </xdr:sp>
      <xdr:sp macro="[0]!TBREKAPRAB_Click" textlink="">
        <xdr:nvSpPr>
          <xdr:cNvPr id="9" name="TB.REKAPRAB">
            <a:extLst>
              <a:ext uri="{FF2B5EF4-FFF2-40B4-BE49-F238E27FC236}">
                <a16:creationId xmlns:a16="http://schemas.microsoft.com/office/drawing/2014/main" id="{E57004EC-A83E-438B-8684-35E827595DAF}"/>
              </a:ext>
            </a:extLst>
          </xdr:cNvPr>
          <xdr:cNvSpPr/>
        </xdr:nvSpPr>
        <xdr:spPr>
          <a:xfrm>
            <a:off x="6175698" y="6096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RAB</a:t>
            </a:r>
          </a:p>
        </xdr:txBody>
      </xdr:sp>
      <xdr:sp macro="[0]!TBREKAPPEKERJA_Click" textlink="">
        <xdr:nvSpPr>
          <xdr:cNvPr id="10" name="TB.REKAPPEKERJA">
            <a:extLst>
              <a:ext uri="{FF2B5EF4-FFF2-40B4-BE49-F238E27FC236}">
                <a16:creationId xmlns:a16="http://schemas.microsoft.com/office/drawing/2014/main" id="{229A96E0-8F75-4908-A88F-17ADEEE17C90}"/>
              </a:ext>
            </a:extLst>
          </xdr:cNvPr>
          <xdr:cNvSpPr/>
        </xdr:nvSpPr>
        <xdr:spPr>
          <a:xfrm>
            <a:off x="6175698" y="6477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 PEKERJA</a:t>
            </a:r>
          </a:p>
        </xdr:txBody>
      </xdr:sp>
      <xdr:sp macro="[0]!TBPERHTULANGAN_Click" textlink="">
        <xdr:nvSpPr>
          <xdr:cNvPr id="11" name="TBPERHTULANGAN">
            <a:extLst>
              <a:ext uri="{FF2B5EF4-FFF2-40B4-BE49-F238E27FC236}">
                <a16:creationId xmlns:a16="http://schemas.microsoft.com/office/drawing/2014/main" id="{CB5A0094-7162-46FA-A19F-BFD9AD40B4AA}"/>
              </a:ext>
            </a:extLst>
          </xdr:cNvPr>
          <xdr:cNvSpPr/>
        </xdr:nvSpPr>
        <xdr:spPr>
          <a:xfrm>
            <a:off x="6175698" y="6858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PERH. TULANGAN</a:t>
            </a:r>
          </a:p>
        </xdr:txBody>
      </xdr:sp>
      <xdr:sp macro="[0]!TBBOBOTPEKERJAAN_Click" textlink="">
        <xdr:nvSpPr>
          <xdr:cNvPr id="12" name="TBBOBOTPEKERJAAN">
            <a:extLst>
              <a:ext uri="{FF2B5EF4-FFF2-40B4-BE49-F238E27FC236}">
                <a16:creationId xmlns:a16="http://schemas.microsoft.com/office/drawing/2014/main" id="{25935D6F-8F59-43F9-A711-42EA98CF7F26}"/>
              </a:ext>
            </a:extLst>
          </xdr:cNvPr>
          <xdr:cNvSpPr/>
        </xdr:nvSpPr>
        <xdr:spPr>
          <a:xfrm>
            <a:off x="6175698" y="7239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BOBOT</a:t>
            </a:r>
            <a:r>
              <a:rPr lang="en-US" sz="1200" baseline="0"/>
              <a:t> PEKERJAAN</a:t>
            </a:r>
            <a:endParaRPr lang="en-US" sz="1200"/>
          </a:p>
        </xdr:txBody>
      </xdr:sp>
      <xdr:sp macro="[0]!TBKURVAS_Click" textlink="">
        <xdr:nvSpPr>
          <xdr:cNvPr id="13" name="TBKURVAS">
            <a:extLst>
              <a:ext uri="{FF2B5EF4-FFF2-40B4-BE49-F238E27FC236}">
                <a16:creationId xmlns:a16="http://schemas.microsoft.com/office/drawing/2014/main" id="{CDFD24BA-C330-47CB-809E-C2961312F025}"/>
              </a:ext>
            </a:extLst>
          </xdr:cNvPr>
          <xdr:cNvSpPr/>
        </xdr:nvSpPr>
        <xdr:spPr>
          <a:xfrm>
            <a:off x="6175698" y="7620000"/>
            <a:ext cx="153520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KURVA</a:t>
            </a:r>
            <a:r>
              <a:rPr lang="en-US" sz="1200" baseline="0"/>
              <a:t> - S</a:t>
            </a:r>
            <a:endParaRPr lang="en-US" sz="1200"/>
          </a:p>
        </xdr:txBody>
      </xdr:sp>
      <xdr:sp macro="[0]!TBRABSMKK_Click" textlink="">
        <xdr:nvSpPr>
          <xdr:cNvPr id="14" name="TBRABSMKK">
            <a:extLst>
              <a:ext uri="{FF2B5EF4-FFF2-40B4-BE49-F238E27FC236}">
                <a16:creationId xmlns:a16="http://schemas.microsoft.com/office/drawing/2014/main" id="{297222DC-3897-4938-A81E-748C331E8440}"/>
              </a:ext>
            </a:extLst>
          </xdr:cNvPr>
          <xdr:cNvSpPr/>
        </xdr:nvSpPr>
        <xdr:spPr>
          <a:xfrm>
            <a:off x="6181793" y="8001000"/>
            <a:ext cx="1529410"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RAB SMKK</a:t>
            </a:r>
          </a:p>
        </xdr:txBody>
      </xdr:sp>
      <xdr:sp macro="[0]!TBREKAPITULASI_Click" textlink="">
        <xdr:nvSpPr>
          <xdr:cNvPr id="15" name="TB.REKAPITULASI">
            <a:extLst>
              <a:ext uri="{FF2B5EF4-FFF2-40B4-BE49-F238E27FC236}">
                <a16:creationId xmlns:a16="http://schemas.microsoft.com/office/drawing/2014/main" id="{6C81CD48-CA3D-4992-A9C0-6AEBB72520F2}"/>
              </a:ext>
            </a:extLst>
          </xdr:cNvPr>
          <xdr:cNvSpPr/>
        </xdr:nvSpPr>
        <xdr:spPr>
          <a:xfrm>
            <a:off x="5894294" y="533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DOKUMEN_Click" textlink="">
        <xdr:nvSpPr>
          <xdr:cNvPr id="16" name="TB.DOKUMEN">
            <a:extLst>
              <a:ext uri="{FF2B5EF4-FFF2-40B4-BE49-F238E27FC236}">
                <a16:creationId xmlns:a16="http://schemas.microsoft.com/office/drawing/2014/main" id="{80DFBCBA-1E49-4124-BD95-FDBB19E72265}"/>
              </a:ext>
            </a:extLst>
          </xdr:cNvPr>
          <xdr:cNvSpPr/>
        </xdr:nvSpPr>
        <xdr:spPr>
          <a:xfrm>
            <a:off x="5894294" y="8382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17" name="TB.PANDUAN">
            <a:extLst>
              <a:ext uri="{FF2B5EF4-FFF2-40B4-BE49-F238E27FC236}">
                <a16:creationId xmlns:a16="http://schemas.microsoft.com/office/drawing/2014/main" id="{3DD262F3-C823-4EB2-BECC-7C11927F485E}"/>
              </a:ext>
            </a:extLst>
          </xdr:cNvPr>
          <xdr:cNvSpPr/>
        </xdr:nvSpPr>
        <xdr:spPr>
          <a:xfrm>
            <a:off x="5894294" y="876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187698</xdr:rowOff>
    </xdr:to>
    <xdr:sp macro="" textlink="">
      <xdr:nvSpPr>
        <xdr:cNvPr id="17" name="Rectangle 16">
          <a:extLst>
            <a:ext uri="{FF2B5EF4-FFF2-40B4-BE49-F238E27FC236}">
              <a16:creationId xmlns:a16="http://schemas.microsoft.com/office/drawing/2014/main" id="{C2201600-32B0-4137-A39A-72B9E4CCF0E4}"/>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154778</xdr:colOff>
      <xdr:row>6</xdr:row>
      <xdr:rowOff>0</xdr:rowOff>
    </xdr:from>
    <xdr:to>
      <xdr:col>2</xdr:col>
      <xdr:colOff>552106</xdr:colOff>
      <xdr:row>25</xdr:row>
      <xdr:rowOff>83820</xdr:rowOff>
    </xdr:to>
    <xdr:grpSp>
      <xdr:nvGrpSpPr>
        <xdr:cNvPr id="2" name="Group 1">
          <a:extLst>
            <a:ext uri="{FF2B5EF4-FFF2-40B4-BE49-F238E27FC236}">
              <a16:creationId xmlns:a16="http://schemas.microsoft.com/office/drawing/2014/main" id="{83538B28-9D1E-472A-8720-799B31B89FE4}"/>
            </a:ext>
          </a:extLst>
        </xdr:cNvPr>
        <xdr:cNvGrpSpPr/>
      </xdr:nvGrpSpPr>
      <xdr:grpSpPr>
        <a:xfrm>
          <a:off x="154778" y="1127760"/>
          <a:ext cx="1880688" cy="3558540"/>
          <a:chOff x="154778" y="1143000"/>
          <a:chExt cx="1826078" cy="3703320"/>
        </a:xfrm>
      </xdr:grpSpPr>
      <xdr:sp macro="[0]!TBHOME_Click" textlink="">
        <xdr:nvSpPr>
          <xdr:cNvPr id="3" name="TB.HOME">
            <a:extLst>
              <a:ext uri="{FF2B5EF4-FFF2-40B4-BE49-F238E27FC236}">
                <a16:creationId xmlns:a16="http://schemas.microsoft.com/office/drawing/2014/main" id="{39E97185-4BDC-4DC6-8C2A-5A5151DF54EE}"/>
              </a:ext>
            </a:extLst>
          </xdr:cNvPr>
          <xdr:cNvSpPr/>
        </xdr:nvSpPr>
        <xdr:spPr>
          <a:xfrm>
            <a:off x="168090" y="1143000"/>
            <a:ext cx="1812766"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4" name="TB.DATA">
            <a:extLst>
              <a:ext uri="{FF2B5EF4-FFF2-40B4-BE49-F238E27FC236}">
                <a16:creationId xmlns:a16="http://schemas.microsoft.com/office/drawing/2014/main" id="{B5943498-8C41-4F57-8689-FAE4FBA64C87}"/>
              </a:ext>
            </a:extLst>
          </xdr:cNvPr>
          <xdr:cNvSpPr/>
        </xdr:nvSpPr>
        <xdr:spPr>
          <a:xfrm>
            <a:off x="168090" y="1524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5" name="TB.HITUNGVOLUME">
            <a:extLst>
              <a:ext uri="{FF2B5EF4-FFF2-40B4-BE49-F238E27FC236}">
                <a16:creationId xmlns:a16="http://schemas.microsoft.com/office/drawing/2014/main" id="{B7502E10-02C0-4A0E-80AF-E6FD79CB070A}"/>
              </a:ext>
            </a:extLst>
          </xdr:cNvPr>
          <xdr:cNvSpPr/>
        </xdr:nvSpPr>
        <xdr:spPr>
          <a:xfrm>
            <a:off x="168090" y="1905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6" name="TB.HITUNGRAB">
            <a:extLst>
              <a:ext uri="{FF2B5EF4-FFF2-40B4-BE49-F238E27FC236}">
                <a16:creationId xmlns:a16="http://schemas.microsoft.com/office/drawing/2014/main" id="{EE823849-53FA-4A71-849E-07573D9FAA30}"/>
              </a:ext>
            </a:extLst>
          </xdr:cNvPr>
          <xdr:cNvSpPr/>
        </xdr:nvSpPr>
        <xdr:spPr>
          <a:xfrm>
            <a:off x="168090" y="2286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14" name="TB.REKAPITULASI">
            <a:extLst>
              <a:ext uri="{FF2B5EF4-FFF2-40B4-BE49-F238E27FC236}">
                <a16:creationId xmlns:a16="http://schemas.microsoft.com/office/drawing/2014/main" id="{57EDF15F-4A08-4AE1-A111-4596B8C9DD92}"/>
              </a:ext>
            </a:extLst>
          </xdr:cNvPr>
          <xdr:cNvSpPr/>
        </xdr:nvSpPr>
        <xdr:spPr>
          <a:xfrm>
            <a:off x="168090" y="2667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PENAWARAN_Click" textlink="">
        <xdr:nvSpPr>
          <xdr:cNvPr id="27" name="TBPENAWARAN">
            <a:extLst>
              <a:ext uri="{FF2B5EF4-FFF2-40B4-BE49-F238E27FC236}">
                <a16:creationId xmlns:a16="http://schemas.microsoft.com/office/drawing/2014/main" id="{5F0162AD-3B6D-4837-8ED7-137BFB61BFE8}"/>
              </a:ext>
            </a:extLst>
          </xdr:cNvPr>
          <xdr:cNvSpPr/>
        </xdr:nvSpPr>
        <xdr:spPr>
          <a:xfrm>
            <a:off x="436182" y="3429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PENAWARAN</a:t>
            </a:r>
          </a:p>
        </xdr:txBody>
      </xdr:sp>
      <xdr:sp macro="[0]!TBCCO_Click" textlink="">
        <xdr:nvSpPr>
          <xdr:cNvPr id="28" name="TBCCO">
            <a:extLst>
              <a:ext uri="{FF2B5EF4-FFF2-40B4-BE49-F238E27FC236}">
                <a16:creationId xmlns:a16="http://schemas.microsoft.com/office/drawing/2014/main" id="{7E5DD95E-2B0F-4C5C-B56B-F7E07DD7E173}"/>
              </a:ext>
            </a:extLst>
          </xdr:cNvPr>
          <xdr:cNvSpPr/>
        </xdr:nvSpPr>
        <xdr:spPr>
          <a:xfrm>
            <a:off x="436182" y="3810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C. C. O</a:t>
            </a:r>
          </a:p>
        </xdr:txBody>
      </xdr:sp>
      <xdr:sp macro="[0]!TBABSENSIPEKERJA_Click" textlink="">
        <xdr:nvSpPr>
          <xdr:cNvPr id="29" name="TBABSENSIPEKERJA">
            <a:extLst>
              <a:ext uri="{FF2B5EF4-FFF2-40B4-BE49-F238E27FC236}">
                <a16:creationId xmlns:a16="http://schemas.microsoft.com/office/drawing/2014/main" id="{C1C0B3F4-B1A6-4ECA-BF22-347DD03F8B9E}"/>
              </a:ext>
            </a:extLst>
          </xdr:cNvPr>
          <xdr:cNvSpPr/>
        </xdr:nvSpPr>
        <xdr:spPr>
          <a:xfrm>
            <a:off x="436182" y="4191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ABSENSI PEKERJA</a:t>
            </a:r>
          </a:p>
        </xdr:txBody>
      </xdr:sp>
      <xdr:sp macro="[0]!TBDOKUMEN_Click" textlink="">
        <xdr:nvSpPr>
          <xdr:cNvPr id="30" name="TB.DOKUMEN">
            <a:extLst>
              <a:ext uri="{FF2B5EF4-FFF2-40B4-BE49-F238E27FC236}">
                <a16:creationId xmlns:a16="http://schemas.microsoft.com/office/drawing/2014/main" id="{9249954B-6FEC-4762-B938-80C1F20467D9}"/>
              </a:ext>
            </a:extLst>
          </xdr:cNvPr>
          <xdr:cNvSpPr/>
        </xdr:nvSpPr>
        <xdr:spPr>
          <a:xfrm>
            <a:off x="154778" y="3048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DOKUMEN</a:t>
            </a:r>
          </a:p>
        </xdr:txBody>
      </xdr:sp>
      <xdr:sp macro="[0]!TBPANDUAN_Click" textlink="">
        <xdr:nvSpPr>
          <xdr:cNvPr id="31" name="TBPANDUAN">
            <a:extLst>
              <a:ext uri="{FF2B5EF4-FFF2-40B4-BE49-F238E27FC236}">
                <a16:creationId xmlns:a16="http://schemas.microsoft.com/office/drawing/2014/main" id="{DD6E76CD-BA76-4C08-9A37-707D56C250C7}"/>
              </a:ext>
            </a:extLst>
          </xdr:cNvPr>
          <xdr:cNvSpPr/>
        </xdr:nvSpPr>
        <xdr:spPr>
          <a:xfrm>
            <a:off x="154778" y="4572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twoCellAnchor>
    <xdr:from>
      <xdr:col>4</xdr:col>
      <xdr:colOff>0</xdr:colOff>
      <xdr:row>6</xdr:row>
      <xdr:rowOff>3</xdr:rowOff>
    </xdr:from>
    <xdr:to>
      <xdr:col>24</xdr:col>
      <xdr:colOff>586318</xdr:colOff>
      <xdr:row>18</xdr:row>
      <xdr:rowOff>25402</xdr:rowOff>
    </xdr:to>
    <xdr:grpSp>
      <xdr:nvGrpSpPr>
        <xdr:cNvPr id="19" name="Group 18">
          <a:extLst>
            <a:ext uri="{FF2B5EF4-FFF2-40B4-BE49-F238E27FC236}">
              <a16:creationId xmlns:a16="http://schemas.microsoft.com/office/drawing/2014/main" id="{5034CF54-F640-469F-9610-AD0F725CADE5}"/>
            </a:ext>
          </a:extLst>
        </xdr:cNvPr>
        <xdr:cNvGrpSpPr/>
      </xdr:nvGrpSpPr>
      <xdr:grpSpPr>
        <a:xfrm>
          <a:off x="2479040" y="1127763"/>
          <a:ext cx="12778318" cy="2219959"/>
          <a:chOff x="2836332" y="12708467"/>
          <a:chExt cx="12810068" cy="2217331"/>
        </a:xfrm>
      </xdr:grpSpPr>
      <xdr:sp macro="" textlink="">
        <xdr:nvSpPr>
          <xdr:cNvPr id="20" name="Rectangle 19">
            <a:extLst>
              <a:ext uri="{FF2B5EF4-FFF2-40B4-BE49-F238E27FC236}">
                <a16:creationId xmlns:a16="http://schemas.microsoft.com/office/drawing/2014/main" id="{0A9EDE09-3B58-4A01-AD66-8A57F58175CF}"/>
              </a:ext>
            </a:extLst>
          </xdr:cNvPr>
          <xdr:cNvSpPr/>
        </xdr:nvSpPr>
        <xdr:spPr>
          <a:xfrm>
            <a:off x="2836332" y="12903202"/>
            <a:ext cx="12810068" cy="2022596"/>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Dokumen penawaran proyek adalah dokumen resmi yang diajukan oleh perusahaan atau penyedia jasa kepada calon klien untuk mendapatkan suatu proyek. Dokumen ini berfungsi sebagai proposal yang berisi rincian lengkap mengenai pekerjaan yang ditawarkan, termasuk biaya, jadwal, metode pelaksanaan, dan syarat-syarat yang relevan.</a:t>
            </a:r>
          </a:p>
          <a:p>
            <a:pPr algn="l"/>
            <a:endParaRPr lang="en-ID" sz="1100">
              <a:solidFill>
                <a:sysClr val="windowText" lastClr="000000"/>
              </a:solidFill>
            </a:endParaRPr>
          </a:p>
          <a:p>
            <a:pPr algn="l"/>
            <a:r>
              <a:rPr lang="en-ID" sz="1100" b="1">
                <a:solidFill>
                  <a:sysClr val="windowText" lastClr="000000"/>
                </a:solidFill>
              </a:rPr>
              <a:t>Fungsi Utama Dokumen Penawaran Proyek</a:t>
            </a:r>
          </a:p>
          <a:p>
            <a:pPr algn="l"/>
            <a:r>
              <a:rPr lang="en-ID" sz="1100">
                <a:solidFill>
                  <a:sysClr val="windowText" lastClr="000000"/>
                </a:solidFill>
              </a:rPr>
              <a:t>1. </a:t>
            </a:r>
            <a:r>
              <a:rPr lang="en-ID" sz="1100" u="sng">
                <a:solidFill>
                  <a:sysClr val="windowText" lastClr="000000"/>
                </a:solidFill>
              </a:rPr>
              <a:t>Menyajikan Rincian Proyek: </a:t>
            </a:r>
            <a:r>
              <a:rPr lang="en-ID" sz="1100">
                <a:solidFill>
                  <a:sysClr val="windowText" lastClr="000000"/>
                </a:solidFill>
              </a:rPr>
              <a:t>Dokumen ini memberikan gambaran yang jelas dan terperinci tentang apa yang akan dikerjakan, bagaimana cara mengerjakannya, dan berapa biayanya.</a:t>
            </a:r>
          </a:p>
          <a:p>
            <a:pPr algn="l"/>
            <a:r>
              <a:rPr lang="en-ID" sz="1100">
                <a:solidFill>
                  <a:sysClr val="windowText" lastClr="000000"/>
                </a:solidFill>
              </a:rPr>
              <a:t>2. </a:t>
            </a:r>
            <a:r>
              <a:rPr lang="en-ID" sz="1100" u="sng">
                <a:solidFill>
                  <a:sysClr val="windowText" lastClr="000000"/>
                </a:solidFill>
              </a:rPr>
              <a:t>Dasar Evaluasi: </a:t>
            </a:r>
            <a:r>
              <a:rPr lang="en-ID" sz="1100">
                <a:solidFill>
                  <a:sysClr val="windowText" lastClr="000000"/>
                </a:solidFill>
              </a:rPr>
              <a:t>Bagi klien, dokumen ini menjadi acuan utama untuk mengevaluasi dan membandingkan penawaran dari berbagai penyedia jasa.</a:t>
            </a:r>
          </a:p>
          <a:p>
            <a:pPr algn="l"/>
            <a:r>
              <a:rPr lang="en-ID" sz="1100">
                <a:solidFill>
                  <a:sysClr val="windowText" lastClr="000000"/>
                </a:solidFill>
              </a:rPr>
              <a:t>3. </a:t>
            </a:r>
            <a:r>
              <a:rPr lang="en-ID" sz="1100" u="sng">
                <a:solidFill>
                  <a:sysClr val="windowText" lastClr="000000"/>
                </a:solidFill>
              </a:rPr>
              <a:t>Dasar Negosiasi: </a:t>
            </a:r>
            <a:r>
              <a:rPr lang="en-ID" sz="1100">
                <a:solidFill>
                  <a:sysClr val="windowText" lastClr="000000"/>
                </a:solidFill>
              </a:rPr>
              <a:t>Rincian dalam dokumen ini menjadi landasan untuk berdiskusi dan mencapai kesepakatan akhir antara penyedia jasa dan klien.</a:t>
            </a:r>
          </a:p>
          <a:p>
            <a:pPr algn="l"/>
            <a:r>
              <a:rPr lang="en-ID" sz="1100">
                <a:solidFill>
                  <a:sysClr val="windowText" lastClr="000000"/>
                </a:solidFill>
              </a:rPr>
              <a:t>4. </a:t>
            </a:r>
            <a:r>
              <a:rPr lang="en-ID" sz="1100" u="sng">
                <a:solidFill>
                  <a:sysClr val="windowText" lastClr="000000"/>
                </a:solidFill>
              </a:rPr>
              <a:t>Membangun Kepercayaan: </a:t>
            </a:r>
            <a:r>
              <a:rPr lang="en-ID" sz="1100">
                <a:solidFill>
                  <a:sysClr val="windowText" lastClr="000000"/>
                </a:solidFill>
              </a:rPr>
              <a:t>Dokumen penawaran yang disusun dengan rapi dan profesional mencerminkan kredibilitas dan kompetensi perusahaan, sehingga meningkatkan kepercayaan klien.</a:t>
            </a:r>
          </a:p>
        </xdr:txBody>
      </xdr:sp>
      <xdr:sp macro="" textlink="">
        <xdr:nvSpPr>
          <xdr:cNvPr id="21" name="Rectangle 20">
            <a:extLst>
              <a:ext uri="{FF2B5EF4-FFF2-40B4-BE49-F238E27FC236}">
                <a16:creationId xmlns:a16="http://schemas.microsoft.com/office/drawing/2014/main" id="{B83F2F16-8270-4ED4-8B32-08095677F828}"/>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DOKUMEN PENAWARAN</a:t>
            </a:r>
          </a:p>
        </xdr:txBody>
      </xdr:sp>
    </xdr:grpSp>
    <xdr:clientData/>
  </xdr:twoCellAnchor>
  <xdr:twoCellAnchor>
    <xdr:from>
      <xdr:col>4</xdr:col>
      <xdr:colOff>0</xdr:colOff>
      <xdr:row>21</xdr:row>
      <xdr:rowOff>0</xdr:rowOff>
    </xdr:from>
    <xdr:to>
      <xdr:col>24</xdr:col>
      <xdr:colOff>586318</xdr:colOff>
      <xdr:row>33</xdr:row>
      <xdr:rowOff>25399</xdr:rowOff>
    </xdr:to>
    <xdr:grpSp>
      <xdr:nvGrpSpPr>
        <xdr:cNvPr id="22" name="Group 21">
          <a:extLst>
            <a:ext uri="{FF2B5EF4-FFF2-40B4-BE49-F238E27FC236}">
              <a16:creationId xmlns:a16="http://schemas.microsoft.com/office/drawing/2014/main" id="{8BAF452C-6BB9-47EE-8AB1-CC5865121712}"/>
            </a:ext>
          </a:extLst>
        </xdr:cNvPr>
        <xdr:cNvGrpSpPr/>
      </xdr:nvGrpSpPr>
      <xdr:grpSpPr>
        <a:xfrm>
          <a:off x="2479040" y="3870960"/>
          <a:ext cx="12778318" cy="2219959"/>
          <a:chOff x="2836332" y="12708467"/>
          <a:chExt cx="12810068" cy="2217331"/>
        </a:xfrm>
      </xdr:grpSpPr>
      <xdr:sp macro="" textlink="">
        <xdr:nvSpPr>
          <xdr:cNvPr id="23" name="Rectangle 22">
            <a:extLst>
              <a:ext uri="{FF2B5EF4-FFF2-40B4-BE49-F238E27FC236}">
                <a16:creationId xmlns:a16="http://schemas.microsoft.com/office/drawing/2014/main" id="{8ADD8551-A2A0-4807-A5AB-383D3B54F8DF}"/>
              </a:ext>
            </a:extLst>
          </xdr:cNvPr>
          <xdr:cNvSpPr/>
        </xdr:nvSpPr>
        <xdr:spPr>
          <a:xfrm>
            <a:off x="2836332" y="12903202"/>
            <a:ext cx="12810068" cy="2022596"/>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Dokumen resmi yang berfungsi sebagai perintah tertulis dari pemilik proyek (owner) kepada kontraktor untuk melakukan perubahan pada pekerjaan yang sudah disepakati dalam kontrak awal.</a:t>
            </a:r>
            <a:r>
              <a:rPr lang="en-ID" sz="1100" baseline="0">
                <a:solidFill>
                  <a:sysClr val="windowText" lastClr="000000"/>
                </a:solidFill>
              </a:rPr>
              <a:t> </a:t>
            </a:r>
            <a:r>
              <a:rPr lang="en-ID" sz="1100">
                <a:solidFill>
                  <a:sysClr val="windowText" lastClr="000000"/>
                </a:solidFill>
              </a:rPr>
              <a:t>Singkatnya, CCO adalah dokumen yang melegalkan adanya perubahan pekerjaan.</a:t>
            </a:r>
          </a:p>
          <a:p>
            <a:pPr algn="l"/>
            <a:endParaRPr lang="en-ID" sz="1100">
              <a:solidFill>
                <a:sysClr val="windowText" lastClr="000000"/>
              </a:solidFill>
            </a:endParaRPr>
          </a:p>
          <a:p>
            <a:pPr algn="l"/>
            <a:r>
              <a:rPr lang="en-ID" sz="1100" b="1">
                <a:solidFill>
                  <a:sysClr val="windowText" lastClr="000000"/>
                </a:solidFill>
              </a:rPr>
              <a:t>Fungsi penting dari CCO adalah:</a:t>
            </a:r>
          </a:p>
          <a:p>
            <a:pPr algn="l"/>
            <a:r>
              <a:rPr lang="en-ID" sz="1100">
                <a:solidFill>
                  <a:sysClr val="windowText" lastClr="000000"/>
                </a:solidFill>
              </a:rPr>
              <a:t>1. </a:t>
            </a:r>
            <a:r>
              <a:rPr lang="en-ID" sz="1100" u="sng">
                <a:solidFill>
                  <a:sysClr val="windowText" lastClr="000000"/>
                </a:solidFill>
              </a:rPr>
              <a:t>Mengatur Perubahan Lingkup Pekerjaan: </a:t>
            </a:r>
            <a:r>
              <a:rPr lang="en-ID" sz="1100">
                <a:solidFill>
                  <a:sysClr val="windowText" lastClr="000000"/>
                </a:solidFill>
              </a:rPr>
              <a:t>CCO digunakan untuk menambah, mengurangi, atau bahkan menghapus jenis pekerjaan tertentu dari lingkup kontrak awal.</a:t>
            </a:r>
          </a:p>
          <a:p>
            <a:pPr algn="l"/>
            <a:r>
              <a:rPr lang="en-ID" sz="1100">
                <a:solidFill>
                  <a:sysClr val="windowText" lastClr="000000"/>
                </a:solidFill>
              </a:rPr>
              <a:t>2. </a:t>
            </a:r>
            <a:r>
              <a:rPr lang="en-ID" sz="1100" u="sng">
                <a:solidFill>
                  <a:sysClr val="windowText" lastClr="000000"/>
                </a:solidFill>
              </a:rPr>
              <a:t>Menyesuaikan Biaya Proyek</a:t>
            </a:r>
            <a:r>
              <a:rPr lang="en-ID" sz="1100">
                <a:solidFill>
                  <a:sysClr val="windowText" lastClr="000000"/>
                </a:solidFill>
              </a:rPr>
              <a:t>: Setiap perubahan pekerjaan pasti akan memengaruhi biaya. CCO berfungsi untuk mencatat dan menyepakati penyesuaian biaya tersebut.</a:t>
            </a:r>
          </a:p>
          <a:p>
            <a:pPr algn="l"/>
            <a:r>
              <a:rPr lang="en-ID" sz="1100">
                <a:solidFill>
                  <a:sysClr val="windowText" lastClr="000000"/>
                </a:solidFill>
              </a:rPr>
              <a:t>3. </a:t>
            </a:r>
            <a:r>
              <a:rPr lang="en-ID" sz="1100" u="sng">
                <a:solidFill>
                  <a:sysClr val="windowText" lastClr="000000"/>
                </a:solidFill>
              </a:rPr>
              <a:t>Mengubah Jadwal Pelaksanaan: </a:t>
            </a:r>
            <a:r>
              <a:rPr lang="en-ID" sz="1100">
                <a:solidFill>
                  <a:sysClr val="windowText" lastClr="000000"/>
                </a:solidFill>
              </a:rPr>
              <a:t>Perubahan pekerjaan bisa berdampak pada waktu penyelesaian proyek. CCO akan mencantumkan perubahan jadwal yang disetujui.</a:t>
            </a:r>
          </a:p>
          <a:p>
            <a:pPr algn="l"/>
            <a:r>
              <a:rPr lang="en-ID" sz="1100">
                <a:solidFill>
                  <a:sysClr val="windowText" lastClr="000000"/>
                </a:solidFill>
              </a:rPr>
              <a:t>4. </a:t>
            </a:r>
            <a:r>
              <a:rPr lang="en-ID" sz="1100" u="sng">
                <a:solidFill>
                  <a:sysClr val="windowText" lastClr="000000"/>
                </a:solidFill>
              </a:rPr>
              <a:t>Mengubah Spesifikasi Teknis: </a:t>
            </a:r>
            <a:r>
              <a:rPr lang="en-ID" sz="1100">
                <a:solidFill>
                  <a:sysClr val="windowText" lastClr="000000"/>
                </a:solidFill>
              </a:rPr>
              <a:t>Kadang kala, ada kebutuhan untuk mengganti spesifikasi material atau metode kerja karena kondisi lapangan yang tidak memungkinkan atau ada permintaan baru. CCO menjadi bukti persetujuan atas perubahan ini.</a:t>
            </a:r>
          </a:p>
        </xdr:txBody>
      </xdr:sp>
      <xdr:sp macro="" textlink="">
        <xdr:nvSpPr>
          <xdr:cNvPr id="24" name="Rectangle 23">
            <a:extLst>
              <a:ext uri="{FF2B5EF4-FFF2-40B4-BE49-F238E27FC236}">
                <a16:creationId xmlns:a16="http://schemas.microsoft.com/office/drawing/2014/main" id="{EB3FE563-2CCA-42C5-AACB-9F2D317DF93A}"/>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DOKUMEN C. C. O</a:t>
            </a:r>
          </a:p>
        </xdr:txBody>
      </xdr:sp>
    </xdr:grpSp>
    <xdr:clientData/>
  </xdr:twoCellAnchor>
  <xdr:twoCellAnchor>
    <xdr:from>
      <xdr:col>4</xdr:col>
      <xdr:colOff>0</xdr:colOff>
      <xdr:row>35</xdr:row>
      <xdr:rowOff>186263</xdr:rowOff>
    </xdr:from>
    <xdr:to>
      <xdr:col>24</xdr:col>
      <xdr:colOff>586318</xdr:colOff>
      <xdr:row>42</xdr:row>
      <xdr:rowOff>76196</xdr:rowOff>
    </xdr:to>
    <xdr:grpSp>
      <xdr:nvGrpSpPr>
        <xdr:cNvPr id="25" name="Group 24">
          <a:extLst>
            <a:ext uri="{FF2B5EF4-FFF2-40B4-BE49-F238E27FC236}">
              <a16:creationId xmlns:a16="http://schemas.microsoft.com/office/drawing/2014/main" id="{9F29B61D-CED0-4957-8C99-EF931BAB66EA}"/>
            </a:ext>
          </a:extLst>
        </xdr:cNvPr>
        <xdr:cNvGrpSpPr/>
      </xdr:nvGrpSpPr>
      <xdr:grpSpPr>
        <a:xfrm>
          <a:off x="2479040" y="6617543"/>
          <a:ext cx="12778318" cy="1170093"/>
          <a:chOff x="2836332" y="12708467"/>
          <a:chExt cx="12810068" cy="1170951"/>
        </a:xfrm>
      </xdr:grpSpPr>
      <xdr:sp macro="" textlink="">
        <xdr:nvSpPr>
          <xdr:cNvPr id="26" name="Rectangle 25">
            <a:extLst>
              <a:ext uri="{FF2B5EF4-FFF2-40B4-BE49-F238E27FC236}">
                <a16:creationId xmlns:a16="http://schemas.microsoft.com/office/drawing/2014/main" id="{FF7138F6-FEC3-49FF-9448-8EA9E126B11A}"/>
              </a:ext>
            </a:extLst>
          </xdr:cNvPr>
          <xdr:cNvSpPr/>
        </xdr:nvSpPr>
        <xdr:spPr>
          <a:xfrm>
            <a:off x="2836332" y="12903202"/>
            <a:ext cx="12810068" cy="976216"/>
          </a:xfrm>
          <a:prstGeom prst="rect">
            <a:avLst/>
          </a:prstGeom>
          <a:solidFill>
            <a:schemeClr val="bg1"/>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endParaRPr>
          </a:p>
          <a:p>
            <a:pPr algn="l"/>
            <a:endParaRPr lang="en-ID" sz="1100">
              <a:solidFill>
                <a:sysClr val="windowText" lastClr="000000"/>
              </a:solidFill>
            </a:endParaRPr>
          </a:p>
          <a:p>
            <a:pPr algn="l"/>
            <a:r>
              <a:rPr lang="en-ID" sz="1100">
                <a:solidFill>
                  <a:sysClr val="windowText" lastClr="000000"/>
                </a:solidFill>
              </a:rPr>
              <a:t>Absensi pekerja proyek memiliki peran yang sangat penting dan strategis, bukan sekadar tugas administratif untuk mencatat kehadiran. Fungsi utamanya adalah untuk memastikan proyek berjalan efektif, efisien, dan sesuai dengan rencana.</a:t>
            </a:r>
          </a:p>
          <a:p>
            <a:pPr algn="l"/>
            <a:endParaRPr lang="en-ID" sz="1100">
              <a:solidFill>
                <a:sysClr val="windowText" lastClr="000000"/>
              </a:solidFill>
            </a:endParaRPr>
          </a:p>
          <a:p>
            <a:pPr algn="l"/>
            <a:endParaRPr lang="en-ID" sz="1100">
              <a:solidFill>
                <a:sysClr val="windowText" lastClr="000000"/>
              </a:solidFill>
            </a:endParaRPr>
          </a:p>
        </xdr:txBody>
      </xdr:sp>
      <xdr:sp macro="" textlink="">
        <xdr:nvSpPr>
          <xdr:cNvPr id="32" name="Rectangle 31">
            <a:extLst>
              <a:ext uri="{FF2B5EF4-FFF2-40B4-BE49-F238E27FC236}">
                <a16:creationId xmlns:a16="http://schemas.microsoft.com/office/drawing/2014/main" id="{41001ACE-39E4-4D8D-BEE8-A2A833590D81}"/>
              </a:ext>
            </a:extLst>
          </xdr:cNvPr>
          <xdr:cNvSpPr/>
        </xdr:nvSpPr>
        <xdr:spPr>
          <a:xfrm>
            <a:off x="2946400" y="12708467"/>
            <a:ext cx="2614485" cy="457200"/>
          </a:xfrm>
          <a:prstGeom prst="rect">
            <a:avLst/>
          </a:prstGeom>
          <a:solidFill>
            <a:srgbClr val="FFC000"/>
          </a:solid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600">
                <a:solidFill>
                  <a:sysClr val="windowText" lastClr="000000"/>
                </a:solidFill>
              </a:rPr>
              <a:t>ABSENSI PEKERJA</a:t>
            </a:r>
          </a:p>
        </xdr:txBody>
      </xdr:sp>
    </xdr:grpSp>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133723</xdr:rowOff>
    </xdr:to>
    <xdr:sp macro="" textlink="">
      <xdr:nvSpPr>
        <xdr:cNvPr id="3" name="Rectangle 2">
          <a:extLst>
            <a:ext uri="{FF2B5EF4-FFF2-40B4-BE49-F238E27FC236}">
              <a16:creationId xmlns:a16="http://schemas.microsoft.com/office/drawing/2014/main" id="{9BBC4465-D4F1-47E6-8932-58C77E31FB91}"/>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154778</xdr:colOff>
      <xdr:row>5</xdr:row>
      <xdr:rowOff>134937</xdr:rowOff>
    </xdr:from>
    <xdr:to>
      <xdr:col>2</xdr:col>
      <xdr:colOff>552106</xdr:colOff>
      <xdr:row>25</xdr:row>
      <xdr:rowOff>36195</xdr:rowOff>
    </xdr:to>
    <xdr:grpSp>
      <xdr:nvGrpSpPr>
        <xdr:cNvPr id="4" name="Group 3">
          <a:extLst>
            <a:ext uri="{FF2B5EF4-FFF2-40B4-BE49-F238E27FC236}">
              <a16:creationId xmlns:a16="http://schemas.microsoft.com/office/drawing/2014/main" id="{B9467313-059C-4B53-B5EF-2D49822B3988}"/>
            </a:ext>
          </a:extLst>
        </xdr:cNvPr>
        <xdr:cNvGrpSpPr/>
      </xdr:nvGrpSpPr>
      <xdr:grpSpPr>
        <a:xfrm>
          <a:off x="154778" y="1089977"/>
          <a:ext cx="1880688" cy="3558858"/>
          <a:chOff x="154778" y="1143000"/>
          <a:chExt cx="1826078" cy="3703320"/>
        </a:xfrm>
      </xdr:grpSpPr>
      <xdr:sp macro="[0]!TBHOME_Click" textlink="">
        <xdr:nvSpPr>
          <xdr:cNvPr id="5" name="TB.HOME">
            <a:extLst>
              <a:ext uri="{FF2B5EF4-FFF2-40B4-BE49-F238E27FC236}">
                <a16:creationId xmlns:a16="http://schemas.microsoft.com/office/drawing/2014/main" id="{4BA94E92-B73D-4F4E-8054-BC7CDB1FEF83}"/>
              </a:ext>
            </a:extLst>
          </xdr:cNvPr>
          <xdr:cNvSpPr/>
        </xdr:nvSpPr>
        <xdr:spPr>
          <a:xfrm>
            <a:off x="168090" y="1143000"/>
            <a:ext cx="1812766"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6" name="TB.DATA">
            <a:extLst>
              <a:ext uri="{FF2B5EF4-FFF2-40B4-BE49-F238E27FC236}">
                <a16:creationId xmlns:a16="http://schemas.microsoft.com/office/drawing/2014/main" id="{CA163199-C28D-44C3-8D1D-BE917757A35A}"/>
              </a:ext>
            </a:extLst>
          </xdr:cNvPr>
          <xdr:cNvSpPr/>
        </xdr:nvSpPr>
        <xdr:spPr>
          <a:xfrm>
            <a:off x="168090" y="1524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7" name="TB.HITUNGVOLUME">
            <a:extLst>
              <a:ext uri="{FF2B5EF4-FFF2-40B4-BE49-F238E27FC236}">
                <a16:creationId xmlns:a16="http://schemas.microsoft.com/office/drawing/2014/main" id="{DF3D0872-6E28-4AF1-8460-99F0BD477CDF}"/>
              </a:ext>
            </a:extLst>
          </xdr:cNvPr>
          <xdr:cNvSpPr/>
        </xdr:nvSpPr>
        <xdr:spPr>
          <a:xfrm>
            <a:off x="168090" y="1905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8" name="TB.HITUNGRAB">
            <a:extLst>
              <a:ext uri="{FF2B5EF4-FFF2-40B4-BE49-F238E27FC236}">
                <a16:creationId xmlns:a16="http://schemas.microsoft.com/office/drawing/2014/main" id="{407E04ED-61DE-4054-AC55-DF5CC315B134}"/>
              </a:ext>
            </a:extLst>
          </xdr:cNvPr>
          <xdr:cNvSpPr/>
        </xdr:nvSpPr>
        <xdr:spPr>
          <a:xfrm>
            <a:off x="168090" y="2286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9" name="TB.REKAPITULASI">
            <a:extLst>
              <a:ext uri="{FF2B5EF4-FFF2-40B4-BE49-F238E27FC236}">
                <a16:creationId xmlns:a16="http://schemas.microsoft.com/office/drawing/2014/main" id="{FFE32E09-ADD6-42B2-A180-B8E35A5E12A8}"/>
              </a:ext>
            </a:extLst>
          </xdr:cNvPr>
          <xdr:cNvSpPr/>
        </xdr:nvSpPr>
        <xdr:spPr>
          <a:xfrm>
            <a:off x="168090" y="2667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PENAWARAN_Click" textlink="">
        <xdr:nvSpPr>
          <xdr:cNvPr id="10" name="TBPENAWARAN">
            <a:extLst>
              <a:ext uri="{FF2B5EF4-FFF2-40B4-BE49-F238E27FC236}">
                <a16:creationId xmlns:a16="http://schemas.microsoft.com/office/drawing/2014/main" id="{6356FE70-15FF-41CB-AF61-19C922294C7B}"/>
              </a:ext>
            </a:extLst>
          </xdr:cNvPr>
          <xdr:cNvSpPr/>
        </xdr:nvSpPr>
        <xdr:spPr>
          <a:xfrm>
            <a:off x="436182" y="3429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PENAWARAN</a:t>
            </a:r>
          </a:p>
        </xdr:txBody>
      </xdr:sp>
      <xdr:sp macro="[0]!TBCCO_Click" textlink="">
        <xdr:nvSpPr>
          <xdr:cNvPr id="11" name="TBCCO">
            <a:extLst>
              <a:ext uri="{FF2B5EF4-FFF2-40B4-BE49-F238E27FC236}">
                <a16:creationId xmlns:a16="http://schemas.microsoft.com/office/drawing/2014/main" id="{1D0A0B06-0CD0-4FBF-B68A-FB2BBE341C1E}"/>
              </a:ext>
            </a:extLst>
          </xdr:cNvPr>
          <xdr:cNvSpPr/>
        </xdr:nvSpPr>
        <xdr:spPr>
          <a:xfrm>
            <a:off x="436182" y="3810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C. C. O</a:t>
            </a:r>
          </a:p>
        </xdr:txBody>
      </xdr:sp>
      <xdr:sp macro="[0]!TBABSENSIPEKERJA_Click" textlink="">
        <xdr:nvSpPr>
          <xdr:cNvPr id="12" name="TBABSENSIPEKERJA">
            <a:extLst>
              <a:ext uri="{FF2B5EF4-FFF2-40B4-BE49-F238E27FC236}">
                <a16:creationId xmlns:a16="http://schemas.microsoft.com/office/drawing/2014/main" id="{2369BAB0-84AA-4CBD-AE1A-5C486E861ACC}"/>
              </a:ext>
            </a:extLst>
          </xdr:cNvPr>
          <xdr:cNvSpPr/>
        </xdr:nvSpPr>
        <xdr:spPr>
          <a:xfrm>
            <a:off x="436182" y="4191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ABSENSI PEKERJA</a:t>
            </a:r>
          </a:p>
        </xdr:txBody>
      </xdr:sp>
      <xdr:sp macro="[0]!TBDOKUMEN_Click" textlink="">
        <xdr:nvSpPr>
          <xdr:cNvPr id="13" name="TB.DOKUMEN">
            <a:extLst>
              <a:ext uri="{FF2B5EF4-FFF2-40B4-BE49-F238E27FC236}">
                <a16:creationId xmlns:a16="http://schemas.microsoft.com/office/drawing/2014/main" id="{2A1D1C09-79C4-402D-895F-BA109C3F61F1}"/>
              </a:ext>
            </a:extLst>
          </xdr:cNvPr>
          <xdr:cNvSpPr/>
        </xdr:nvSpPr>
        <xdr:spPr>
          <a:xfrm>
            <a:off x="154778" y="3048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DOKUMEN</a:t>
            </a:r>
          </a:p>
        </xdr:txBody>
      </xdr:sp>
      <xdr:sp macro="[0]!TBPANDUAN_Click" textlink="">
        <xdr:nvSpPr>
          <xdr:cNvPr id="14" name="TBPANDUAN">
            <a:extLst>
              <a:ext uri="{FF2B5EF4-FFF2-40B4-BE49-F238E27FC236}">
                <a16:creationId xmlns:a16="http://schemas.microsoft.com/office/drawing/2014/main" id="{76697BF3-FB5F-40C9-8CC9-F1A4235E3866}"/>
              </a:ext>
            </a:extLst>
          </xdr:cNvPr>
          <xdr:cNvSpPr/>
        </xdr:nvSpPr>
        <xdr:spPr>
          <a:xfrm>
            <a:off x="154778" y="4572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675153</xdr:colOff>
      <xdr:row>2</xdr:row>
      <xdr:rowOff>187698</xdr:rowOff>
    </xdr:to>
    <xdr:sp macro="" textlink="">
      <xdr:nvSpPr>
        <xdr:cNvPr id="2" name="Rectangle 1">
          <a:extLst>
            <a:ext uri="{FF2B5EF4-FFF2-40B4-BE49-F238E27FC236}">
              <a16:creationId xmlns:a16="http://schemas.microsoft.com/office/drawing/2014/main" id="{56DDD499-037D-4DF8-94D4-AB368F520649}"/>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154778</xdr:colOff>
      <xdr:row>6</xdr:row>
      <xdr:rowOff>0</xdr:rowOff>
    </xdr:from>
    <xdr:to>
      <xdr:col>2</xdr:col>
      <xdr:colOff>546503</xdr:colOff>
      <xdr:row>25</xdr:row>
      <xdr:rowOff>83820</xdr:rowOff>
    </xdr:to>
    <xdr:grpSp>
      <xdr:nvGrpSpPr>
        <xdr:cNvPr id="3" name="Group 2">
          <a:extLst>
            <a:ext uri="{FF2B5EF4-FFF2-40B4-BE49-F238E27FC236}">
              <a16:creationId xmlns:a16="http://schemas.microsoft.com/office/drawing/2014/main" id="{2A868DEB-BD26-43B6-BB66-8D8B2D9CDFFE}"/>
            </a:ext>
          </a:extLst>
        </xdr:cNvPr>
        <xdr:cNvGrpSpPr/>
      </xdr:nvGrpSpPr>
      <xdr:grpSpPr>
        <a:xfrm>
          <a:off x="154778" y="1158240"/>
          <a:ext cx="1875085" cy="3751580"/>
          <a:chOff x="154778" y="1143000"/>
          <a:chExt cx="1826078" cy="3703320"/>
        </a:xfrm>
      </xdr:grpSpPr>
      <xdr:sp macro="[0]!TBHOME_Click" textlink="">
        <xdr:nvSpPr>
          <xdr:cNvPr id="4" name="TB.HOME">
            <a:extLst>
              <a:ext uri="{FF2B5EF4-FFF2-40B4-BE49-F238E27FC236}">
                <a16:creationId xmlns:a16="http://schemas.microsoft.com/office/drawing/2014/main" id="{6EC7BAEC-AE0F-4937-99E4-F1E02B07F06C}"/>
              </a:ext>
            </a:extLst>
          </xdr:cNvPr>
          <xdr:cNvSpPr/>
        </xdr:nvSpPr>
        <xdr:spPr>
          <a:xfrm>
            <a:off x="168090" y="1143000"/>
            <a:ext cx="1812766"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5" name="TB.DATA">
            <a:extLst>
              <a:ext uri="{FF2B5EF4-FFF2-40B4-BE49-F238E27FC236}">
                <a16:creationId xmlns:a16="http://schemas.microsoft.com/office/drawing/2014/main" id="{31300914-3EC3-45E7-8C53-1B6B1724BFE6}"/>
              </a:ext>
            </a:extLst>
          </xdr:cNvPr>
          <xdr:cNvSpPr/>
        </xdr:nvSpPr>
        <xdr:spPr>
          <a:xfrm>
            <a:off x="168090" y="1524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6" name="TB.HITUNGVOLUME">
            <a:extLst>
              <a:ext uri="{FF2B5EF4-FFF2-40B4-BE49-F238E27FC236}">
                <a16:creationId xmlns:a16="http://schemas.microsoft.com/office/drawing/2014/main" id="{62EF4B69-F9B9-41B6-8D06-C59B14343DFD}"/>
              </a:ext>
            </a:extLst>
          </xdr:cNvPr>
          <xdr:cNvSpPr/>
        </xdr:nvSpPr>
        <xdr:spPr>
          <a:xfrm>
            <a:off x="168090" y="1905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7" name="TB.HITUNGRAB">
            <a:extLst>
              <a:ext uri="{FF2B5EF4-FFF2-40B4-BE49-F238E27FC236}">
                <a16:creationId xmlns:a16="http://schemas.microsoft.com/office/drawing/2014/main" id="{5B9FF6F8-DD05-4A59-A998-CC8855C579C5}"/>
              </a:ext>
            </a:extLst>
          </xdr:cNvPr>
          <xdr:cNvSpPr/>
        </xdr:nvSpPr>
        <xdr:spPr>
          <a:xfrm>
            <a:off x="168090" y="2286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8" name="TB.REKAPITULASI">
            <a:extLst>
              <a:ext uri="{FF2B5EF4-FFF2-40B4-BE49-F238E27FC236}">
                <a16:creationId xmlns:a16="http://schemas.microsoft.com/office/drawing/2014/main" id="{9EAD4CBD-5D5A-4D89-AA45-1C92F328EBBD}"/>
              </a:ext>
            </a:extLst>
          </xdr:cNvPr>
          <xdr:cNvSpPr/>
        </xdr:nvSpPr>
        <xdr:spPr>
          <a:xfrm>
            <a:off x="168090" y="2667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PENAWARAN_Click" textlink="">
        <xdr:nvSpPr>
          <xdr:cNvPr id="9" name="TBPENAWARAN">
            <a:extLst>
              <a:ext uri="{FF2B5EF4-FFF2-40B4-BE49-F238E27FC236}">
                <a16:creationId xmlns:a16="http://schemas.microsoft.com/office/drawing/2014/main" id="{8B5454E7-D9BA-4E37-AD8C-3B8B75346125}"/>
              </a:ext>
            </a:extLst>
          </xdr:cNvPr>
          <xdr:cNvSpPr/>
        </xdr:nvSpPr>
        <xdr:spPr>
          <a:xfrm>
            <a:off x="436182" y="3429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PENAWARAN</a:t>
            </a:r>
          </a:p>
        </xdr:txBody>
      </xdr:sp>
      <xdr:sp macro="[0]!TBCCO_Click" textlink="">
        <xdr:nvSpPr>
          <xdr:cNvPr id="10" name="TBCCO">
            <a:extLst>
              <a:ext uri="{FF2B5EF4-FFF2-40B4-BE49-F238E27FC236}">
                <a16:creationId xmlns:a16="http://schemas.microsoft.com/office/drawing/2014/main" id="{99922FDD-76AE-4B41-BC6D-58B2870048E7}"/>
              </a:ext>
            </a:extLst>
          </xdr:cNvPr>
          <xdr:cNvSpPr/>
        </xdr:nvSpPr>
        <xdr:spPr>
          <a:xfrm>
            <a:off x="436182" y="3810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C. C. O</a:t>
            </a:r>
          </a:p>
        </xdr:txBody>
      </xdr:sp>
      <xdr:sp macro="[0]!TBABSENSIPEKERJA_Click" textlink="">
        <xdr:nvSpPr>
          <xdr:cNvPr id="11" name="TBABSENSIPEKERJA">
            <a:extLst>
              <a:ext uri="{FF2B5EF4-FFF2-40B4-BE49-F238E27FC236}">
                <a16:creationId xmlns:a16="http://schemas.microsoft.com/office/drawing/2014/main" id="{50FF5D7E-F5A8-4DEF-8D72-FA413A229F3A}"/>
              </a:ext>
            </a:extLst>
          </xdr:cNvPr>
          <xdr:cNvSpPr/>
        </xdr:nvSpPr>
        <xdr:spPr>
          <a:xfrm>
            <a:off x="436182" y="4191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ABSENSI PEKERJA</a:t>
            </a:r>
          </a:p>
        </xdr:txBody>
      </xdr:sp>
      <xdr:sp macro="[0]!TBDOKUMEN_Click" textlink="">
        <xdr:nvSpPr>
          <xdr:cNvPr id="12" name="TB.DOKUMEN">
            <a:extLst>
              <a:ext uri="{FF2B5EF4-FFF2-40B4-BE49-F238E27FC236}">
                <a16:creationId xmlns:a16="http://schemas.microsoft.com/office/drawing/2014/main" id="{15EA8E11-E260-45DC-8D18-F9BD57D04135}"/>
              </a:ext>
            </a:extLst>
          </xdr:cNvPr>
          <xdr:cNvSpPr/>
        </xdr:nvSpPr>
        <xdr:spPr>
          <a:xfrm>
            <a:off x="154778" y="3048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DOKUMEN</a:t>
            </a:r>
          </a:p>
        </xdr:txBody>
      </xdr:sp>
      <xdr:sp macro="[0]!TBPANDUAN_Click" textlink="">
        <xdr:nvSpPr>
          <xdr:cNvPr id="13" name="TBPANDUAN">
            <a:extLst>
              <a:ext uri="{FF2B5EF4-FFF2-40B4-BE49-F238E27FC236}">
                <a16:creationId xmlns:a16="http://schemas.microsoft.com/office/drawing/2014/main" id="{E9CE2A3B-D9C6-447B-8FC4-7C70931BA72A}"/>
              </a:ext>
            </a:extLst>
          </xdr:cNvPr>
          <xdr:cNvSpPr/>
        </xdr:nvSpPr>
        <xdr:spPr>
          <a:xfrm>
            <a:off x="154778" y="4572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696631</xdr:colOff>
      <xdr:row>2</xdr:row>
      <xdr:rowOff>187698</xdr:rowOff>
    </xdr:to>
    <xdr:sp macro="" textlink="">
      <xdr:nvSpPr>
        <xdr:cNvPr id="2" name="Rectangle 1">
          <a:extLst>
            <a:ext uri="{FF2B5EF4-FFF2-40B4-BE49-F238E27FC236}">
              <a16:creationId xmlns:a16="http://schemas.microsoft.com/office/drawing/2014/main" id="{91CB261A-B0D0-4321-BFBA-6C5AEB0F1AD4}"/>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154778</xdr:colOff>
      <xdr:row>6</xdr:row>
      <xdr:rowOff>0</xdr:rowOff>
    </xdr:from>
    <xdr:to>
      <xdr:col>2</xdr:col>
      <xdr:colOff>567981</xdr:colOff>
      <xdr:row>25</xdr:row>
      <xdr:rowOff>83820</xdr:rowOff>
    </xdr:to>
    <xdr:grpSp>
      <xdr:nvGrpSpPr>
        <xdr:cNvPr id="3" name="Group 2">
          <a:extLst>
            <a:ext uri="{FF2B5EF4-FFF2-40B4-BE49-F238E27FC236}">
              <a16:creationId xmlns:a16="http://schemas.microsoft.com/office/drawing/2014/main" id="{AF92AF35-2C58-489B-804F-808ACC921895}"/>
            </a:ext>
          </a:extLst>
        </xdr:cNvPr>
        <xdr:cNvGrpSpPr/>
      </xdr:nvGrpSpPr>
      <xdr:grpSpPr>
        <a:xfrm>
          <a:off x="154778" y="1158240"/>
          <a:ext cx="1876243" cy="3751580"/>
          <a:chOff x="154778" y="1143000"/>
          <a:chExt cx="1826078" cy="3703320"/>
        </a:xfrm>
      </xdr:grpSpPr>
      <xdr:sp macro="[0]!TBHOME_Click" textlink="">
        <xdr:nvSpPr>
          <xdr:cNvPr id="4" name="TB.HOME">
            <a:extLst>
              <a:ext uri="{FF2B5EF4-FFF2-40B4-BE49-F238E27FC236}">
                <a16:creationId xmlns:a16="http://schemas.microsoft.com/office/drawing/2014/main" id="{C763670E-F811-42A8-9265-2E20C5E1F806}"/>
              </a:ext>
            </a:extLst>
          </xdr:cNvPr>
          <xdr:cNvSpPr/>
        </xdr:nvSpPr>
        <xdr:spPr>
          <a:xfrm>
            <a:off x="168090" y="1143000"/>
            <a:ext cx="1812766"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5" name="TB.DATA">
            <a:extLst>
              <a:ext uri="{FF2B5EF4-FFF2-40B4-BE49-F238E27FC236}">
                <a16:creationId xmlns:a16="http://schemas.microsoft.com/office/drawing/2014/main" id="{88D15F9F-AA5C-4EF4-8C72-77C10B85EAA4}"/>
              </a:ext>
            </a:extLst>
          </xdr:cNvPr>
          <xdr:cNvSpPr/>
        </xdr:nvSpPr>
        <xdr:spPr>
          <a:xfrm>
            <a:off x="168090" y="1524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6" name="TB.HITUNGVOLUME">
            <a:extLst>
              <a:ext uri="{FF2B5EF4-FFF2-40B4-BE49-F238E27FC236}">
                <a16:creationId xmlns:a16="http://schemas.microsoft.com/office/drawing/2014/main" id="{B70A2C5B-C5F3-443E-868C-B5607972F589}"/>
              </a:ext>
            </a:extLst>
          </xdr:cNvPr>
          <xdr:cNvSpPr/>
        </xdr:nvSpPr>
        <xdr:spPr>
          <a:xfrm>
            <a:off x="168090" y="1905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7" name="TB.HITUNGRAB">
            <a:extLst>
              <a:ext uri="{FF2B5EF4-FFF2-40B4-BE49-F238E27FC236}">
                <a16:creationId xmlns:a16="http://schemas.microsoft.com/office/drawing/2014/main" id="{DB4A7A97-98C5-4E90-9BE9-3DEB39D4E987}"/>
              </a:ext>
            </a:extLst>
          </xdr:cNvPr>
          <xdr:cNvSpPr/>
        </xdr:nvSpPr>
        <xdr:spPr>
          <a:xfrm>
            <a:off x="168090" y="2286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8" name="TB.REKAPITULASI">
            <a:extLst>
              <a:ext uri="{FF2B5EF4-FFF2-40B4-BE49-F238E27FC236}">
                <a16:creationId xmlns:a16="http://schemas.microsoft.com/office/drawing/2014/main" id="{7D51774D-AE8B-4768-BAFE-1E4D3CC230BE}"/>
              </a:ext>
            </a:extLst>
          </xdr:cNvPr>
          <xdr:cNvSpPr/>
        </xdr:nvSpPr>
        <xdr:spPr>
          <a:xfrm>
            <a:off x="168090" y="2667000"/>
            <a:ext cx="1812766"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REKAPITULASI</a:t>
            </a:r>
          </a:p>
        </xdr:txBody>
      </xdr:sp>
      <xdr:sp macro="[0]!TBPENAWARAN_Click" textlink="">
        <xdr:nvSpPr>
          <xdr:cNvPr id="9" name="TBPENAWARAN">
            <a:extLst>
              <a:ext uri="{FF2B5EF4-FFF2-40B4-BE49-F238E27FC236}">
                <a16:creationId xmlns:a16="http://schemas.microsoft.com/office/drawing/2014/main" id="{D02507F5-5F0D-4ED9-BF55-D5FF85FFC082}"/>
              </a:ext>
            </a:extLst>
          </xdr:cNvPr>
          <xdr:cNvSpPr/>
        </xdr:nvSpPr>
        <xdr:spPr>
          <a:xfrm>
            <a:off x="436182" y="3429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PENAWARAN</a:t>
            </a:r>
          </a:p>
        </xdr:txBody>
      </xdr:sp>
      <xdr:sp macro="[0]!TBCCO_Click" textlink="">
        <xdr:nvSpPr>
          <xdr:cNvPr id="10" name="TBCCO">
            <a:extLst>
              <a:ext uri="{FF2B5EF4-FFF2-40B4-BE49-F238E27FC236}">
                <a16:creationId xmlns:a16="http://schemas.microsoft.com/office/drawing/2014/main" id="{65920A47-27B3-4A0D-9BBF-0F28B5440C52}"/>
              </a:ext>
            </a:extLst>
          </xdr:cNvPr>
          <xdr:cNvSpPr/>
        </xdr:nvSpPr>
        <xdr:spPr>
          <a:xfrm>
            <a:off x="436182" y="3810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C. C. O</a:t>
            </a:r>
          </a:p>
        </xdr:txBody>
      </xdr:sp>
      <xdr:sp macro="[0]!TBABSENSIPEKERJA_Click" textlink="">
        <xdr:nvSpPr>
          <xdr:cNvPr id="11" name="TBABSENSIPEKERJA">
            <a:extLst>
              <a:ext uri="{FF2B5EF4-FFF2-40B4-BE49-F238E27FC236}">
                <a16:creationId xmlns:a16="http://schemas.microsoft.com/office/drawing/2014/main" id="{26F09FFF-AC8E-4818-B348-F3DC17598042}"/>
              </a:ext>
            </a:extLst>
          </xdr:cNvPr>
          <xdr:cNvSpPr/>
        </xdr:nvSpPr>
        <xdr:spPr>
          <a:xfrm>
            <a:off x="436182" y="4191000"/>
            <a:ext cx="154150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ABSENSI PEKERJA</a:t>
            </a:r>
          </a:p>
        </xdr:txBody>
      </xdr:sp>
      <xdr:sp macro="[0]!TBDOKUMEN_Click" textlink="">
        <xdr:nvSpPr>
          <xdr:cNvPr id="12" name="TB.DOKUMEN">
            <a:extLst>
              <a:ext uri="{FF2B5EF4-FFF2-40B4-BE49-F238E27FC236}">
                <a16:creationId xmlns:a16="http://schemas.microsoft.com/office/drawing/2014/main" id="{13639648-476A-47F5-BEE9-EBFB8F7EB378}"/>
              </a:ext>
            </a:extLst>
          </xdr:cNvPr>
          <xdr:cNvSpPr/>
        </xdr:nvSpPr>
        <xdr:spPr>
          <a:xfrm>
            <a:off x="154778" y="3048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DOKUMEN</a:t>
            </a:r>
          </a:p>
        </xdr:txBody>
      </xdr:sp>
      <xdr:sp macro="[0]!TBPANDUAN_Click" textlink="">
        <xdr:nvSpPr>
          <xdr:cNvPr id="13" name="TBPANDUAN">
            <a:extLst>
              <a:ext uri="{FF2B5EF4-FFF2-40B4-BE49-F238E27FC236}">
                <a16:creationId xmlns:a16="http://schemas.microsoft.com/office/drawing/2014/main" id="{82A3C563-CEEF-40D2-AC3F-D2ABD032026E}"/>
              </a:ext>
            </a:extLst>
          </xdr:cNvPr>
          <xdr:cNvSpPr/>
        </xdr:nvSpPr>
        <xdr:spPr>
          <a:xfrm>
            <a:off x="154778" y="4572000"/>
            <a:ext cx="1824672"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PANDUAN</a:t>
            </a:r>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2</xdr:col>
      <xdr:colOff>680756</xdr:colOff>
      <xdr:row>2</xdr:row>
      <xdr:rowOff>133723</xdr:rowOff>
    </xdr:to>
    <xdr:sp macro="[0]!ALLSHEET_Click" textlink="">
      <xdr:nvSpPr>
        <xdr:cNvPr id="2" name="ALLSHEET">
          <a:extLst>
            <a:ext uri="{FF2B5EF4-FFF2-40B4-BE49-F238E27FC236}">
              <a16:creationId xmlns:a16="http://schemas.microsoft.com/office/drawing/2014/main" id="{D3D8E373-CAA6-4FC9-BBD9-F26549E63BD8}"/>
            </a:ext>
          </a:extLst>
        </xdr:cNvPr>
        <xdr:cNvSpPr/>
      </xdr:nvSpPr>
      <xdr:spPr>
        <a:xfrm>
          <a:off x="0" y="0"/>
          <a:ext cx="2109506" cy="568698"/>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a:t>RAB OTOMATIS</a:t>
          </a:r>
        </a:p>
      </xdr:txBody>
    </xdr:sp>
    <xdr:clientData/>
  </xdr:twoCellAnchor>
  <xdr:twoCellAnchor editAs="absolute">
    <xdr:from>
      <xdr:col>0</xdr:col>
      <xdr:colOff>168089</xdr:colOff>
      <xdr:row>5</xdr:row>
      <xdr:rowOff>134937</xdr:rowOff>
    </xdr:from>
    <xdr:to>
      <xdr:col>2</xdr:col>
      <xdr:colOff>552105</xdr:colOff>
      <xdr:row>19</xdr:row>
      <xdr:rowOff>36195</xdr:rowOff>
    </xdr:to>
    <xdr:grpSp>
      <xdr:nvGrpSpPr>
        <xdr:cNvPr id="3" name="Group 2">
          <a:extLst>
            <a:ext uri="{FF2B5EF4-FFF2-40B4-BE49-F238E27FC236}">
              <a16:creationId xmlns:a16="http://schemas.microsoft.com/office/drawing/2014/main" id="{F6AB7BD9-2ECC-4335-B437-8C89D5902826}"/>
            </a:ext>
          </a:extLst>
        </xdr:cNvPr>
        <xdr:cNvGrpSpPr/>
      </xdr:nvGrpSpPr>
      <xdr:grpSpPr>
        <a:xfrm>
          <a:off x="168089" y="1089977"/>
          <a:ext cx="1867376" cy="2461578"/>
          <a:chOff x="168090" y="762000"/>
          <a:chExt cx="1818369" cy="2560320"/>
        </a:xfrm>
      </xdr:grpSpPr>
      <xdr:sp macro="[0]!TBHOME_Click" textlink="">
        <xdr:nvSpPr>
          <xdr:cNvPr id="4" name="TB.HOME">
            <a:extLst>
              <a:ext uri="{FF2B5EF4-FFF2-40B4-BE49-F238E27FC236}">
                <a16:creationId xmlns:a16="http://schemas.microsoft.com/office/drawing/2014/main" id="{C56CD962-1978-4B49-88EC-AEDDF4A14D62}"/>
              </a:ext>
            </a:extLst>
          </xdr:cNvPr>
          <xdr:cNvSpPr/>
        </xdr:nvSpPr>
        <xdr:spPr>
          <a:xfrm>
            <a:off x="168090" y="762000"/>
            <a:ext cx="1818369" cy="274320"/>
          </a:xfrm>
          <a:prstGeom prst="rect">
            <a:avLst/>
          </a:prstGeom>
          <a:solidFill>
            <a:srgbClr val="1F4E78"/>
          </a:solidFill>
          <a:ln w="12700">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a:solidFill>
                  <a:schemeClr val="bg1"/>
                </a:solidFill>
              </a:rPr>
              <a:t>HOME</a:t>
            </a:r>
          </a:p>
        </xdr:txBody>
      </xdr:sp>
      <xdr:sp macro="[0]!TBDATA_Click" textlink="">
        <xdr:nvSpPr>
          <xdr:cNvPr id="5" name="TB.DATA">
            <a:extLst>
              <a:ext uri="{FF2B5EF4-FFF2-40B4-BE49-F238E27FC236}">
                <a16:creationId xmlns:a16="http://schemas.microsoft.com/office/drawing/2014/main" id="{837C7E5A-3E25-4081-99E9-BA84CED315A8}"/>
              </a:ext>
            </a:extLst>
          </xdr:cNvPr>
          <xdr:cNvSpPr/>
        </xdr:nvSpPr>
        <xdr:spPr>
          <a:xfrm>
            <a:off x="168090" y="1143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DATA</a:t>
            </a:r>
          </a:p>
        </xdr:txBody>
      </xdr:sp>
      <xdr:sp macro="[0]!TBHITUNGVOLUME_Click" textlink="">
        <xdr:nvSpPr>
          <xdr:cNvPr id="6" name="TB.HITUNGVOLUME">
            <a:extLst>
              <a:ext uri="{FF2B5EF4-FFF2-40B4-BE49-F238E27FC236}">
                <a16:creationId xmlns:a16="http://schemas.microsoft.com/office/drawing/2014/main" id="{18B1A498-8449-43A8-9906-2CF2F11FDC95}"/>
              </a:ext>
            </a:extLst>
          </xdr:cNvPr>
          <xdr:cNvSpPr/>
        </xdr:nvSpPr>
        <xdr:spPr>
          <a:xfrm>
            <a:off x="168090" y="1524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VOLUME</a:t>
            </a:r>
          </a:p>
        </xdr:txBody>
      </xdr:sp>
      <xdr:sp macro="[0]!TBHITUNGRAB_Click" textlink="">
        <xdr:nvSpPr>
          <xdr:cNvPr id="7" name="TB.HITUNGRAB">
            <a:extLst>
              <a:ext uri="{FF2B5EF4-FFF2-40B4-BE49-F238E27FC236}">
                <a16:creationId xmlns:a16="http://schemas.microsoft.com/office/drawing/2014/main" id="{0E65EBB1-AB3F-42B4-97A8-F0E39505AB31}"/>
              </a:ext>
            </a:extLst>
          </xdr:cNvPr>
          <xdr:cNvSpPr/>
        </xdr:nvSpPr>
        <xdr:spPr>
          <a:xfrm>
            <a:off x="168090" y="1905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HITUNG RAB</a:t>
            </a:r>
          </a:p>
        </xdr:txBody>
      </xdr:sp>
      <xdr:sp macro="[0]!TBREKAPITULASI_Click" textlink="">
        <xdr:nvSpPr>
          <xdr:cNvPr id="8" name="TB.REKAPITULASI">
            <a:extLst>
              <a:ext uri="{FF2B5EF4-FFF2-40B4-BE49-F238E27FC236}">
                <a16:creationId xmlns:a16="http://schemas.microsoft.com/office/drawing/2014/main" id="{B99DBBF6-3EE0-47BB-A4F5-0E8281583E8C}"/>
              </a:ext>
            </a:extLst>
          </xdr:cNvPr>
          <xdr:cNvSpPr/>
        </xdr:nvSpPr>
        <xdr:spPr>
          <a:xfrm>
            <a:off x="168090" y="2286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REKAPITULASI</a:t>
            </a:r>
          </a:p>
        </xdr:txBody>
      </xdr:sp>
      <xdr:sp macro="[0]!TBDOKUMEN_Click" textlink="">
        <xdr:nvSpPr>
          <xdr:cNvPr id="9" name="TB.DOKUMEN">
            <a:extLst>
              <a:ext uri="{FF2B5EF4-FFF2-40B4-BE49-F238E27FC236}">
                <a16:creationId xmlns:a16="http://schemas.microsoft.com/office/drawing/2014/main" id="{D1F768A0-0B5F-4061-B041-DCB09F6166F1}"/>
              </a:ext>
            </a:extLst>
          </xdr:cNvPr>
          <xdr:cNvSpPr/>
        </xdr:nvSpPr>
        <xdr:spPr>
          <a:xfrm>
            <a:off x="168090" y="2667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a:t>DOKUMEN</a:t>
            </a:r>
          </a:p>
        </xdr:txBody>
      </xdr:sp>
      <xdr:sp macro="[0]!TBPANDUAN_Click" textlink="">
        <xdr:nvSpPr>
          <xdr:cNvPr id="10" name="TB.PANDUAN">
            <a:extLst>
              <a:ext uri="{FF2B5EF4-FFF2-40B4-BE49-F238E27FC236}">
                <a16:creationId xmlns:a16="http://schemas.microsoft.com/office/drawing/2014/main" id="{DB971D09-78FD-4F95-BCFC-C1B28A36EA9F}"/>
              </a:ext>
            </a:extLst>
          </xdr:cNvPr>
          <xdr:cNvSpPr/>
        </xdr:nvSpPr>
        <xdr:spPr>
          <a:xfrm>
            <a:off x="168090" y="3048000"/>
            <a:ext cx="1818369" cy="274320"/>
          </a:xfrm>
          <a:prstGeom prst="rect">
            <a:avLst/>
          </a:prstGeom>
          <a:solidFill>
            <a:srgbClr val="1F4E78"/>
          </a:solidFill>
          <a:ln w="3175">
            <a:solidFill>
              <a:srgbClr val="34699A"/>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rgbClr val="FFC000"/>
                </a:solidFill>
              </a:rPr>
              <a:t>PANDUAN</a:t>
            </a:r>
          </a:p>
        </xdr:txBody>
      </xdr:sp>
    </xdr:grpSp>
    <xdr:clientData/>
  </xdr:twoCellAnchor>
  <xdr:twoCellAnchor editAs="oneCell">
    <xdr:from>
      <xdr:col>3</xdr:col>
      <xdr:colOff>177796</xdr:colOff>
      <xdr:row>3</xdr:row>
      <xdr:rowOff>143933</xdr:rowOff>
    </xdr:from>
    <xdr:to>
      <xdr:col>14</xdr:col>
      <xdr:colOff>135462</xdr:colOff>
      <xdr:row>29</xdr:row>
      <xdr:rowOff>38099</xdr:rowOff>
    </xdr:to>
    <xdr:pic>
      <xdr:nvPicPr>
        <xdr:cNvPr id="12" name="Picture 11">
          <a:extLst>
            <a:ext uri="{FF2B5EF4-FFF2-40B4-BE49-F238E27FC236}">
              <a16:creationId xmlns:a16="http://schemas.microsoft.com/office/drawing/2014/main" id="{04766D54-E9C6-4C1F-8DD8-A17B9C3387B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396" y="745066"/>
          <a:ext cx="6316133" cy="4737100"/>
        </a:xfrm>
        <a:prstGeom prst="rect">
          <a:avLst/>
        </a:prstGeom>
      </xdr:spPr>
    </xdr:pic>
    <xdr:clientData/>
  </xdr:twoCellAnchor>
  <xdr:twoCellAnchor editAs="oneCell">
    <xdr:from>
      <xdr:col>4</xdr:col>
      <xdr:colOff>5854</xdr:colOff>
      <xdr:row>28</xdr:row>
      <xdr:rowOff>25401</xdr:rowOff>
    </xdr:from>
    <xdr:to>
      <xdr:col>14</xdr:col>
      <xdr:colOff>78631</xdr:colOff>
      <xdr:row>81</xdr:row>
      <xdr:rowOff>32534</xdr:rowOff>
    </xdr:to>
    <xdr:pic>
      <xdr:nvPicPr>
        <xdr:cNvPr id="13" name="Picture 12">
          <a:extLst>
            <a:ext uri="{FF2B5EF4-FFF2-40B4-BE49-F238E27FC236}">
              <a16:creationId xmlns:a16="http://schemas.microsoft.com/office/drawing/2014/main" id="{FDE84349-536C-49C8-82A8-995159E15E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528921" y="5283201"/>
          <a:ext cx="6168777" cy="98792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KERJA\PRODUK%20DIGITAL\RAB-Master\RAB\Master_RAB_.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sheetName val="INFO"/>
      <sheetName val="hit vol"/>
      <sheetName val="dftr harga"/>
      <sheetName val="vol pek"/>
      <sheetName val="hrg. sat pek"/>
      <sheetName val="RAB"/>
      <sheetName val="Rekapitulasi"/>
      <sheetName val="Vol. Material Kes"/>
      <sheetName val="Kurva S"/>
      <sheetName val="prhit tulangan"/>
      <sheetName val="Prtngn Pkrja"/>
      <sheetName val="1"/>
      <sheetName val="2"/>
      <sheetName val="3"/>
      <sheetName val="4"/>
      <sheetName val="6"/>
      <sheetName val="7"/>
      <sheetName val="8"/>
      <sheetName val="Sheet1"/>
    </sheetNames>
    <sheetDataSet>
      <sheetData sheetId="0" refreshError="1"/>
      <sheetData sheetId="1" refreshError="1"/>
      <sheetData sheetId="2" refreshError="1"/>
      <sheetData sheetId="3" refreshError="1"/>
      <sheetData sheetId="4">
        <row r="102">
          <cell r="C102">
            <v>0</v>
          </cell>
        </row>
        <row r="106">
          <cell r="C106">
            <v>0</v>
          </cell>
        </row>
        <row r="139">
          <cell r="C139">
            <v>0</v>
          </cell>
        </row>
      </sheetData>
      <sheetData sheetId="5">
        <row r="44">
          <cell r="B44">
            <v>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5.bin"/><Relationship Id="rId1" Type="http://schemas.openxmlformats.org/officeDocument/2006/relationships/hyperlink" Target="mailto:indonesiakonstruksi@gmail.com" TargetMode="Externa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9.xml"/><Relationship Id="rId1" Type="http://schemas.openxmlformats.org/officeDocument/2006/relationships/printerSettings" Target="../printerSettings/printerSettings16.bin"/><Relationship Id="rId4" Type="http://schemas.openxmlformats.org/officeDocument/2006/relationships/comments" Target="../comments3.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13402-53E2-4FB4-9BCE-BFAD9062770B}">
  <sheetPr codeName="Sheet1">
    <tabColor rgb="FFFFC000"/>
  </sheetPr>
  <dimension ref="A1:E21"/>
  <sheetViews>
    <sheetView showGridLines="0" showRowColHeaders="0" zoomScale="75" zoomScaleNormal="75" workbookViewId="0">
      <pane ySplit="3" topLeftCell="A4" activePane="bottomLeft" state="frozen"/>
      <selection pane="bottomLeft" activeCell="B26" sqref="B26"/>
    </sheetView>
  </sheetViews>
  <sheetFormatPr defaultRowHeight="14.4"/>
  <cols>
    <col min="1" max="3" width="10.77734375" style="612" customWidth="1"/>
    <col min="4" max="5" width="3.6640625" customWidth="1"/>
    <col min="11" max="11" width="2.6640625" customWidth="1"/>
    <col min="17" max="17" width="2.6640625" customWidth="1"/>
    <col min="23" max="23" width="2.6640625" customWidth="1"/>
  </cols>
  <sheetData>
    <row r="1" spans="5:5" s="612" customFormat="1"/>
    <row r="2" spans="5:5" s="612" customFormat="1" ht="17.399999999999999">
      <c r="E2" s="937" t="s">
        <v>2391</v>
      </c>
    </row>
    <row r="3" spans="5:5" s="612" customFormat="1"/>
    <row r="5" spans="5:5">
      <c r="E5" s="167"/>
    </row>
    <row r="21" spans="1:3">
      <c r="A21" s="1096" t="s">
        <v>2381</v>
      </c>
      <c r="B21" s="1096"/>
      <c r="C21" s="1096"/>
    </row>
  </sheetData>
  <mergeCells count="1">
    <mergeCell ref="A21:C2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90E17-085A-4A4F-8182-03D9ED186EE0}">
  <sheetPr codeName="Sheet2">
    <tabColor rgb="FFFFC000"/>
  </sheetPr>
  <dimension ref="A1:E66"/>
  <sheetViews>
    <sheetView showGridLines="0" showRowColHeaders="0" tabSelected="1" zoomScale="75" zoomScaleNormal="75" workbookViewId="0">
      <pane xSplit="3" ySplit="3" topLeftCell="D4" activePane="bottomRight" state="frozen"/>
      <selection pane="topRight" activeCell="D1" sqref="D1"/>
      <selection pane="bottomLeft" activeCell="A4" sqref="A4"/>
      <selection pane="bottomRight" activeCell="T5" sqref="T5"/>
    </sheetView>
  </sheetViews>
  <sheetFormatPr defaultRowHeight="14.4"/>
  <cols>
    <col min="1" max="3" width="10.77734375" style="612" customWidth="1"/>
    <col min="4" max="4" width="4.6640625" customWidth="1"/>
  </cols>
  <sheetData>
    <row r="1" spans="4:5" s="612" customFormat="1"/>
    <row r="2" spans="4:5" s="612" customFormat="1" ht="17.399999999999999">
      <c r="D2" s="937"/>
      <c r="E2" s="937" t="s">
        <v>2382</v>
      </c>
    </row>
    <row r="3" spans="4:5" s="612" customFormat="1"/>
    <row r="5" spans="4:5">
      <c r="D5" s="167"/>
    </row>
    <row r="10" spans="4:5">
      <c r="E10" s="935"/>
    </row>
    <row r="11" spans="4:5">
      <c r="E11" s="936"/>
    </row>
    <row r="12" spans="4:5">
      <c r="E12" s="936"/>
    </row>
    <row r="13" spans="4:5">
      <c r="E13" s="936"/>
    </row>
    <row r="14" spans="4:5">
      <c r="E14" s="936"/>
    </row>
    <row r="16" spans="4:5">
      <c r="E16" s="935"/>
    </row>
    <row r="17" spans="1:5">
      <c r="E17" s="936"/>
    </row>
    <row r="18" spans="1:5">
      <c r="E18" s="936"/>
    </row>
    <row r="19" spans="1:5">
      <c r="E19" s="936"/>
    </row>
    <row r="20" spans="1:5">
      <c r="E20" s="936"/>
    </row>
    <row r="21" spans="1:5">
      <c r="E21" s="936"/>
    </row>
    <row r="22" spans="1:5">
      <c r="E22" s="936"/>
    </row>
    <row r="24" spans="1:5">
      <c r="D24" s="167"/>
    </row>
    <row r="28" spans="1:5">
      <c r="E28" s="935"/>
    </row>
    <row r="29" spans="1:5">
      <c r="A29" s="1096" t="s">
        <v>2381</v>
      </c>
      <c r="B29" s="1096"/>
      <c r="C29" s="1096"/>
      <c r="E29" s="936"/>
    </row>
    <row r="30" spans="1:5">
      <c r="E30" s="936"/>
    </row>
    <row r="31" spans="1:5">
      <c r="E31" s="936"/>
    </row>
    <row r="33" spans="4:5">
      <c r="D33" s="167"/>
    </row>
    <row r="37" spans="4:5">
      <c r="E37" s="935"/>
    </row>
    <row r="38" spans="4:5">
      <c r="E38" s="936"/>
    </row>
    <row r="39" spans="4:5">
      <c r="E39" s="936"/>
    </row>
    <row r="40" spans="4:5">
      <c r="E40" s="936"/>
    </row>
    <row r="41" spans="4:5">
      <c r="E41" s="936"/>
    </row>
    <row r="42" spans="4:5">
      <c r="E42" s="936"/>
    </row>
    <row r="43" spans="4:5">
      <c r="E43" s="936"/>
    </row>
    <row r="45" spans="4:5">
      <c r="E45" s="935"/>
    </row>
    <row r="46" spans="4:5">
      <c r="E46" s="936"/>
    </row>
    <row r="47" spans="4:5">
      <c r="E47" s="936"/>
    </row>
    <row r="48" spans="4:5">
      <c r="E48" s="936"/>
    </row>
    <row r="50" spans="4:5">
      <c r="D50" s="167"/>
    </row>
    <row r="55" spans="4:5">
      <c r="E55" s="935"/>
    </row>
    <row r="56" spans="4:5">
      <c r="E56" s="936"/>
    </row>
    <row r="57" spans="4:5">
      <c r="E57" s="936"/>
    </row>
    <row r="58" spans="4:5">
      <c r="E58" s="936"/>
    </row>
    <row r="59" spans="4:5">
      <c r="E59" s="936"/>
    </row>
    <row r="61" spans="4:5">
      <c r="E61" s="935"/>
    </row>
    <row r="62" spans="4:5">
      <c r="E62" s="936"/>
    </row>
    <row r="63" spans="4:5">
      <c r="E63" s="936"/>
    </row>
    <row r="64" spans="4:5">
      <c r="E64" s="936"/>
    </row>
    <row r="65" spans="5:5">
      <c r="E65" s="936"/>
    </row>
    <row r="66" spans="5:5">
      <c r="E66" s="936"/>
    </row>
  </sheetData>
  <mergeCells count="1">
    <mergeCell ref="A29:C2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2C0D-CAAF-417E-8186-CB639256CEC4}">
  <sheetPr codeName="Sheet6">
    <tabColor rgb="FF1F4E78"/>
  </sheetPr>
  <dimension ref="A1:M8068"/>
  <sheetViews>
    <sheetView showGridLines="0" showRowColHeaders="0" topLeftCell="A1642" zoomScale="75" zoomScaleNormal="75" workbookViewId="0">
      <selection activeCell="H25" sqref="H25"/>
    </sheetView>
  </sheetViews>
  <sheetFormatPr defaultColWidth="9.21875" defaultRowHeight="15" customHeight="1"/>
  <cols>
    <col min="1" max="3" width="10.77734375" style="618" customWidth="1"/>
    <col min="4" max="4" width="3.6640625" style="560" customWidth="1"/>
    <col min="5" max="5" width="10.77734375" style="297" customWidth="1"/>
    <col min="6" max="6" width="5.44140625" style="295" customWidth="1"/>
    <col min="7" max="7" width="36.77734375" style="295" customWidth="1"/>
    <col min="8" max="8" width="16" style="296" customWidth="1"/>
    <col min="9" max="9" width="9.21875" style="296"/>
    <col min="10" max="10" width="10.21875" style="297" customWidth="1"/>
    <col min="11" max="11" width="18.44140625" style="295" customWidth="1"/>
    <col min="12" max="12" width="19.44140625" style="295" customWidth="1"/>
    <col min="13" max="13" width="16.21875" style="295" bestFit="1" customWidth="1"/>
    <col min="14" max="16384" width="9.21875" style="293"/>
  </cols>
  <sheetData>
    <row r="1" spans="4:13" s="618" customFormat="1" ht="15" customHeight="1">
      <c r="D1" s="620"/>
      <c r="E1" s="621"/>
      <c r="H1" s="622"/>
      <c r="I1" s="622"/>
      <c r="J1" s="621"/>
    </row>
    <row r="2" spans="4:13" s="618" customFormat="1" ht="15" customHeight="1">
      <c r="D2" s="620"/>
      <c r="E2" s="937" t="s">
        <v>2389</v>
      </c>
      <c r="H2" s="622"/>
      <c r="I2" s="622"/>
      <c r="J2" s="621"/>
    </row>
    <row r="3" spans="4:13" s="618" customFormat="1" ht="15" customHeight="1">
      <c r="D3" s="620"/>
      <c r="E3" s="621"/>
      <c r="H3" s="622"/>
      <c r="I3" s="622"/>
      <c r="J3" s="621"/>
    </row>
    <row r="4" spans="4:13" ht="15" customHeight="1">
      <c r="D4" s="357"/>
      <c r="E4" s="357"/>
      <c r="F4" s="1097" t="s">
        <v>2086</v>
      </c>
      <c r="G4" s="1097"/>
      <c r="H4" s="1097"/>
      <c r="I4" s="1097"/>
      <c r="J4" s="1097"/>
      <c r="K4" s="1097"/>
      <c r="L4" s="1097"/>
      <c r="M4" s="357"/>
    </row>
    <row r="5" spans="4:13" ht="15" customHeight="1">
      <c r="D5" s="357"/>
      <c r="E5" s="357"/>
      <c r="F5" s="1097"/>
      <c r="G5" s="1097"/>
      <c r="H5" s="1097"/>
      <c r="I5" s="1097"/>
      <c r="J5" s="1097"/>
      <c r="K5" s="1097"/>
      <c r="L5" s="1097"/>
      <c r="M5" s="357"/>
    </row>
    <row r="6" spans="4:13" ht="15" customHeight="1">
      <c r="F6" s="1097"/>
      <c r="G6" s="1097"/>
      <c r="H6" s="1097"/>
      <c r="I6" s="1097"/>
      <c r="J6" s="1097"/>
      <c r="K6" s="1097"/>
      <c r="L6" s="1097"/>
    </row>
    <row r="7" spans="4:13" ht="15" customHeight="1">
      <c r="D7" s="561" t="s">
        <v>158</v>
      </c>
      <c r="E7" s="294" t="s">
        <v>159</v>
      </c>
    </row>
    <row r="8" spans="4:13" ht="15" customHeight="1" thickBot="1">
      <c r="E8" s="297" t="s">
        <v>160</v>
      </c>
      <c r="F8" s="298" t="s">
        <v>161</v>
      </c>
      <c r="M8" s="299">
        <f>L29</f>
        <v>698740</v>
      </c>
    </row>
    <row r="9" spans="4:13" ht="15" customHeight="1" thickBot="1">
      <c r="E9" s="297" t="s">
        <v>160</v>
      </c>
      <c r="F9" s="601" t="s">
        <v>136</v>
      </c>
      <c r="G9" s="602" t="s">
        <v>162</v>
      </c>
      <c r="H9" s="603" t="s">
        <v>163</v>
      </c>
      <c r="I9" s="603" t="s">
        <v>138</v>
      </c>
      <c r="J9" s="604" t="s">
        <v>164</v>
      </c>
      <c r="K9" s="602" t="s">
        <v>165</v>
      </c>
      <c r="L9" s="605" t="s">
        <v>166</v>
      </c>
    </row>
    <row r="10" spans="4:13" ht="15" customHeight="1">
      <c r="E10" s="297" t="s">
        <v>160</v>
      </c>
      <c r="F10" s="300" t="s">
        <v>167</v>
      </c>
      <c r="G10" s="301" t="s">
        <v>168</v>
      </c>
      <c r="H10" s="302"/>
      <c r="I10" s="302"/>
      <c r="J10" s="303"/>
      <c r="K10" s="304"/>
      <c r="L10" s="305"/>
    </row>
    <row r="11" spans="4:13" ht="15" customHeight="1">
      <c r="E11" s="297" t="s">
        <v>160</v>
      </c>
      <c r="F11" s="306"/>
      <c r="G11" s="301" t="s">
        <v>169</v>
      </c>
      <c r="H11" s="307" t="s">
        <v>170</v>
      </c>
      <c r="I11" s="307" t="s">
        <v>171</v>
      </c>
      <c r="J11" s="308">
        <v>0.4</v>
      </c>
      <c r="K11" s="309">
        <f>VLOOKUP(G11,Upah,8,FALSE)</f>
        <v>125000</v>
      </c>
      <c r="L11" s="310">
        <f>J11*K11</f>
        <v>50000</v>
      </c>
    </row>
    <row r="12" spans="4:13" ht="15" customHeight="1">
      <c r="E12" s="297" t="s">
        <v>160</v>
      </c>
      <c r="F12" s="306"/>
      <c r="G12" s="301" t="s">
        <v>172</v>
      </c>
      <c r="H12" s="307" t="s">
        <v>173</v>
      </c>
      <c r="I12" s="307" t="s">
        <v>171</v>
      </c>
      <c r="J12" s="308">
        <v>0.2</v>
      </c>
      <c r="K12" s="309">
        <f>VLOOKUP(G12,Upah,8,FALSE)</f>
        <v>150000</v>
      </c>
      <c r="L12" s="310">
        <f>J12*K12</f>
        <v>30000</v>
      </c>
    </row>
    <row r="13" spans="4:13" ht="15" customHeight="1">
      <c r="E13" s="297" t="s">
        <v>160</v>
      </c>
      <c r="F13" s="306"/>
      <c r="G13" s="301" t="s">
        <v>174</v>
      </c>
      <c r="H13" s="307" t="s">
        <v>175</v>
      </c>
      <c r="I13" s="307" t="s">
        <v>171</v>
      </c>
      <c r="J13" s="308">
        <v>0.02</v>
      </c>
      <c r="K13" s="309">
        <f>VLOOKUP(G13,Upah,8,FALSE)</f>
        <v>165000</v>
      </c>
      <c r="L13" s="310">
        <f>J13*K13</f>
        <v>3300</v>
      </c>
    </row>
    <row r="14" spans="4:13" ht="15" customHeight="1" thickBot="1">
      <c r="E14" s="297" t="s">
        <v>160</v>
      </c>
      <c r="F14" s="311"/>
      <c r="G14" s="312" t="s">
        <v>176</v>
      </c>
      <c r="H14" s="313" t="s">
        <v>177</v>
      </c>
      <c r="I14" s="313" t="s">
        <v>171</v>
      </c>
      <c r="J14" s="314">
        <v>0.02</v>
      </c>
      <c r="K14" s="315">
        <f>VLOOKUP(G14,Upah,8,FALSE)</f>
        <v>170000</v>
      </c>
      <c r="L14" s="310">
        <f>J14*K14</f>
        <v>3400</v>
      </c>
    </row>
    <row r="15" spans="4:13" ht="15" customHeight="1" thickBot="1">
      <c r="E15" s="297" t="s">
        <v>160</v>
      </c>
      <c r="F15" s="606"/>
      <c r="G15" s="607"/>
      <c r="H15" s="608"/>
      <c r="I15" s="608"/>
      <c r="J15" s="609" t="s">
        <v>178</v>
      </c>
      <c r="K15" s="610"/>
      <c r="L15" s="611">
        <f>SUM(L11:L14)</f>
        <v>86700</v>
      </c>
    </row>
    <row r="16" spans="4:13" ht="15" customHeight="1">
      <c r="E16" s="297" t="s">
        <v>160</v>
      </c>
      <c r="F16" s="322" t="s">
        <v>179</v>
      </c>
      <c r="G16" s="323" t="s">
        <v>180</v>
      </c>
      <c r="H16" s="324"/>
      <c r="I16" s="324"/>
      <c r="J16" s="325"/>
      <c r="K16" s="326"/>
      <c r="L16" s="327"/>
    </row>
    <row r="17" spans="1:13" ht="15" customHeight="1">
      <c r="E17" s="297" t="s">
        <v>160</v>
      </c>
      <c r="F17" s="306"/>
      <c r="G17" s="301" t="s">
        <v>181</v>
      </c>
      <c r="H17" s="302"/>
      <c r="I17" s="307" t="s">
        <v>182</v>
      </c>
      <c r="J17" s="308">
        <v>1.25</v>
      </c>
      <c r="K17" s="328">
        <f t="shared" ref="K17:K23" si="0">VLOOKUP(G17,Bahan,6,FALSE)</f>
        <v>31250</v>
      </c>
      <c r="L17" s="310">
        <f t="shared" ref="L17:L23" si="1">J17*K17</f>
        <v>39062.5</v>
      </c>
    </row>
    <row r="18" spans="1:13" ht="15" customHeight="1">
      <c r="E18" s="297" t="s">
        <v>160</v>
      </c>
      <c r="F18" s="306"/>
      <c r="G18" s="301" t="s">
        <v>183</v>
      </c>
      <c r="H18" s="302"/>
      <c r="I18" s="307" t="s">
        <v>45</v>
      </c>
      <c r="J18" s="308">
        <v>5</v>
      </c>
      <c r="K18" s="328">
        <f t="shared" si="0"/>
        <v>1880</v>
      </c>
      <c r="L18" s="310">
        <f t="shared" si="1"/>
        <v>9400</v>
      </c>
    </row>
    <row r="19" spans="1:13" ht="15" customHeight="1">
      <c r="E19" s="297" t="s">
        <v>160</v>
      </c>
      <c r="F19" s="306"/>
      <c r="G19" s="301" t="s">
        <v>1700</v>
      </c>
      <c r="H19" s="302"/>
      <c r="I19" s="307" t="s">
        <v>44</v>
      </c>
      <c r="J19" s="308">
        <v>5.0000000000000001E-3</v>
      </c>
      <c r="K19" s="328">
        <f t="shared" si="0"/>
        <v>350000</v>
      </c>
      <c r="L19" s="310">
        <f t="shared" si="1"/>
        <v>1750</v>
      </c>
    </row>
    <row r="20" spans="1:13" ht="15" customHeight="1">
      <c r="E20" s="297" t="s">
        <v>160</v>
      </c>
      <c r="F20" s="306"/>
      <c r="G20" s="301" t="s">
        <v>184</v>
      </c>
      <c r="H20" s="302"/>
      <c r="I20" s="307" t="s">
        <v>44</v>
      </c>
      <c r="J20" s="308">
        <v>8.9999999999999993E-3</v>
      </c>
      <c r="K20" s="328">
        <f t="shared" si="0"/>
        <v>600000</v>
      </c>
      <c r="L20" s="310">
        <f t="shared" si="1"/>
        <v>5400</v>
      </c>
    </row>
    <row r="21" spans="1:13" ht="15" customHeight="1">
      <c r="E21" s="297" t="s">
        <v>160</v>
      </c>
      <c r="F21" s="306"/>
      <c r="G21" s="301" t="s">
        <v>185</v>
      </c>
      <c r="H21" s="302"/>
      <c r="I21" s="307" t="s">
        <v>44</v>
      </c>
      <c r="J21" s="308">
        <v>7.1999999999999995E-2</v>
      </c>
      <c r="K21" s="328">
        <f t="shared" si="0"/>
        <v>6765000</v>
      </c>
      <c r="L21" s="310">
        <f t="shared" si="1"/>
        <v>487079.99999999994</v>
      </c>
    </row>
    <row r="22" spans="1:13" ht="15" customHeight="1">
      <c r="E22" s="297" t="s">
        <v>160</v>
      </c>
      <c r="F22" s="306"/>
      <c r="G22" s="301" t="s">
        <v>186</v>
      </c>
      <c r="H22" s="302"/>
      <c r="I22" s="307" t="s">
        <v>45</v>
      </c>
      <c r="J22" s="308">
        <v>0.06</v>
      </c>
      <c r="K22" s="328">
        <f t="shared" si="0"/>
        <v>27970</v>
      </c>
      <c r="L22" s="310">
        <f t="shared" si="1"/>
        <v>1678.2</v>
      </c>
    </row>
    <row r="23" spans="1:13" ht="15" customHeight="1" thickBot="1">
      <c r="E23" s="297" t="s">
        <v>160</v>
      </c>
      <c r="F23" s="311"/>
      <c r="G23" s="312" t="s">
        <v>187</v>
      </c>
      <c r="H23" s="329"/>
      <c r="I23" s="313" t="s">
        <v>188</v>
      </c>
      <c r="J23" s="314">
        <v>0.4</v>
      </c>
      <c r="K23" s="328">
        <f t="shared" si="0"/>
        <v>10370</v>
      </c>
      <c r="L23" s="330">
        <f t="shared" si="1"/>
        <v>4148</v>
      </c>
    </row>
    <row r="24" spans="1:13" ht="15" customHeight="1" thickBot="1">
      <c r="E24" s="297" t="s">
        <v>160</v>
      </c>
      <c r="F24" s="606"/>
      <c r="G24" s="607"/>
      <c r="H24" s="608"/>
      <c r="I24" s="608"/>
      <c r="J24" s="609" t="s">
        <v>189</v>
      </c>
      <c r="K24" s="610"/>
      <c r="L24" s="611">
        <f>SUM(L16:L23)</f>
        <v>548518.69999999995</v>
      </c>
    </row>
    <row r="25" spans="1:13" ht="15" customHeight="1" thickBot="1">
      <c r="E25" s="297" t="s">
        <v>160</v>
      </c>
      <c r="F25" s="331" t="s">
        <v>190</v>
      </c>
      <c r="G25" s="332" t="s">
        <v>191</v>
      </c>
      <c r="H25" s="333"/>
      <c r="I25" s="333"/>
      <c r="J25" s="334"/>
      <c r="K25" s="335"/>
      <c r="L25" s="336"/>
    </row>
    <row r="26" spans="1:13" ht="15" customHeight="1" thickBot="1">
      <c r="E26" s="297" t="s">
        <v>160</v>
      </c>
      <c r="F26" s="316"/>
      <c r="G26" s="317"/>
      <c r="H26" s="318"/>
      <c r="I26" s="318"/>
      <c r="J26" s="319" t="s">
        <v>192</v>
      </c>
      <c r="K26" s="320"/>
      <c r="L26" s="321">
        <f>L25</f>
        <v>0</v>
      </c>
    </row>
    <row r="27" spans="1:13" ht="15" customHeight="1">
      <c r="E27" s="297" t="s">
        <v>160</v>
      </c>
      <c r="F27" s="322" t="s">
        <v>193</v>
      </c>
      <c r="G27" s="323" t="s">
        <v>194</v>
      </c>
      <c r="H27" s="324"/>
      <c r="I27" s="324"/>
      <c r="J27" s="325"/>
      <c r="K27" s="326"/>
      <c r="L27" s="327">
        <f>SUM(L11:L26)/2</f>
        <v>635218.69999999995</v>
      </c>
    </row>
    <row r="28" spans="1:13" ht="15" customHeight="1" thickBot="1">
      <c r="E28" s="297" t="s">
        <v>160</v>
      </c>
      <c r="F28" s="337" t="s">
        <v>195</v>
      </c>
      <c r="G28" s="312" t="s">
        <v>196</v>
      </c>
      <c r="H28" s="329"/>
      <c r="I28" s="329"/>
      <c r="J28" s="338">
        <v>0.1</v>
      </c>
      <c r="K28" s="339"/>
      <c r="L28" s="330">
        <f>J28*L27</f>
        <v>63521.869999999995</v>
      </c>
    </row>
    <row r="29" spans="1:13" ht="15" customHeight="1" thickBot="1">
      <c r="A29" s="1096" t="s">
        <v>2381</v>
      </c>
      <c r="B29" s="1096"/>
      <c r="C29" s="1096"/>
      <c r="E29" s="297" t="s">
        <v>160</v>
      </c>
      <c r="F29" s="340" t="s">
        <v>197</v>
      </c>
      <c r="G29" s="341" t="s">
        <v>198</v>
      </c>
      <c r="H29" s="318"/>
      <c r="I29" s="318"/>
      <c r="J29" s="342"/>
      <c r="K29" s="320">
        <v>0</v>
      </c>
      <c r="L29" s="870">
        <f>ROUNDDOWN(L27+L28,0)</f>
        <v>698740</v>
      </c>
    </row>
    <row r="30" spans="1:13" ht="15" customHeight="1">
      <c r="F30" s="298"/>
      <c r="G30" s="298"/>
      <c r="J30" s="343"/>
    </row>
    <row r="31" spans="1:13" ht="15" customHeight="1" thickBot="1">
      <c r="E31" s="297" t="s">
        <v>199</v>
      </c>
      <c r="F31" s="298" t="s">
        <v>200</v>
      </c>
      <c r="J31" s="343"/>
      <c r="M31" s="299">
        <f>L53</f>
        <v>795702</v>
      </c>
    </row>
    <row r="32" spans="1:13" ht="15" customHeight="1" thickBot="1">
      <c r="E32" s="297" t="s">
        <v>199</v>
      </c>
      <c r="F32" s="340" t="s">
        <v>136</v>
      </c>
      <c r="G32" s="341" t="s">
        <v>162</v>
      </c>
      <c r="H32" s="352" t="s">
        <v>163</v>
      </c>
      <c r="I32" s="352" t="s">
        <v>138</v>
      </c>
      <c r="J32" s="353" t="s">
        <v>164</v>
      </c>
      <c r="K32" s="341" t="s">
        <v>165</v>
      </c>
      <c r="L32" s="354" t="s">
        <v>166</v>
      </c>
    </row>
    <row r="33" spans="5:12" ht="15" customHeight="1">
      <c r="E33" s="297" t="s">
        <v>199</v>
      </c>
      <c r="F33" s="344" t="s">
        <v>167</v>
      </c>
      <c r="G33" s="345" t="s">
        <v>168</v>
      </c>
      <c r="H33" s="346"/>
      <c r="I33" s="346"/>
      <c r="J33" s="347"/>
      <c r="K33" s="328">
        <v>0</v>
      </c>
      <c r="L33" s="310">
        <f>J33*K33</f>
        <v>0</v>
      </c>
    </row>
    <row r="34" spans="5:12" ht="15" customHeight="1">
      <c r="E34" s="297" t="s">
        <v>199</v>
      </c>
      <c r="F34" s="306"/>
      <c r="G34" s="301" t="s">
        <v>169</v>
      </c>
      <c r="H34" s="307" t="s">
        <v>170</v>
      </c>
      <c r="I34" s="307" t="s">
        <v>171</v>
      </c>
      <c r="J34" s="308">
        <v>0.2</v>
      </c>
      <c r="K34" s="309">
        <f>VLOOKUP(G34,Upah,8,FALSE)</f>
        <v>125000</v>
      </c>
      <c r="L34" s="310">
        <f>J34*K34</f>
        <v>25000</v>
      </c>
    </row>
    <row r="35" spans="5:12" ht="15" customHeight="1">
      <c r="E35" s="297" t="s">
        <v>199</v>
      </c>
      <c r="F35" s="306"/>
      <c r="G35" s="301" t="s">
        <v>172</v>
      </c>
      <c r="H35" s="307" t="s">
        <v>173</v>
      </c>
      <c r="I35" s="307" t="s">
        <v>171</v>
      </c>
      <c r="J35" s="308">
        <v>0.4</v>
      </c>
      <c r="K35" s="309">
        <f>VLOOKUP(G35,Upah,8,FALSE)</f>
        <v>150000</v>
      </c>
      <c r="L35" s="310">
        <f>J35*K35</f>
        <v>60000</v>
      </c>
    </row>
    <row r="36" spans="5:12" ht="15" customHeight="1">
      <c r="E36" s="297" t="s">
        <v>199</v>
      </c>
      <c r="F36" s="306"/>
      <c r="G36" s="301" t="s">
        <v>174</v>
      </c>
      <c r="H36" s="307" t="s">
        <v>175</v>
      </c>
      <c r="I36" s="307" t="s">
        <v>171</v>
      </c>
      <c r="J36" s="308">
        <v>0.02</v>
      </c>
      <c r="K36" s="309">
        <f>VLOOKUP(G36,Upah,8,FALSE)</f>
        <v>165000</v>
      </c>
      <c r="L36" s="310">
        <f>J36*K36</f>
        <v>3300</v>
      </c>
    </row>
    <row r="37" spans="5:12" ht="15" customHeight="1" thickBot="1">
      <c r="E37" s="297" t="s">
        <v>199</v>
      </c>
      <c r="F37" s="311"/>
      <c r="G37" s="312" t="s">
        <v>176</v>
      </c>
      <c r="H37" s="313" t="s">
        <v>177</v>
      </c>
      <c r="I37" s="313" t="s">
        <v>171</v>
      </c>
      <c r="J37" s="314">
        <v>0.02</v>
      </c>
      <c r="K37" s="309">
        <f>VLOOKUP(G37,Upah,8,FALSE)</f>
        <v>170000</v>
      </c>
      <c r="L37" s="330">
        <f>J37*K37</f>
        <v>3400</v>
      </c>
    </row>
    <row r="38" spans="5:12" ht="15" customHeight="1" thickBot="1">
      <c r="E38" s="297" t="s">
        <v>199</v>
      </c>
      <c r="F38" s="316"/>
      <c r="G38" s="317"/>
      <c r="H38" s="318"/>
      <c r="I38" s="318"/>
      <c r="J38" s="319" t="s">
        <v>178</v>
      </c>
      <c r="K38" s="320"/>
      <c r="L38" s="321">
        <f>SUM(L33:L37)</f>
        <v>91700</v>
      </c>
    </row>
    <row r="39" spans="5:12" ht="15" customHeight="1">
      <c r="E39" s="297" t="s">
        <v>199</v>
      </c>
      <c r="F39" s="322" t="s">
        <v>179</v>
      </c>
      <c r="G39" s="323" t="s">
        <v>180</v>
      </c>
      <c r="H39" s="324"/>
      <c r="I39" s="324"/>
      <c r="J39" s="325"/>
      <c r="K39" s="326"/>
      <c r="L39" s="327"/>
    </row>
    <row r="40" spans="5:12" ht="15" customHeight="1">
      <c r="E40" s="297" t="s">
        <v>199</v>
      </c>
      <c r="F40" s="306"/>
      <c r="G40" s="301" t="s">
        <v>181</v>
      </c>
      <c r="H40" s="302"/>
      <c r="I40" s="307" t="s">
        <v>182</v>
      </c>
      <c r="J40" s="308">
        <v>1.25</v>
      </c>
      <c r="K40" s="328">
        <f t="shared" ref="K40:K47" si="2">VLOOKUP(G40,Bahan,6,FALSE)</f>
        <v>31250</v>
      </c>
      <c r="L40" s="310">
        <f t="shared" ref="L40:L47" si="3">J40*K40</f>
        <v>39062.5</v>
      </c>
    </row>
    <row r="41" spans="5:12" ht="15" customHeight="1">
      <c r="E41" s="297" t="s">
        <v>199</v>
      </c>
      <c r="F41" s="306"/>
      <c r="G41" s="301" t="s">
        <v>183</v>
      </c>
      <c r="H41" s="302"/>
      <c r="I41" s="307" t="s">
        <v>45</v>
      </c>
      <c r="J41" s="308">
        <v>2.5</v>
      </c>
      <c r="K41" s="328">
        <f t="shared" si="2"/>
        <v>1880</v>
      </c>
      <c r="L41" s="310">
        <f t="shared" si="3"/>
        <v>4700</v>
      </c>
    </row>
    <row r="42" spans="5:12" ht="15" customHeight="1">
      <c r="E42" s="297" t="s">
        <v>199</v>
      </c>
      <c r="F42" s="306"/>
      <c r="G42" s="301" t="s">
        <v>201</v>
      </c>
      <c r="H42" s="302"/>
      <c r="I42" s="307" t="s">
        <v>202</v>
      </c>
      <c r="J42" s="308">
        <v>1.2</v>
      </c>
      <c r="K42" s="328">
        <f t="shared" si="2"/>
        <v>63500</v>
      </c>
      <c r="L42" s="310">
        <f t="shared" si="3"/>
        <v>76200</v>
      </c>
    </row>
    <row r="43" spans="5:12" ht="15" customHeight="1">
      <c r="E43" s="297" t="s">
        <v>199</v>
      </c>
      <c r="F43" s="306"/>
      <c r="G43" s="301" t="s">
        <v>1700</v>
      </c>
      <c r="H43" s="302"/>
      <c r="I43" s="307" t="s">
        <v>44</v>
      </c>
      <c r="J43" s="308">
        <v>5.0000000000000001E-3</v>
      </c>
      <c r="K43" s="328">
        <f t="shared" si="2"/>
        <v>350000</v>
      </c>
      <c r="L43" s="310">
        <f t="shared" si="3"/>
        <v>1750</v>
      </c>
    </row>
    <row r="44" spans="5:12" ht="15" customHeight="1">
      <c r="E44" s="297" t="s">
        <v>199</v>
      </c>
      <c r="F44" s="306"/>
      <c r="G44" s="301" t="s">
        <v>184</v>
      </c>
      <c r="H44" s="302"/>
      <c r="I44" s="307" t="s">
        <v>44</v>
      </c>
      <c r="J44" s="308">
        <v>8.9999999999999993E-3</v>
      </c>
      <c r="K44" s="328">
        <f t="shared" si="2"/>
        <v>600000</v>
      </c>
      <c r="L44" s="310">
        <f t="shared" si="3"/>
        <v>5400</v>
      </c>
    </row>
    <row r="45" spans="5:12" ht="15" customHeight="1">
      <c r="E45" s="297" t="s">
        <v>199</v>
      </c>
      <c r="F45" s="306"/>
      <c r="G45" s="301" t="s">
        <v>185</v>
      </c>
      <c r="H45" s="302"/>
      <c r="I45" s="307" t="s">
        <v>44</v>
      </c>
      <c r="J45" s="308">
        <v>7.1999999999999995E-2</v>
      </c>
      <c r="K45" s="328">
        <f t="shared" si="2"/>
        <v>6765000</v>
      </c>
      <c r="L45" s="310">
        <f t="shared" si="3"/>
        <v>487079.99999999994</v>
      </c>
    </row>
    <row r="46" spans="5:12" ht="15" customHeight="1">
      <c r="E46" s="297" t="s">
        <v>199</v>
      </c>
      <c r="F46" s="306"/>
      <c r="G46" s="301" t="s">
        <v>186</v>
      </c>
      <c r="H46" s="302"/>
      <c r="I46" s="307" t="s">
        <v>45</v>
      </c>
      <c r="J46" s="308">
        <v>0.06</v>
      </c>
      <c r="K46" s="328">
        <f t="shared" si="2"/>
        <v>27970</v>
      </c>
      <c r="L46" s="310">
        <f t="shared" si="3"/>
        <v>1678.2</v>
      </c>
    </row>
    <row r="47" spans="5:12" ht="15" customHeight="1" thickBot="1">
      <c r="E47" s="297" t="s">
        <v>199</v>
      </c>
      <c r="F47" s="311"/>
      <c r="G47" s="312" t="s">
        <v>203</v>
      </c>
      <c r="H47" s="329"/>
      <c r="I47" s="313" t="s">
        <v>188</v>
      </c>
      <c r="J47" s="314">
        <v>0.45</v>
      </c>
      <c r="K47" s="328">
        <f t="shared" si="2"/>
        <v>35100</v>
      </c>
      <c r="L47" s="330">
        <f t="shared" si="3"/>
        <v>15795</v>
      </c>
    </row>
    <row r="48" spans="5:12" ht="15" customHeight="1" thickBot="1">
      <c r="E48" s="297" t="s">
        <v>199</v>
      </c>
      <c r="F48" s="316"/>
      <c r="G48" s="317"/>
      <c r="H48" s="318"/>
      <c r="I48" s="318"/>
      <c r="J48" s="319" t="s">
        <v>189</v>
      </c>
      <c r="K48" s="320"/>
      <c r="L48" s="321">
        <f>SUM(L40:L47)</f>
        <v>631665.69999999995</v>
      </c>
    </row>
    <row r="49" spans="5:13" ht="15" customHeight="1" thickBot="1">
      <c r="E49" s="297" t="s">
        <v>199</v>
      </c>
      <c r="F49" s="331" t="s">
        <v>190</v>
      </c>
      <c r="G49" s="332" t="s">
        <v>191</v>
      </c>
      <c r="H49" s="333"/>
      <c r="I49" s="333"/>
      <c r="J49" s="334"/>
      <c r="K49" s="335">
        <v>0</v>
      </c>
      <c r="L49" s="336"/>
    </row>
    <row r="50" spans="5:13" ht="15" customHeight="1" thickBot="1">
      <c r="E50" s="297" t="s">
        <v>199</v>
      </c>
      <c r="F50" s="316"/>
      <c r="G50" s="317"/>
      <c r="H50" s="318"/>
      <c r="I50" s="318"/>
      <c r="J50" s="319" t="s">
        <v>192</v>
      </c>
      <c r="K50" s="320"/>
      <c r="L50" s="321">
        <f>L49</f>
        <v>0</v>
      </c>
    </row>
    <row r="51" spans="5:13" ht="15" customHeight="1">
      <c r="E51" s="297" t="s">
        <v>199</v>
      </c>
      <c r="F51" s="331" t="s">
        <v>193</v>
      </c>
      <c r="G51" s="332" t="s">
        <v>194</v>
      </c>
      <c r="H51" s="333"/>
      <c r="I51" s="333"/>
      <c r="J51" s="334"/>
      <c r="K51" s="335"/>
      <c r="L51" s="336">
        <f>SUM(L34:L50)/2</f>
        <v>723365.7</v>
      </c>
    </row>
    <row r="52" spans="5:13" ht="15" customHeight="1" thickBot="1">
      <c r="E52" s="297" t="s">
        <v>199</v>
      </c>
      <c r="F52" s="337" t="s">
        <v>195</v>
      </c>
      <c r="G52" s="312" t="s">
        <v>196</v>
      </c>
      <c r="H52" s="329"/>
      <c r="I52" s="329"/>
      <c r="J52" s="338">
        <v>0.1</v>
      </c>
      <c r="K52" s="339"/>
      <c r="L52" s="330">
        <f>J52*L51</f>
        <v>72336.569999999992</v>
      </c>
    </row>
    <row r="53" spans="5:13" ht="15" customHeight="1" thickBot="1">
      <c r="E53" s="297" t="s">
        <v>199</v>
      </c>
      <c r="F53" s="340" t="s">
        <v>197</v>
      </c>
      <c r="G53" s="341" t="s">
        <v>198</v>
      </c>
      <c r="H53" s="318"/>
      <c r="I53" s="318"/>
      <c r="J53" s="342"/>
      <c r="K53" s="320">
        <v>0</v>
      </c>
      <c r="L53" s="321">
        <f>ROUNDDOWN(L51+L52,0)</f>
        <v>795702</v>
      </c>
    </row>
    <row r="54" spans="5:13" ht="15" customHeight="1">
      <c r="F54" s="298"/>
      <c r="G54" s="298"/>
      <c r="J54" s="343"/>
    </row>
    <row r="55" spans="5:13" ht="15" customHeight="1" thickBot="1">
      <c r="E55" s="297" t="s">
        <v>204</v>
      </c>
      <c r="F55" s="298" t="s">
        <v>205</v>
      </c>
      <c r="J55" s="343"/>
      <c r="M55" s="299">
        <f>L75</f>
        <v>814561</v>
      </c>
    </row>
    <row r="56" spans="5:13" ht="15" customHeight="1" thickBot="1">
      <c r="E56" s="297" t="s">
        <v>204</v>
      </c>
      <c r="F56" s="340" t="s">
        <v>136</v>
      </c>
      <c r="G56" s="341" t="s">
        <v>162</v>
      </c>
      <c r="H56" s="352" t="s">
        <v>163</v>
      </c>
      <c r="I56" s="352" t="s">
        <v>138</v>
      </c>
      <c r="J56" s="353" t="s">
        <v>164</v>
      </c>
      <c r="K56" s="341" t="s">
        <v>165</v>
      </c>
      <c r="L56" s="354" t="s">
        <v>166</v>
      </c>
    </row>
    <row r="57" spans="5:13" ht="15" customHeight="1">
      <c r="E57" s="297" t="s">
        <v>204</v>
      </c>
      <c r="F57" s="344" t="s">
        <v>167</v>
      </c>
      <c r="G57" s="345" t="s">
        <v>168</v>
      </c>
      <c r="H57" s="346"/>
      <c r="I57" s="346"/>
      <c r="J57" s="347"/>
      <c r="K57" s="328">
        <v>0</v>
      </c>
      <c r="L57" s="310">
        <f>J57*K57</f>
        <v>0</v>
      </c>
    </row>
    <row r="58" spans="5:13" ht="15" customHeight="1">
      <c r="E58" s="297" t="s">
        <v>204</v>
      </c>
      <c r="F58" s="306"/>
      <c r="G58" s="301" t="s">
        <v>169</v>
      </c>
      <c r="H58" s="307" t="s">
        <v>170</v>
      </c>
      <c r="I58" s="307" t="s">
        <v>171</v>
      </c>
      <c r="J58" s="308">
        <v>0.2</v>
      </c>
      <c r="K58" s="309">
        <f>VLOOKUP(G58,Upah,8,FALSE)</f>
        <v>125000</v>
      </c>
      <c r="L58" s="310">
        <f>J58*K58</f>
        <v>25000</v>
      </c>
    </row>
    <row r="59" spans="5:13" ht="15" customHeight="1">
      <c r="E59" s="297" t="s">
        <v>204</v>
      </c>
      <c r="F59" s="306"/>
      <c r="G59" s="301" t="s">
        <v>172</v>
      </c>
      <c r="H59" s="307" t="s">
        <v>173</v>
      </c>
      <c r="I59" s="307" t="s">
        <v>171</v>
      </c>
      <c r="J59" s="308">
        <v>0.3</v>
      </c>
      <c r="K59" s="309">
        <f>VLOOKUP(G59,Upah,8,FALSE)</f>
        <v>150000</v>
      </c>
      <c r="L59" s="310">
        <f>J59*K59</f>
        <v>45000</v>
      </c>
    </row>
    <row r="60" spans="5:13" ht="15" customHeight="1">
      <c r="E60" s="297" t="s">
        <v>204</v>
      </c>
      <c r="F60" s="306"/>
      <c r="G60" s="301" t="s">
        <v>174</v>
      </c>
      <c r="H60" s="307" t="s">
        <v>175</v>
      </c>
      <c r="I60" s="307" t="s">
        <v>171</v>
      </c>
      <c r="J60" s="308">
        <v>0.02</v>
      </c>
      <c r="K60" s="309">
        <f>VLOOKUP(G60,Upah,8,FALSE)</f>
        <v>165000</v>
      </c>
      <c r="L60" s="310">
        <f>J60*K60</f>
        <v>3300</v>
      </c>
    </row>
    <row r="61" spans="5:13" ht="15" customHeight="1" thickBot="1">
      <c r="E61" s="297" t="s">
        <v>204</v>
      </c>
      <c r="F61" s="311"/>
      <c r="G61" s="312" t="s">
        <v>176</v>
      </c>
      <c r="H61" s="313" t="s">
        <v>177</v>
      </c>
      <c r="I61" s="313" t="s">
        <v>171</v>
      </c>
      <c r="J61" s="314">
        <v>0.02</v>
      </c>
      <c r="K61" s="309">
        <f>VLOOKUP(G61,Upah,8,FALSE)</f>
        <v>170000</v>
      </c>
      <c r="L61" s="310">
        <f>J61*K61</f>
        <v>3400</v>
      </c>
    </row>
    <row r="62" spans="5:13" ht="15" customHeight="1" thickBot="1">
      <c r="E62" s="297" t="s">
        <v>204</v>
      </c>
      <c r="F62" s="316"/>
      <c r="G62" s="317"/>
      <c r="H62" s="318"/>
      <c r="I62" s="318"/>
      <c r="J62" s="319" t="s">
        <v>178</v>
      </c>
      <c r="K62" s="320"/>
      <c r="L62" s="321">
        <f>SUM(L57:L61)</f>
        <v>76700</v>
      </c>
    </row>
    <row r="63" spans="5:13" ht="15" customHeight="1">
      <c r="E63" s="297" t="s">
        <v>204</v>
      </c>
      <c r="F63" s="322" t="s">
        <v>179</v>
      </c>
      <c r="G63" s="323" t="s">
        <v>180</v>
      </c>
      <c r="H63" s="324"/>
      <c r="I63" s="324"/>
      <c r="J63" s="325"/>
      <c r="K63" s="328">
        <v>0</v>
      </c>
      <c r="L63" s="310">
        <f t="shared" ref="L63:L69" si="4">J63*K63</f>
        <v>0</v>
      </c>
    </row>
    <row r="64" spans="5:13" ht="15" customHeight="1">
      <c r="E64" s="297" t="s">
        <v>204</v>
      </c>
      <c r="F64" s="306"/>
      <c r="G64" s="301" t="s">
        <v>181</v>
      </c>
      <c r="H64" s="302"/>
      <c r="I64" s="307" t="s">
        <v>182</v>
      </c>
      <c r="J64" s="308">
        <v>1</v>
      </c>
      <c r="K64" s="328">
        <f t="shared" ref="K64:K69" si="5">VLOOKUP(G64,Bahan,6,FALSE)</f>
        <v>31250</v>
      </c>
      <c r="L64" s="310">
        <f t="shared" si="4"/>
        <v>31250</v>
      </c>
    </row>
    <row r="65" spans="5:13" ht="15" customHeight="1">
      <c r="E65" s="297" t="s">
        <v>204</v>
      </c>
      <c r="F65" s="306"/>
      <c r="G65" s="301" t="s">
        <v>183</v>
      </c>
      <c r="H65" s="302"/>
      <c r="I65" s="307" t="s">
        <v>45</v>
      </c>
      <c r="J65" s="308">
        <v>2</v>
      </c>
      <c r="K65" s="328">
        <f t="shared" si="5"/>
        <v>1880</v>
      </c>
      <c r="L65" s="310">
        <f t="shared" si="4"/>
        <v>3760</v>
      </c>
    </row>
    <row r="66" spans="5:13" ht="15" customHeight="1">
      <c r="E66" s="297" t="s">
        <v>204</v>
      </c>
      <c r="F66" s="306"/>
      <c r="G66" s="301" t="s">
        <v>206</v>
      </c>
      <c r="H66" s="302"/>
      <c r="I66" s="307" t="s">
        <v>207</v>
      </c>
      <c r="J66" s="308">
        <v>25</v>
      </c>
      <c r="K66" s="328">
        <f t="shared" si="5"/>
        <v>24800</v>
      </c>
      <c r="L66" s="310">
        <f t="shared" si="4"/>
        <v>620000</v>
      </c>
    </row>
    <row r="67" spans="5:13" ht="15" customHeight="1">
      <c r="E67" s="297" t="s">
        <v>204</v>
      </c>
      <c r="F67" s="306"/>
      <c r="G67" s="301" t="s">
        <v>1700</v>
      </c>
      <c r="H67" s="302"/>
      <c r="I67" s="307" t="s">
        <v>44</v>
      </c>
      <c r="J67" s="308">
        <v>5.0000000000000001E-3</v>
      </c>
      <c r="K67" s="328">
        <f t="shared" si="5"/>
        <v>350000</v>
      </c>
      <c r="L67" s="310">
        <f t="shared" si="4"/>
        <v>1750</v>
      </c>
    </row>
    <row r="68" spans="5:13" ht="15" customHeight="1">
      <c r="E68" s="297" t="s">
        <v>204</v>
      </c>
      <c r="F68" s="306"/>
      <c r="G68" s="301" t="s">
        <v>184</v>
      </c>
      <c r="H68" s="302"/>
      <c r="I68" s="307" t="s">
        <v>44</v>
      </c>
      <c r="J68" s="308">
        <v>8.9999999999999993E-3</v>
      </c>
      <c r="K68" s="328">
        <f t="shared" si="5"/>
        <v>600000</v>
      </c>
      <c r="L68" s="310">
        <f t="shared" si="4"/>
        <v>5400</v>
      </c>
    </row>
    <row r="69" spans="5:13" ht="15" customHeight="1" thickBot="1">
      <c r="E69" s="297" t="s">
        <v>204</v>
      </c>
      <c r="F69" s="311"/>
      <c r="G69" s="301" t="s">
        <v>208</v>
      </c>
      <c r="H69" s="329"/>
      <c r="I69" s="313" t="s">
        <v>45</v>
      </c>
      <c r="J69" s="314">
        <v>0.06</v>
      </c>
      <c r="K69" s="328">
        <f t="shared" si="5"/>
        <v>27500</v>
      </c>
      <c r="L69" s="310">
        <f t="shared" si="4"/>
        <v>1650</v>
      </c>
    </row>
    <row r="70" spans="5:13" ht="15" customHeight="1" thickBot="1">
      <c r="E70" s="297" t="s">
        <v>204</v>
      </c>
      <c r="F70" s="316"/>
      <c r="G70" s="317"/>
      <c r="H70" s="318"/>
      <c r="I70" s="318"/>
      <c r="J70" s="319" t="s">
        <v>189</v>
      </c>
      <c r="K70" s="320"/>
      <c r="L70" s="321">
        <f>SUM(L64:L69)</f>
        <v>663810</v>
      </c>
    </row>
    <row r="71" spans="5:13" ht="15" customHeight="1" thickBot="1">
      <c r="E71" s="297" t="s">
        <v>204</v>
      </c>
      <c r="F71" s="322" t="s">
        <v>190</v>
      </c>
      <c r="G71" s="323" t="s">
        <v>191</v>
      </c>
      <c r="H71" s="324"/>
      <c r="I71" s="324"/>
      <c r="J71" s="325"/>
      <c r="K71" s="328">
        <v>0</v>
      </c>
      <c r="L71" s="310">
        <f>J71*K71</f>
        <v>0</v>
      </c>
    </row>
    <row r="72" spans="5:13" ht="15" customHeight="1" thickBot="1">
      <c r="E72" s="297" t="s">
        <v>204</v>
      </c>
      <c r="F72" s="316"/>
      <c r="G72" s="317"/>
      <c r="H72" s="318"/>
      <c r="I72" s="318"/>
      <c r="J72" s="319" t="s">
        <v>192</v>
      </c>
      <c r="K72" s="320"/>
      <c r="L72" s="321">
        <f>L71</f>
        <v>0</v>
      </c>
    </row>
    <row r="73" spans="5:13" ht="15" customHeight="1">
      <c r="E73" s="297" t="s">
        <v>204</v>
      </c>
      <c r="F73" s="344" t="s">
        <v>193</v>
      </c>
      <c r="G73" s="345" t="s">
        <v>194</v>
      </c>
      <c r="H73" s="346"/>
      <c r="I73" s="346"/>
      <c r="J73" s="347"/>
      <c r="K73" s="348">
        <v>0</v>
      </c>
      <c r="L73" s="349">
        <f>SUM(L58:L72)/2</f>
        <v>740510</v>
      </c>
    </row>
    <row r="74" spans="5:13" ht="15" customHeight="1" thickBot="1">
      <c r="E74" s="297" t="s">
        <v>204</v>
      </c>
      <c r="F74" s="331" t="s">
        <v>195</v>
      </c>
      <c r="G74" s="332" t="s">
        <v>196</v>
      </c>
      <c r="H74" s="333"/>
      <c r="I74" s="333"/>
      <c r="J74" s="350">
        <v>0.1</v>
      </c>
      <c r="K74" s="335"/>
      <c r="L74" s="330">
        <f>J74*L73</f>
        <v>74051</v>
      </c>
    </row>
    <row r="75" spans="5:13" ht="15" customHeight="1" thickBot="1">
      <c r="E75" s="297" t="s">
        <v>204</v>
      </c>
      <c r="F75" s="340" t="s">
        <v>197</v>
      </c>
      <c r="G75" s="341" t="s">
        <v>198</v>
      </c>
      <c r="H75" s="318"/>
      <c r="I75" s="318"/>
      <c r="J75" s="342"/>
      <c r="K75" s="320">
        <v>0</v>
      </c>
      <c r="L75" s="321">
        <f>ROUNDDOWN(L73+L74,0)</f>
        <v>814561</v>
      </c>
    </row>
    <row r="76" spans="5:13" ht="15" customHeight="1">
      <c r="F76" s="298"/>
      <c r="G76" s="298"/>
      <c r="J76" s="343"/>
    </row>
    <row r="77" spans="5:13" ht="15" customHeight="1" thickBot="1">
      <c r="E77" s="297" t="s">
        <v>209</v>
      </c>
      <c r="F77" s="298" t="s">
        <v>210</v>
      </c>
      <c r="J77" s="343"/>
      <c r="M77" s="299">
        <f>L94</f>
        <v>92990</v>
      </c>
    </row>
    <row r="78" spans="5:13" ht="15" customHeight="1" thickBot="1">
      <c r="E78" s="297" t="s">
        <v>209</v>
      </c>
      <c r="F78" s="340" t="s">
        <v>136</v>
      </c>
      <c r="G78" s="341" t="s">
        <v>162</v>
      </c>
      <c r="H78" s="352" t="s">
        <v>163</v>
      </c>
      <c r="I78" s="352" t="s">
        <v>138</v>
      </c>
      <c r="J78" s="353" t="s">
        <v>164</v>
      </c>
      <c r="K78" s="341" t="s">
        <v>165</v>
      </c>
      <c r="L78" s="354" t="s">
        <v>166</v>
      </c>
    </row>
    <row r="79" spans="5:13" ht="15" customHeight="1">
      <c r="E79" s="297" t="s">
        <v>209</v>
      </c>
      <c r="F79" s="300" t="s">
        <v>167</v>
      </c>
      <c r="G79" s="301" t="s">
        <v>168</v>
      </c>
      <c r="H79" s="302"/>
      <c r="I79" s="302"/>
      <c r="J79" s="351"/>
      <c r="K79" s="328"/>
      <c r="L79" s="310"/>
    </row>
    <row r="80" spans="5:13" ht="15" customHeight="1">
      <c r="E80" s="297" t="s">
        <v>209</v>
      </c>
      <c r="F80" s="306"/>
      <c r="G80" s="301" t="s">
        <v>169</v>
      </c>
      <c r="H80" s="307" t="s">
        <v>170</v>
      </c>
      <c r="I80" s="307" t="s">
        <v>171</v>
      </c>
      <c r="J80" s="308">
        <v>0.1</v>
      </c>
      <c r="K80" s="309">
        <f>VLOOKUP(G80,Upah,8,FALSE)</f>
        <v>125000</v>
      </c>
      <c r="L80" s="310">
        <f>J80*K80</f>
        <v>12500</v>
      </c>
    </row>
    <row r="81" spans="5:13" ht="15" customHeight="1">
      <c r="E81" s="297" t="s">
        <v>209</v>
      </c>
      <c r="F81" s="306"/>
      <c r="G81" s="301" t="s">
        <v>172</v>
      </c>
      <c r="H81" s="307" t="s">
        <v>173</v>
      </c>
      <c r="I81" s="307" t="s">
        <v>171</v>
      </c>
      <c r="J81" s="308">
        <v>0.1</v>
      </c>
      <c r="K81" s="309">
        <f>VLOOKUP(G81,Upah,8,FALSE)</f>
        <v>150000</v>
      </c>
      <c r="L81" s="310">
        <f>J81*K81</f>
        <v>15000</v>
      </c>
    </row>
    <row r="82" spans="5:13" ht="15" customHeight="1">
      <c r="E82" s="297" t="s">
        <v>209</v>
      </c>
      <c r="F82" s="306"/>
      <c r="G82" s="301" t="s">
        <v>174</v>
      </c>
      <c r="H82" s="307" t="s">
        <v>175</v>
      </c>
      <c r="I82" s="307" t="s">
        <v>171</v>
      </c>
      <c r="J82" s="308">
        <v>0.01</v>
      </c>
      <c r="K82" s="309">
        <f>VLOOKUP(G82,Upah,8,FALSE)</f>
        <v>165000</v>
      </c>
      <c r="L82" s="310">
        <f>J82*K82</f>
        <v>1650</v>
      </c>
    </row>
    <row r="83" spans="5:13" ht="15" customHeight="1" thickBot="1">
      <c r="E83" s="297" t="s">
        <v>209</v>
      </c>
      <c r="F83" s="311"/>
      <c r="G83" s="312" t="s">
        <v>176</v>
      </c>
      <c r="H83" s="313" t="s">
        <v>177</v>
      </c>
      <c r="I83" s="313" t="s">
        <v>171</v>
      </c>
      <c r="J83" s="314">
        <v>5.0000000000000001E-3</v>
      </c>
      <c r="K83" s="309">
        <f>VLOOKUP(G83,Upah,8,FALSE)</f>
        <v>170000</v>
      </c>
      <c r="L83" s="310">
        <f>J83*K83</f>
        <v>850</v>
      </c>
    </row>
    <row r="84" spans="5:13" ht="15" customHeight="1" thickBot="1">
      <c r="E84" s="297" t="s">
        <v>209</v>
      </c>
      <c r="F84" s="316"/>
      <c r="G84" s="317"/>
      <c r="H84" s="318"/>
      <c r="I84" s="318"/>
      <c r="J84" s="319" t="s">
        <v>178</v>
      </c>
      <c r="K84" s="320"/>
      <c r="L84" s="321">
        <f>SUM(L79:L83)</f>
        <v>30000</v>
      </c>
    </row>
    <row r="85" spans="5:13" ht="15" customHeight="1">
      <c r="E85" s="297" t="s">
        <v>209</v>
      </c>
      <c r="F85" s="322" t="s">
        <v>179</v>
      </c>
      <c r="G85" s="323" t="s">
        <v>180</v>
      </c>
      <c r="H85" s="324"/>
      <c r="I85" s="324"/>
      <c r="J85" s="325"/>
      <c r="K85" s="328"/>
      <c r="L85" s="310"/>
    </row>
    <row r="86" spans="5:13" ht="15" customHeight="1">
      <c r="E86" s="297" t="s">
        <v>209</v>
      </c>
      <c r="F86" s="306"/>
      <c r="G86" s="301" t="s">
        <v>240</v>
      </c>
      <c r="H86" s="302"/>
      <c r="I86" s="307" t="s">
        <v>44</v>
      </c>
      <c r="J86" s="308">
        <v>1.2E-2</v>
      </c>
      <c r="K86" s="328">
        <f>VLOOKUP(G86,Bahan,6,FALSE)</f>
        <v>2646000</v>
      </c>
      <c r="L86" s="310">
        <f>J86*K86</f>
        <v>31752</v>
      </c>
    </row>
    <row r="87" spans="5:13" ht="15" customHeight="1">
      <c r="E87" s="297" t="s">
        <v>209</v>
      </c>
      <c r="F87" s="306"/>
      <c r="G87" s="301" t="s">
        <v>212</v>
      </c>
      <c r="H87" s="302"/>
      <c r="I87" s="307" t="s">
        <v>45</v>
      </c>
      <c r="J87" s="308">
        <v>0.02</v>
      </c>
      <c r="K87" s="328">
        <f>VLOOKUP(G87,Bahan,6,FALSE)</f>
        <v>27970</v>
      </c>
      <c r="L87" s="310">
        <f>J87*K87</f>
        <v>559.4</v>
      </c>
    </row>
    <row r="88" spans="5:13" ht="15" customHeight="1" thickBot="1">
      <c r="E88" s="297" t="s">
        <v>209</v>
      </c>
      <c r="F88" s="311"/>
      <c r="G88" s="312" t="s">
        <v>239</v>
      </c>
      <c r="H88" s="329"/>
      <c r="I88" s="313" t="s">
        <v>44</v>
      </c>
      <c r="J88" s="314">
        <v>7.0000000000000001E-3</v>
      </c>
      <c r="K88" s="328">
        <f>VLOOKUP(G88,Bahan,6,FALSE)</f>
        <v>3175000</v>
      </c>
      <c r="L88" s="310">
        <f>J88*K88</f>
        <v>22225</v>
      </c>
    </row>
    <row r="89" spans="5:13" ht="15" customHeight="1" thickBot="1">
      <c r="E89" s="297" t="s">
        <v>209</v>
      </c>
      <c r="F89" s="316"/>
      <c r="G89" s="317"/>
      <c r="H89" s="318"/>
      <c r="I89" s="318"/>
      <c r="J89" s="319" t="s">
        <v>189</v>
      </c>
      <c r="K89" s="320"/>
      <c r="L89" s="321">
        <f>SUM(L86:L88)</f>
        <v>54536.4</v>
      </c>
    </row>
    <row r="90" spans="5:13" ht="15" customHeight="1" thickBot="1">
      <c r="E90" s="297" t="s">
        <v>209</v>
      </c>
      <c r="F90" s="331" t="s">
        <v>190</v>
      </c>
      <c r="G90" s="332" t="s">
        <v>191</v>
      </c>
      <c r="H90" s="333"/>
      <c r="I90" s="333"/>
      <c r="J90" s="334"/>
      <c r="K90" s="328">
        <v>0</v>
      </c>
      <c r="L90" s="310">
        <f>J90*K90</f>
        <v>0</v>
      </c>
    </row>
    <row r="91" spans="5:13" ht="15" customHeight="1" thickBot="1">
      <c r="E91" s="297" t="s">
        <v>209</v>
      </c>
      <c r="F91" s="316"/>
      <c r="G91" s="317"/>
      <c r="H91" s="318"/>
      <c r="I91" s="318"/>
      <c r="J91" s="319" t="s">
        <v>192</v>
      </c>
      <c r="K91" s="320"/>
      <c r="L91" s="321">
        <f>L90</f>
        <v>0</v>
      </c>
    </row>
    <row r="92" spans="5:13" ht="15" customHeight="1">
      <c r="E92" s="297" t="s">
        <v>209</v>
      </c>
      <c r="F92" s="322" t="s">
        <v>193</v>
      </c>
      <c r="G92" s="323" t="s">
        <v>194</v>
      </c>
      <c r="H92" s="324"/>
      <c r="I92" s="324"/>
      <c r="J92" s="325"/>
      <c r="K92" s="328">
        <v>0</v>
      </c>
      <c r="L92" s="349">
        <f>SUM(L80:L91)/2</f>
        <v>84536.4</v>
      </c>
    </row>
    <row r="93" spans="5:13" ht="15" customHeight="1" thickBot="1">
      <c r="E93" s="297" t="s">
        <v>209</v>
      </c>
      <c r="F93" s="337" t="s">
        <v>195</v>
      </c>
      <c r="G93" s="312" t="s">
        <v>196</v>
      </c>
      <c r="H93" s="329"/>
      <c r="I93" s="329"/>
      <c r="J93" s="338">
        <v>0.1</v>
      </c>
      <c r="K93" s="339"/>
      <c r="L93" s="330">
        <f>J93*L92</f>
        <v>8453.64</v>
      </c>
    </row>
    <row r="94" spans="5:13" ht="15" customHeight="1" thickBot="1">
      <c r="E94" s="297" t="s">
        <v>209</v>
      </c>
      <c r="F94" s="340" t="s">
        <v>197</v>
      </c>
      <c r="G94" s="341" t="s">
        <v>198</v>
      </c>
      <c r="H94" s="318"/>
      <c r="I94" s="318"/>
      <c r="J94" s="342"/>
      <c r="K94" s="320">
        <v>0</v>
      </c>
      <c r="L94" s="321">
        <f>ROUNDDOWN(L92+L93,0)</f>
        <v>92990</v>
      </c>
    </row>
    <row r="95" spans="5:13" ht="15" customHeight="1">
      <c r="F95" s="298"/>
      <c r="G95" s="298"/>
      <c r="J95" s="343"/>
    </row>
    <row r="96" spans="5:13" ht="15" customHeight="1" thickBot="1">
      <c r="E96" s="297" t="s">
        <v>214</v>
      </c>
      <c r="F96" s="298" t="s">
        <v>215</v>
      </c>
      <c r="J96" s="343"/>
      <c r="M96" s="299">
        <f>L125</f>
        <v>2574354</v>
      </c>
    </row>
    <row r="97" spans="6:12" ht="15" customHeight="1" thickBot="1">
      <c r="F97" s="340" t="s">
        <v>136</v>
      </c>
      <c r="G97" s="341" t="s">
        <v>162</v>
      </c>
      <c r="H97" s="352" t="s">
        <v>163</v>
      </c>
      <c r="I97" s="352" t="s">
        <v>138</v>
      </c>
      <c r="J97" s="353" t="s">
        <v>164</v>
      </c>
      <c r="K97" s="341" t="s">
        <v>165</v>
      </c>
      <c r="L97" s="354" t="s">
        <v>166</v>
      </c>
    </row>
    <row r="98" spans="6:12" ht="15" customHeight="1">
      <c r="F98" s="300" t="s">
        <v>167</v>
      </c>
      <c r="G98" s="301" t="s">
        <v>168</v>
      </c>
      <c r="H98" s="302"/>
      <c r="I98" s="302"/>
      <c r="J98" s="351"/>
      <c r="K98" s="328"/>
      <c r="L98" s="310"/>
    </row>
    <row r="99" spans="6:12" ht="15" customHeight="1">
      <c r="F99" s="306"/>
      <c r="G99" s="301" t="s">
        <v>169</v>
      </c>
      <c r="H99" s="307" t="s">
        <v>170</v>
      </c>
      <c r="I99" s="307" t="s">
        <v>171</v>
      </c>
      <c r="J99" s="308">
        <v>2</v>
      </c>
      <c r="K99" s="309">
        <f>VLOOKUP(G99,Upah,8,FALSE)</f>
        <v>125000</v>
      </c>
      <c r="L99" s="310">
        <f>J99*K99</f>
        <v>250000</v>
      </c>
    </row>
    <row r="100" spans="6:12" ht="15" customHeight="1">
      <c r="F100" s="306"/>
      <c r="G100" s="301" t="s">
        <v>172</v>
      </c>
      <c r="H100" s="307" t="s">
        <v>173</v>
      </c>
      <c r="I100" s="307" t="s">
        <v>171</v>
      </c>
      <c r="J100" s="308">
        <v>2</v>
      </c>
      <c r="K100" s="309">
        <f>VLOOKUP(G100,Upah,8,FALSE)</f>
        <v>150000</v>
      </c>
      <c r="L100" s="310">
        <f>J100*K100</f>
        <v>300000</v>
      </c>
    </row>
    <row r="101" spans="6:12" ht="15" customHeight="1">
      <c r="F101" s="306"/>
      <c r="G101" s="301" t="s">
        <v>216</v>
      </c>
      <c r="H101" s="307" t="s">
        <v>217</v>
      </c>
      <c r="I101" s="307" t="s">
        <v>171</v>
      </c>
      <c r="J101" s="308">
        <v>1</v>
      </c>
      <c r="K101" s="309">
        <f>VLOOKUP(G101,Upah,8,FALSE)</f>
        <v>150000</v>
      </c>
      <c r="L101" s="310">
        <f>J101*K101</f>
        <v>150000</v>
      </c>
    </row>
    <row r="102" spans="6:12" ht="15" customHeight="1">
      <c r="F102" s="306"/>
      <c r="G102" s="301" t="s">
        <v>174</v>
      </c>
      <c r="H102" s="307" t="s">
        <v>175</v>
      </c>
      <c r="I102" s="307" t="s">
        <v>171</v>
      </c>
      <c r="J102" s="308">
        <v>0.3</v>
      </c>
      <c r="K102" s="309">
        <f>VLOOKUP(G102,Upah,8,FALSE)</f>
        <v>165000</v>
      </c>
      <c r="L102" s="310">
        <f>J102*K102</f>
        <v>49500</v>
      </c>
    </row>
    <row r="103" spans="6:12" ht="15" customHeight="1" thickBot="1">
      <c r="F103" s="311"/>
      <c r="G103" s="312" t="s">
        <v>176</v>
      </c>
      <c r="H103" s="313" t="s">
        <v>177</v>
      </c>
      <c r="I103" s="313" t="s">
        <v>171</v>
      </c>
      <c r="J103" s="314">
        <v>0.05</v>
      </c>
      <c r="K103" s="309">
        <f>VLOOKUP(G103,Upah,8,FALSE)</f>
        <v>170000</v>
      </c>
      <c r="L103" s="310">
        <f>J103*K103</f>
        <v>8500</v>
      </c>
    </row>
    <row r="104" spans="6:12" ht="15" customHeight="1" thickBot="1">
      <c r="F104" s="316"/>
      <c r="G104" s="317"/>
      <c r="H104" s="318"/>
      <c r="I104" s="318"/>
      <c r="J104" s="319" t="s">
        <v>178</v>
      </c>
      <c r="K104" s="320"/>
      <c r="L104" s="321">
        <f>SUM(L99:L103)</f>
        <v>758000</v>
      </c>
    </row>
    <row r="105" spans="6:12" ht="15" customHeight="1">
      <c r="F105" s="322" t="s">
        <v>179</v>
      </c>
      <c r="G105" s="323" t="s">
        <v>180</v>
      </c>
      <c r="H105" s="324"/>
      <c r="I105" s="324"/>
      <c r="J105" s="325"/>
      <c r="K105" s="328">
        <v>0</v>
      </c>
      <c r="L105" s="310">
        <f t="shared" ref="L105:L119" si="6">J105*K105</f>
        <v>0</v>
      </c>
    </row>
    <row r="106" spans="6:12" ht="15" customHeight="1">
      <c r="F106" s="306"/>
      <c r="G106" s="301" t="s">
        <v>181</v>
      </c>
      <c r="H106" s="302"/>
      <c r="I106" s="307" t="s">
        <v>182</v>
      </c>
      <c r="J106" s="308">
        <v>1.25</v>
      </c>
      <c r="K106" s="328">
        <f t="shared" ref="K106:K119" si="7">VLOOKUP(G106,Bahan,6,FALSE)</f>
        <v>31250</v>
      </c>
      <c r="L106" s="310">
        <f t="shared" si="6"/>
        <v>39062.5</v>
      </c>
    </row>
    <row r="107" spans="6:12" ht="15" customHeight="1">
      <c r="F107" s="306"/>
      <c r="G107" s="301" t="s">
        <v>211</v>
      </c>
      <c r="H107" s="302"/>
      <c r="I107" s="307" t="s">
        <v>44</v>
      </c>
      <c r="J107" s="308">
        <v>0.18</v>
      </c>
      <c r="K107" s="328">
        <f t="shared" si="7"/>
        <v>6765000</v>
      </c>
      <c r="L107" s="310">
        <f t="shared" si="6"/>
        <v>1217700</v>
      </c>
    </row>
    <row r="108" spans="6:12" ht="15" customHeight="1">
      <c r="F108" s="306"/>
      <c r="G108" s="301" t="s">
        <v>186</v>
      </c>
      <c r="H108" s="302"/>
      <c r="I108" s="307" t="s">
        <v>45</v>
      </c>
      <c r="J108" s="308">
        <v>0.08</v>
      </c>
      <c r="K108" s="328">
        <f t="shared" si="7"/>
        <v>27970</v>
      </c>
      <c r="L108" s="310">
        <f t="shared" si="6"/>
        <v>2237.6</v>
      </c>
    </row>
    <row r="109" spans="6:12" ht="15" customHeight="1">
      <c r="F109" s="306"/>
      <c r="G109" s="301" t="s">
        <v>218</v>
      </c>
      <c r="H109" s="302"/>
      <c r="I109" s="307" t="s">
        <v>45</v>
      </c>
      <c r="J109" s="308">
        <v>1.1000000000000001</v>
      </c>
      <c r="K109" s="328">
        <f t="shared" si="7"/>
        <v>12500</v>
      </c>
      <c r="L109" s="310">
        <f t="shared" si="6"/>
        <v>13750.000000000002</v>
      </c>
    </row>
    <row r="110" spans="6:12" ht="15" customHeight="1">
      <c r="F110" s="306"/>
      <c r="G110" s="301" t="s">
        <v>183</v>
      </c>
      <c r="H110" s="302"/>
      <c r="I110" s="307" t="s">
        <v>45</v>
      </c>
      <c r="J110" s="308">
        <v>35</v>
      </c>
      <c r="K110" s="328">
        <f t="shared" si="7"/>
        <v>1880</v>
      </c>
      <c r="L110" s="310">
        <f t="shared" si="6"/>
        <v>65800</v>
      </c>
    </row>
    <row r="111" spans="6:12" ht="15" customHeight="1">
      <c r="F111" s="306"/>
      <c r="G111" s="301" t="s">
        <v>219</v>
      </c>
      <c r="H111" s="302"/>
      <c r="I111" s="307" t="s">
        <v>44</v>
      </c>
      <c r="J111" s="308">
        <v>0.15</v>
      </c>
      <c r="K111" s="328">
        <f t="shared" si="7"/>
        <v>253510</v>
      </c>
      <c r="L111" s="310">
        <f t="shared" si="6"/>
        <v>38026.5</v>
      </c>
    </row>
    <row r="112" spans="6:12" ht="15" customHeight="1">
      <c r="F112" s="306"/>
      <c r="G112" s="301" t="s">
        <v>1700</v>
      </c>
      <c r="H112" s="302"/>
      <c r="I112" s="307" t="s">
        <v>44</v>
      </c>
      <c r="J112" s="308">
        <v>0.1</v>
      </c>
      <c r="K112" s="328">
        <f t="shared" si="7"/>
        <v>350000</v>
      </c>
      <c r="L112" s="310">
        <f t="shared" si="6"/>
        <v>35000</v>
      </c>
    </row>
    <row r="113" spans="5:13" ht="15" customHeight="1">
      <c r="F113" s="306"/>
      <c r="G113" s="301" t="s">
        <v>184</v>
      </c>
      <c r="H113" s="302"/>
      <c r="I113" s="307" t="s">
        <v>44</v>
      </c>
      <c r="J113" s="308">
        <v>0.15</v>
      </c>
      <c r="K113" s="328">
        <f t="shared" si="7"/>
        <v>600000</v>
      </c>
      <c r="L113" s="310">
        <f t="shared" si="6"/>
        <v>90000</v>
      </c>
    </row>
    <row r="114" spans="5:13" ht="15" customHeight="1">
      <c r="F114" s="306"/>
      <c r="G114" s="301" t="s">
        <v>220</v>
      </c>
      <c r="H114" s="302"/>
      <c r="I114" s="307" t="s">
        <v>221</v>
      </c>
      <c r="J114" s="308">
        <v>30</v>
      </c>
      <c r="K114" s="328">
        <f t="shared" si="7"/>
        <v>1040</v>
      </c>
      <c r="L114" s="310">
        <f t="shared" si="6"/>
        <v>31200</v>
      </c>
    </row>
    <row r="115" spans="5:13" ht="15" customHeight="1">
      <c r="F115" s="306"/>
      <c r="G115" s="301" t="s">
        <v>222</v>
      </c>
      <c r="H115" s="302"/>
      <c r="I115" s="307" t="s">
        <v>202</v>
      </c>
      <c r="J115" s="308">
        <v>0.25</v>
      </c>
      <c r="K115" s="328">
        <f t="shared" si="7"/>
        <v>33000</v>
      </c>
      <c r="L115" s="310">
        <f t="shared" si="6"/>
        <v>8250</v>
      </c>
    </row>
    <row r="116" spans="5:13" ht="15" customHeight="1">
      <c r="F116" s="306"/>
      <c r="G116" s="301" t="s">
        <v>223</v>
      </c>
      <c r="H116" s="302"/>
      <c r="I116" s="307" t="s">
        <v>221</v>
      </c>
      <c r="J116" s="308">
        <v>0.2</v>
      </c>
      <c r="K116" s="328">
        <f t="shared" si="7"/>
        <v>30140</v>
      </c>
      <c r="L116" s="310">
        <f t="shared" si="6"/>
        <v>6028</v>
      </c>
    </row>
    <row r="117" spans="5:13" ht="15" customHeight="1">
      <c r="F117" s="306"/>
      <c r="G117" s="301" t="s">
        <v>224</v>
      </c>
      <c r="H117" s="302"/>
      <c r="I117" s="307" t="s">
        <v>23</v>
      </c>
      <c r="J117" s="308">
        <v>0.08</v>
      </c>
      <c r="K117" s="328">
        <f t="shared" si="7"/>
        <v>138600</v>
      </c>
      <c r="L117" s="310">
        <f t="shared" si="6"/>
        <v>11088</v>
      </c>
    </row>
    <row r="118" spans="5:13" ht="15" customHeight="1">
      <c r="F118" s="306"/>
      <c r="G118" s="301" t="s">
        <v>225</v>
      </c>
      <c r="H118" s="302"/>
      <c r="I118" s="307" t="s">
        <v>221</v>
      </c>
      <c r="J118" s="308">
        <v>0.15</v>
      </c>
      <c r="K118" s="328">
        <f t="shared" si="7"/>
        <v>130000</v>
      </c>
      <c r="L118" s="310">
        <f t="shared" si="6"/>
        <v>19500</v>
      </c>
    </row>
    <row r="119" spans="5:13" ht="15" customHeight="1" thickBot="1">
      <c r="F119" s="311"/>
      <c r="G119" s="312" t="s">
        <v>226</v>
      </c>
      <c r="H119" s="329"/>
      <c r="I119" s="313" t="s">
        <v>202</v>
      </c>
      <c r="J119" s="314">
        <v>0.06</v>
      </c>
      <c r="K119" s="328">
        <f t="shared" si="7"/>
        <v>78000</v>
      </c>
      <c r="L119" s="310">
        <f t="shared" si="6"/>
        <v>4680</v>
      </c>
    </row>
    <row r="120" spans="5:13" ht="15" customHeight="1" thickBot="1">
      <c r="F120" s="316"/>
      <c r="G120" s="317"/>
      <c r="H120" s="318"/>
      <c r="I120" s="318"/>
      <c r="J120" s="319" t="s">
        <v>189</v>
      </c>
      <c r="K120" s="320"/>
      <c r="L120" s="321">
        <f>SUM(L106:L119)</f>
        <v>1582322.6</v>
      </c>
    </row>
    <row r="121" spans="5:13" ht="15" customHeight="1" thickBot="1">
      <c r="F121" s="331" t="s">
        <v>190</v>
      </c>
      <c r="G121" s="332" t="s">
        <v>191</v>
      </c>
      <c r="H121" s="333"/>
      <c r="I121" s="333"/>
      <c r="J121" s="334"/>
      <c r="K121" s="328">
        <v>0</v>
      </c>
      <c r="L121" s="310">
        <f>J121*K121</f>
        <v>0</v>
      </c>
    </row>
    <row r="122" spans="5:13" ht="15" customHeight="1" thickBot="1">
      <c r="F122" s="316"/>
      <c r="G122" s="317"/>
      <c r="H122" s="318"/>
      <c r="I122" s="318"/>
      <c r="J122" s="319" t="s">
        <v>192</v>
      </c>
      <c r="K122" s="320"/>
      <c r="L122" s="321">
        <f>L121</f>
        <v>0</v>
      </c>
    </row>
    <row r="123" spans="5:13" ht="15" customHeight="1">
      <c r="F123" s="344" t="s">
        <v>193</v>
      </c>
      <c r="G123" s="345" t="s">
        <v>194</v>
      </c>
      <c r="H123" s="346"/>
      <c r="I123" s="346"/>
      <c r="J123" s="347"/>
      <c r="K123" s="328">
        <v>0</v>
      </c>
      <c r="L123" s="349">
        <f>SUM(L99:L122)/2</f>
        <v>2340322.6</v>
      </c>
    </row>
    <row r="124" spans="5:13" ht="15" customHeight="1" thickBot="1">
      <c r="F124" s="331" t="s">
        <v>195</v>
      </c>
      <c r="G124" s="332" t="s">
        <v>196</v>
      </c>
      <c r="H124" s="333"/>
      <c r="I124" s="333"/>
      <c r="J124" s="350">
        <v>0.1</v>
      </c>
      <c r="K124" s="339"/>
      <c r="L124" s="330">
        <f>J124*L123</f>
        <v>234032.26</v>
      </c>
    </row>
    <row r="125" spans="5:13" ht="15" customHeight="1" thickBot="1">
      <c r="F125" s="340" t="s">
        <v>197</v>
      </c>
      <c r="G125" s="341" t="s">
        <v>198</v>
      </c>
      <c r="H125" s="318"/>
      <c r="I125" s="318"/>
      <c r="J125" s="342"/>
      <c r="K125" s="320">
        <v>0</v>
      </c>
      <c r="L125" s="321">
        <f>ROUNDDOWN(L123+L124,0)</f>
        <v>2574354</v>
      </c>
    </row>
    <row r="126" spans="5:13" ht="15" customHeight="1">
      <c r="F126" s="298"/>
      <c r="G126" s="298"/>
      <c r="J126" s="343"/>
    </row>
    <row r="127" spans="5:13" ht="15" customHeight="1" thickBot="1">
      <c r="E127" s="297" t="s">
        <v>227</v>
      </c>
      <c r="F127" s="298" t="s">
        <v>228</v>
      </c>
      <c r="J127" s="343"/>
      <c r="M127" s="299">
        <f>L149</f>
        <v>2323646</v>
      </c>
    </row>
    <row r="128" spans="5:13" ht="15" customHeight="1" thickBot="1">
      <c r="F128" s="340" t="s">
        <v>136</v>
      </c>
      <c r="G128" s="341" t="s">
        <v>162</v>
      </c>
      <c r="H128" s="352" t="s">
        <v>163</v>
      </c>
      <c r="I128" s="352" t="s">
        <v>138</v>
      </c>
      <c r="J128" s="353" t="s">
        <v>164</v>
      </c>
      <c r="K128" s="341" t="s">
        <v>165</v>
      </c>
      <c r="L128" s="354" t="s">
        <v>166</v>
      </c>
    </row>
    <row r="129" spans="6:12" ht="15" customHeight="1">
      <c r="F129" s="344" t="s">
        <v>167</v>
      </c>
      <c r="G129" s="345" t="s">
        <v>168</v>
      </c>
      <c r="H129" s="346"/>
      <c r="I129" s="346"/>
      <c r="J129" s="347"/>
      <c r="K129" s="328"/>
      <c r="L129" s="310"/>
    </row>
    <row r="130" spans="6:12" ht="15" customHeight="1">
      <c r="F130" s="306"/>
      <c r="G130" s="301" t="s">
        <v>169</v>
      </c>
      <c r="H130" s="307" t="s">
        <v>170</v>
      </c>
      <c r="I130" s="307" t="s">
        <v>171</v>
      </c>
      <c r="J130" s="308">
        <v>1</v>
      </c>
      <c r="K130" s="309">
        <f>VLOOKUP(G130,Upah,8,FALSE)</f>
        <v>125000</v>
      </c>
      <c r="L130" s="310">
        <f>J130*K130</f>
        <v>125000</v>
      </c>
    </row>
    <row r="131" spans="6:12" ht="15" customHeight="1">
      <c r="F131" s="306"/>
      <c r="G131" s="301" t="s">
        <v>172</v>
      </c>
      <c r="H131" s="307" t="s">
        <v>173</v>
      </c>
      <c r="I131" s="307" t="s">
        <v>171</v>
      </c>
      <c r="J131" s="308">
        <v>2</v>
      </c>
      <c r="K131" s="309">
        <f>VLOOKUP(G131,Upah,8,FALSE)</f>
        <v>150000</v>
      </c>
      <c r="L131" s="310">
        <f>J131*K131</f>
        <v>300000</v>
      </c>
    </row>
    <row r="132" spans="6:12" ht="15" customHeight="1">
      <c r="F132" s="306"/>
      <c r="G132" s="301" t="s">
        <v>174</v>
      </c>
      <c r="H132" s="307" t="s">
        <v>175</v>
      </c>
      <c r="I132" s="307" t="s">
        <v>171</v>
      </c>
      <c r="J132" s="308">
        <v>0.2</v>
      </c>
      <c r="K132" s="309">
        <f>VLOOKUP(G132,Upah,8,FALSE)</f>
        <v>165000</v>
      </c>
      <c r="L132" s="310">
        <f>J132*K132</f>
        <v>33000</v>
      </c>
    </row>
    <row r="133" spans="6:12" ht="15" customHeight="1" thickBot="1">
      <c r="F133" s="311"/>
      <c r="G133" s="312" t="s">
        <v>176</v>
      </c>
      <c r="H133" s="313" t="s">
        <v>177</v>
      </c>
      <c r="I133" s="313" t="s">
        <v>171</v>
      </c>
      <c r="J133" s="314">
        <v>0.05</v>
      </c>
      <c r="K133" s="309">
        <f>VLOOKUP(G133,Upah,8,FALSE)</f>
        <v>170000</v>
      </c>
      <c r="L133" s="310">
        <f>J133*K133</f>
        <v>8500</v>
      </c>
    </row>
    <row r="134" spans="6:12" ht="15" customHeight="1" thickBot="1">
      <c r="F134" s="316"/>
      <c r="G134" s="317"/>
      <c r="H134" s="318"/>
      <c r="I134" s="318"/>
      <c r="J134" s="319" t="s">
        <v>178</v>
      </c>
      <c r="K134" s="320"/>
      <c r="L134" s="321">
        <f>SUM(L130:L133)</f>
        <v>466500</v>
      </c>
    </row>
    <row r="135" spans="6:12" ht="15" customHeight="1">
      <c r="F135" s="322" t="s">
        <v>179</v>
      </c>
      <c r="G135" s="323" t="s">
        <v>180</v>
      </c>
      <c r="H135" s="324"/>
      <c r="I135" s="324"/>
      <c r="J135" s="325"/>
      <c r="K135" s="328"/>
      <c r="L135" s="310"/>
    </row>
    <row r="136" spans="6:12" ht="15" customHeight="1">
      <c r="F136" s="306"/>
      <c r="G136" s="301" t="s">
        <v>181</v>
      </c>
      <c r="H136" s="302"/>
      <c r="I136" s="307" t="s">
        <v>182</v>
      </c>
      <c r="J136" s="308">
        <v>1.7</v>
      </c>
      <c r="K136" s="328">
        <f t="shared" ref="K136:K143" si="8">VLOOKUP(G136,Bahan,6,FALSE)</f>
        <v>31250</v>
      </c>
      <c r="L136" s="310">
        <f t="shared" ref="L136:L143" si="9">J136*K136</f>
        <v>53125</v>
      </c>
    </row>
    <row r="137" spans="6:12" ht="15" customHeight="1">
      <c r="F137" s="306"/>
      <c r="G137" s="301" t="s">
        <v>229</v>
      </c>
      <c r="H137" s="302"/>
      <c r="I137" s="307" t="s">
        <v>44</v>
      </c>
      <c r="J137" s="308">
        <v>0.21</v>
      </c>
      <c r="K137" s="328">
        <f t="shared" si="8"/>
        <v>6765000</v>
      </c>
      <c r="L137" s="310">
        <f t="shared" si="9"/>
        <v>1420650</v>
      </c>
    </row>
    <row r="138" spans="6:12" ht="15" customHeight="1">
      <c r="F138" s="306"/>
      <c r="G138" s="301" t="s">
        <v>186</v>
      </c>
      <c r="H138" s="302"/>
      <c r="I138" s="307" t="s">
        <v>45</v>
      </c>
      <c r="J138" s="308">
        <v>0.3</v>
      </c>
      <c r="K138" s="328">
        <f t="shared" si="8"/>
        <v>27970</v>
      </c>
      <c r="L138" s="310">
        <f t="shared" si="9"/>
        <v>8391</v>
      </c>
    </row>
    <row r="139" spans="6:12" ht="15" customHeight="1">
      <c r="F139" s="306"/>
      <c r="G139" s="301" t="s">
        <v>183</v>
      </c>
      <c r="H139" s="302"/>
      <c r="I139" s="307" t="s">
        <v>45</v>
      </c>
      <c r="J139" s="308">
        <v>10.5</v>
      </c>
      <c r="K139" s="328">
        <f t="shared" si="8"/>
        <v>1880</v>
      </c>
      <c r="L139" s="310">
        <f t="shared" si="9"/>
        <v>19740</v>
      </c>
    </row>
    <row r="140" spans="6:12" ht="15" customHeight="1">
      <c r="F140" s="306"/>
      <c r="G140" s="301" t="s">
        <v>1700</v>
      </c>
      <c r="H140" s="302"/>
      <c r="I140" s="307" t="s">
        <v>44</v>
      </c>
      <c r="J140" s="308">
        <v>0.03</v>
      </c>
      <c r="K140" s="328">
        <f t="shared" si="8"/>
        <v>350000</v>
      </c>
      <c r="L140" s="310">
        <f t="shared" si="9"/>
        <v>10500</v>
      </c>
    </row>
    <row r="141" spans="6:12" ht="15" customHeight="1">
      <c r="F141" s="306"/>
      <c r="G141" s="301" t="s">
        <v>184</v>
      </c>
      <c r="H141" s="302"/>
      <c r="I141" s="307" t="s">
        <v>44</v>
      </c>
      <c r="J141" s="308">
        <v>0.05</v>
      </c>
      <c r="K141" s="328">
        <f t="shared" si="8"/>
        <v>600000</v>
      </c>
      <c r="L141" s="310">
        <f t="shared" si="9"/>
        <v>30000</v>
      </c>
    </row>
    <row r="142" spans="6:12" ht="15" customHeight="1">
      <c r="F142" s="306"/>
      <c r="G142" s="301" t="s">
        <v>201</v>
      </c>
      <c r="H142" s="302"/>
      <c r="I142" s="307" t="s">
        <v>202</v>
      </c>
      <c r="J142" s="308">
        <v>1.5</v>
      </c>
      <c r="K142" s="328">
        <f t="shared" si="8"/>
        <v>63500</v>
      </c>
      <c r="L142" s="310">
        <f t="shared" si="9"/>
        <v>95250</v>
      </c>
    </row>
    <row r="143" spans="6:12" ht="15" customHeight="1" thickBot="1">
      <c r="F143" s="311"/>
      <c r="G143" s="312" t="s">
        <v>222</v>
      </c>
      <c r="H143" s="329"/>
      <c r="I143" s="313" t="s">
        <v>202</v>
      </c>
      <c r="J143" s="314">
        <v>0.25</v>
      </c>
      <c r="K143" s="328">
        <f t="shared" si="8"/>
        <v>33000</v>
      </c>
      <c r="L143" s="310">
        <f t="shared" si="9"/>
        <v>8250</v>
      </c>
    </row>
    <row r="144" spans="6:12" ht="15" customHeight="1" thickBot="1">
      <c r="F144" s="316"/>
      <c r="G144" s="317"/>
      <c r="H144" s="318"/>
      <c r="I144" s="318"/>
      <c r="J144" s="319" t="s">
        <v>189</v>
      </c>
      <c r="K144" s="320"/>
      <c r="L144" s="321">
        <f>SUM(L136:L143)</f>
        <v>1645906</v>
      </c>
    </row>
    <row r="145" spans="5:13" ht="15" customHeight="1" thickBot="1">
      <c r="F145" s="331" t="s">
        <v>190</v>
      </c>
      <c r="G145" s="332" t="s">
        <v>191</v>
      </c>
      <c r="H145" s="333"/>
      <c r="I145" s="333"/>
      <c r="J145" s="334"/>
      <c r="K145" s="328"/>
      <c r="L145" s="310"/>
    </row>
    <row r="146" spans="5:13" ht="15" customHeight="1" thickBot="1">
      <c r="F146" s="316"/>
      <c r="G146" s="317"/>
      <c r="H146" s="318"/>
      <c r="I146" s="318"/>
      <c r="J146" s="319" t="s">
        <v>192</v>
      </c>
      <c r="K146" s="320"/>
      <c r="L146" s="321"/>
    </row>
    <row r="147" spans="5:13" ht="15" customHeight="1">
      <c r="F147" s="344" t="s">
        <v>193</v>
      </c>
      <c r="G147" s="345" t="s">
        <v>194</v>
      </c>
      <c r="H147" s="346"/>
      <c r="I147" s="346"/>
      <c r="J147" s="347"/>
      <c r="K147" s="348"/>
      <c r="L147" s="310">
        <f>SUM(L130:L146)/2</f>
        <v>2112406</v>
      </c>
    </row>
    <row r="148" spans="5:13" ht="15" customHeight="1" thickBot="1">
      <c r="F148" s="331" t="s">
        <v>195</v>
      </c>
      <c r="G148" s="332" t="s">
        <v>196</v>
      </c>
      <c r="H148" s="333"/>
      <c r="I148" s="333"/>
      <c r="J148" s="350">
        <v>0.1</v>
      </c>
      <c r="K148" s="335"/>
      <c r="L148" s="330">
        <f>J148*L147</f>
        <v>211240.6</v>
      </c>
    </row>
    <row r="149" spans="5:13" ht="15" customHeight="1" thickBot="1">
      <c r="F149" s="340" t="s">
        <v>197</v>
      </c>
      <c r="G149" s="341" t="s">
        <v>198</v>
      </c>
      <c r="H149" s="318"/>
      <c r="I149" s="318"/>
      <c r="J149" s="342"/>
      <c r="K149" s="320"/>
      <c r="L149" s="321">
        <f>ROUNDDOWN(L147+L148,0)</f>
        <v>2323646</v>
      </c>
    </row>
    <row r="150" spans="5:13" ht="15" customHeight="1">
      <c r="F150" s="298"/>
      <c r="G150" s="298"/>
      <c r="J150" s="343"/>
    </row>
    <row r="151" spans="5:13" ht="15" customHeight="1" thickBot="1">
      <c r="E151" s="297" t="s">
        <v>230</v>
      </c>
      <c r="F151" s="298" t="s">
        <v>231</v>
      </c>
      <c r="J151" s="343"/>
      <c r="M151" s="299">
        <f>L169</f>
        <v>2704865</v>
      </c>
    </row>
    <row r="152" spans="5:13" ht="15" customHeight="1" thickBot="1">
      <c r="F152" s="340" t="s">
        <v>136</v>
      </c>
      <c r="G152" s="341" t="s">
        <v>162</v>
      </c>
      <c r="H152" s="352" t="s">
        <v>163</v>
      </c>
      <c r="I152" s="352" t="s">
        <v>138</v>
      </c>
      <c r="J152" s="353" t="s">
        <v>164</v>
      </c>
      <c r="K152" s="341" t="s">
        <v>165</v>
      </c>
      <c r="L152" s="354" t="s">
        <v>166</v>
      </c>
    </row>
    <row r="153" spans="5:13" ht="15" customHeight="1">
      <c r="F153" s="344" t="s">
        <v>167</v>
      </c>
      <c r="G153" s="345" t="s">
        <v>168</v>
      </c>
      <c r="H153" s="346"/>
      <c r="I153" s="346"/>
      <c r="J153" s="347"/>
      <c r="K153" s="328">
        <v>0</v>
      </c>
      <c r="L153" s="310">
        <f>J153*K153</f>
        <v>0</v>
      </c>
    </row>
    <row r="154" spans="5:13" ht="15" customHeight="1">
      <c r="F154" s="306"/>
      <c r="G154" s="301" t="s">
        <v>169</v>
      </c>
      <c r="H154" s="307" t="s">
        <v>170</v>
      </c>
      <c r="I154" s="307" t="s">
        <v>171</v>
      </c>
      <c r="J154" s="308">
        <v>1</v>
      </c>
      <c r="K154" s="309">
        <f>VLOOKUP(G154,Upah,8,FALSE)</f>
        <v>125000</v>
      </c>
      <c r="L154" s="310">
        <f>J154*K154</f>
        <v>125000</v>
      </c>
    </row>
    <row r="155" spans="5:13" ht="15" customHeight="1">
      <c r="F155" s="306"/>
      <c r="G155" s="301" t="s">
        <v>172</v>
      </c>
      <c r="H155" s="307" t="s">
        <v>173</v>
      </c>
      <c r="I155" s="307" t="s">
        <v>171</v>
      </c>
      <c r="J155" s="308">
        <v>1.5</v>
      </c>
      <c r="K155" s="309">
        <f>VLOOKUP(G155,Upah,8,FALSE)</f>
        <v>150000</v>
      </c>
      <c r="L155" s="310">
        <f>J155*K155</f>
        <v>225000</v>
      </c>
    </row>
    <row r="156" spans="5:13" ht="15" customHeight="1">
      <c r="F156" s="306"/>
      <c r="G156" s="301" t="s">
        <v>232</v>
      </c>
      <c r="H156" s="307" t="s">
        <v>175</v>
      </c>
      <c r="I156" s="307" t="s">
        <v>171</v>
      </c>
      <c r="J156" s="308">
        <v>0.15</v>
      </c>
      <c r="K156" s="309">
        <f>VLOOKUP(G156,Upah,8,FALSE)</f>
        <v>165000</v>
      </c>
      <c r="L156" s="310">
        <f>J156*K156</f>
        <v>24750</v>
      </c>
    </row>
    <row r="157" spans="5:13" ht="15" customHeight="1" thickBot="1">
      <c r="F157" s="311"/>
      <c r="G157" s="312" t="s">
        <v>176</v>
      </c>
      <c r="H157" s="313" t="s">
        <v>177</v>
      </c>
      <c r="I157" s="313" t="s">
        <v>171</v>
      </c>
      <c r="J157" s="314">
        <v>0.05</v>
      </c>
      <c r="K157" s="309">
        <f>VLOOKUP(G157,Upah,8,FALSE)</f>
        <v>170000</v>
      </c>
      <c r="L157" s="310">
        <f>J157*K157</f>
        <v>8500</v>
      </c>
    </row>
    <row r="158" spans="5:13" ht="15" customHeight="1" thickBot="1">
      <c r="F158" s="316"/>
      <c r="G158" s="317"/>
      <c r="H158" s="318"/>
      <c r="I158" s="318"/>
      <c r="J158" s="319" t="s">
        <v>178</v>
      </c>
      <c r="K158" s="320"/>
      <c r="L158" s="321">
        <f>SUM(L154:L157)</f>
        <v>383250</v>
      </c>
    </row>
    <row r="159" spans="5:13" ht="15" customHeight="1">
      <c r="F159" s="322" t="s">
        <v>179</v>
      </c>
      <c r="G159" s="323" t="s">
        <v>180</v>
      </c>
      <c r="H159" s="324"/>
      <c r="I159" s="324"/>
      <c r="J159" s="325"/>
      <c r="K159" s="328"/>
      <c r="L159" s="310"/>
    </row>
    <row r="160" spans="5:13" ht="15" customHeight="1">
      <c r="F160" s="306"/>
      <c r="G160" s="301" t="s">
        <v>181</v>
      </c>
      <c r="H160" s="302"/>
      <c r="I160" s="307" t="s">
        <v>182</v>
      </c>
      <c r="J160" s="308">
        <v>3</v>
      </c>
      <c r="K160" s="328">
        <f>VLOOKUP(G160,Bahan,6,FALSE)</f>
        <v>31250</v>
      </c>
      <c r="L160" s="310">
        <f>J160*K160</f>
        <v>93750</v>
      </c>
    </row>
    <row r="161" spans="5:13" ht="15" customHeight="1">
      <c r="F161" s="306"/>
      <c r="G161" s="301" t="s">
        <v>229</v>
      </c>
      <c r="H161" s="302"/>
      <c r="I161" s="307" t="s">
        <v>44</v>
      </c>
      <c r="J161" s="308">
        <v>0.27600000000000002</v>
      </c>
      <c r="K161" s="328">
        <f>VLOOKUP(G161,Bahan,6,FALSE)</f>
        <v>6765000</v>
      </c>
      <c r="L161" s="310">
        <f>J161*K161</f>
        <v>1867140.0000000002</v>
      </c>
    </row>
    <row r="162" spans="5:13" ht="15" customHeight="1">
      <c r="F162" s="306"/>
      <c r="G162" s="301" t="s">
        <v>186</v>
      </c>
      <c r="H162" s="302"/>
      <c r="I162" s="307" t="s">
        <v>45</v>
      </c>
      <c r="J162" s="308">
        <v>0.7</v>
      </c>
      <c r="K162" s="328">
        <f>VLOOKUP(G162,Bahan,6,FALSE)</f>
        <v>27970</v>
      </c>
      <c r="L162" s="310">
        <f>J162*K162</f>
        <v>19579</v>
      </c>
    </row>
    <row r="163" spans="5:13" ht="15" customHeight="1" thickBot="1">
      <c r="F163" s="311"/>
      <c r="G163" s="312" t="s">
        <v>201</v>
      </c>
      <c r="H163" s="329"/>
      <c r="I163" s="313" t="s">
        <v>202</v>
      </c>
      <c r="J163" s="314">
        <v>1.5</v>
      </c>
      <c r="K163" s="328">
        <f>VLOOKUP(G163,Bahan,6,FALSE)</f>
        <v>63500</v>
      </c>
      <c r="L163" s="310">
        <f>J163*K163</f>
        <v>95250</v>
      </c>
    </row>
    <row r="164" spans="5:13" ht="15" customHeight="1" thickBot="1">
      <c r="F164" s="316"/>
      <c r="G164" s="317"/>
      <c r="H164" s="318"/>
      <c r="I164" s="318"/>
      <c r="J164" s="319" t="s">
        <v>189</v>
      </c>
      <c r="K164" s="320"/>
      <c r="L164" s="321">
        <f>SUM(L159:L163)</f>
        <v>2075719.0000000002</v>
      </c>
    </row>
    <row r="165" spans="5:13" ht="15" customHeight="1" thickBot="1">
      <c r="F165" s="331" t="s">
        <v>190</v>
      </c>
      <c r="G165" s="332" t="s">
        <v>191</v>
      </c>
      <c r="H165" s="333"/>
      <c r="I165" s="333"/>
      <c r="J165" s="334"/>
      <c r="K165" s="328">
        <v>0</v>
      </c>
      <c r="L165" s="310">
        <f>J165*K165</f>
        <v>0</v>
      </c>
    </row>
    <row r="166" spans="5:13" ht="15" customHeight="1" thickBot="1">
      <c r="F166" s="316"/>
      <c r="G166" s="317"/>
      <c r="H166" s="318"/>
      <c r="I166" s="318"/>
      <c r="J166" s="319" t="s">
        <v>192</v>
      </c>
      <c r="K166" s="320"/>
      <c r="L166" s="321">
        <f>L165</f>
        <v>0</v>
      </c>
    </row>
    <row r="167" spans="5:13" ht="15" customHeight="1">
      <c r="F167" s="344" t="s">
        <v>193</v>
      </c>
      <c r="G167" s="345" t="s">
        <v>194</v>
      </c>
      <c r="H167" s="346"/>
      <c r="I167" s="346"/>
      <c r="J167" s="347"/>
      <c r="K167" s="328">
        <v>0</v>
      </c>
      <c r="L167" s="310">
        <f>SUM(L154:L165)/2</f>
        <v>2458969</v>
      </c>
    </row>
    <row r="168" spans="5:13" ht="15" customHeight="1" thickBot="1">
      <c r="F168" s="331" t="s">
        <v>195</v>
      </c>
      <c r="G168" s="332" t="s">
        <v>196</v>
      </c>
      <c r="H168" s="333"/>
      <c r="I168" s="333"/>
      <c r="J168" s="350">
        <v>0.1</v>
      </c>
      <c r="K168" s="339"/>
      <c r="L168" s="330">
        <f>J168*L167</f>
        <v>245896.90000000002</v>
      </c>
    </row>
    <row r="169" spans="5:13" ht="15" customHeight="1" thickBot="1">
      <c r="F169" s="340" t="s">
        <v>197</v>
      </c>
      <c r="G169" s="341" t="s">
        <v>198</v>
      </c>
      <c r="H169" s="318"/>
      <c r="I169" s="318"/>
      <c r="J169" s="342"/>
      <c r="K169" s="320">
        <v>0</v>
      </c>
      <c r="L169" s="321">
        <f>ROUNDDOWN(L167+L168,0)</f>
        <v>2704865</v>
      </c>
    </row>
    <row r="170" spans="5:13" ht="15" customHeight="1">
      <c r="F170" s="298"/>
      <c r="G170" s="298"/>
      <c r="J170" s="343"/>
    </row>
    <row r="171" spans="5:13" ht="15" customHeight="1" thickBot="1">
      <c r="E171" s="297" t="s">
        <v>233</v>
      </c>
      <c r="F171" s="298" t="s">
        <v>234</v>
      </c>
      <c r="J171" s="343"/>
      <c r="M171" s="299">
        <f>L183</f>
        <v>23100</v>
      </c>
    </row>
    <row r="172" spans="5:13" ht="15" customHeight="1" thickBot="1">
      <c r="E172" s="297" t="s">
        <v>233</v>
      </c>
      <c r="F172" s="340" t="s">
        <v>136</v>
      </c>
      <c r="G172" s="341" t="s">
        <v>162</v>
      </c>
      <c r="H172" s="352" t="s">
        <v>163</v>
      </c>
      <c r="I172" s="352" t="s">
        <v>138</v>
      </c>
      <c r="J172" s="353" t="s">
        <v>164</v>
      </c>
      <c r="K172" s="341" t="s">
        <v>165</v>
      </c>
      <c r="L172" s="354" t="s">
        <v>166</v>
      </c>
    </row>
    <row r="173" spans="5:13" ht="15" customHeight="1">
      <c r="E173" s="297" t="s">
        <v>233</v>
      </c>
      <c r="F173" s="344" t="s">
        <v>167</v>
      </c>
      <c r="G173" s="345" t="s">
        <v>168</v>
      </c>
      <c r="H173" s="346"/>
      <c r="I173" s="346"/>
      <c r="J173" s="347"/>
      <c r="K173" s="328">
        <v>0</v>
      </c>
      <c r="L173" s="310"/>
    </row>
    <row r="174" spans="5:13" ht="15" customHeight="1">
      <c r="E174" s="297" t="s">
        <v>233</v>
      </c>
      <c r="F174" s="306"/>
      <c r="G174" s="301" t="s">
        <v>169</v>
      </c>
      <c r="H174" s="307" t="s">
        <v>170</v>
      </c>
      <c r="I174" s="307" t="s">
        <v>171</v>
      </c>
      <c r="J174" s="308">
        <v>0.1</v>
      </c>
      <c r="K174" s="309">
        <f>VLOOKUP(G174,Upah,8,FALSE)</f>
        <v>125000</v>
      </c>
      <c r="L174" s="310">
        <f>J174*K174</f>
        <v>12500</v>
      </c>
    </row>
    <row r="175" spans="5:13" ht="15" customHeight="1" thickBot="1">
      <c r="E175" s="297" t="s">
        <v>233</v>
      </c>
      <c r="F175" s="311"/>
      <c r="G175" s="312" t="s">
        <v>176</v>
      </c>
      <c r="H175" s="313" t="s">
        <v>177</v>
      </c>
      <c r="I175" s="313" t="s">
        <v>171</v>
      </c>
      <c r="J175" s="314">
        <v>0.05</v>
      </c>
      <c r="K175" s="309">
        <f>VLOOKUP(G175,Upah,8,FALSE)</f>
        <v>170000</v>
      </c>
      <c r="L175" s="310">
        <f>J175*K175</f>
        <v>8500</v>
      </c>
    </row>
    <row r="176" spans="5:13" ht="15" customHeight="1" thickBot="1">
      <c r="E176" s="297" t="s">
        <v>233</v>
      </c>
      <c r="F176" s="316"/>
      <c r="G176" s="317"/>
      <c r="H176" s="318"/>
      <c r="I176" s="318"/>
      <c r="J176" s="319" t="s">
        <v>178</v>
      </c>
      <c r="K176" s="320"/>
      <c r="L176" s="321">
        <f>SUM(L174:L175)</f>
        <v>21000</v>
      </c>
    </row>
    <row r="177" spans="5:13" ht="15" customHeight="1" thickBot="1">
      <c r="E177" s="297" t="s">
        <v>233</v>
      </c>
      <c r="F177" s="331" t="s">
        <v>179</v>
      </c>
      <c r="G177" s="332" t="s">
        <v>180</v>
      </c>
      <c r="H177" s="333"/>
      <c r="I177" s="333"/>
      <c r="J177" s="334"/>
      <c r="K177" s="328">
        <v>0</v>
      </c>
      <c r="L177" s="310"/>
    </row>
    <row r="178" spans="5:13" ht="15" customHeight="1" thickBot="1">
      <c r="E178" s="297" t="s">
        <v>233</v>
      </c>
      <c r="F178" s="316"/>
      <c r="G178" s="317"/>
      <c r="H178" s="318"/>
      <c r="I178" s="318"/>
      <c r="J178" s="319" t="s">
        <v>189</v>
      </c>
      <c r="K178" s="320"/>
      <c r="L178" s="321"/>
    </row>
    <row r="179" spans="5:13" ht="15" customHeight="1" thickBot="1">
      <c r="E179" s="297" t="s">
        <v>233</v>
      </c>
      <c r="F179" s="331" t="s">
        <v>190</v>
      </c>
      <c r="G179" s="332" t="s">
        <v>191</v>
      </c>
      <c r="H179" s="333"/>
      <c r="I179" s="333"/>
      <c r="J179" s="334"/>
      <c r="K179" s="328">
        <v>0</v>
      </c>
      <c r="L179" s="310">
        <f>J179*K179</f>
        <v>0</v>
      </c>
    </row>
    <row r="180" spans="5:13" ht="15" customHeight="1" thickBot="1">
      <c r="E180" s="297" t="s">
        <v>233</v>
      </c>
      <c r="F180" s="316"/>
      <c r="G180" s="317"/>
      <c r="H180" s="318"/>
      <c r="I180" s="318"/>
      <c r="J180" s="319" t="s">
        <v>192</v>
      </c>
      <c r="K180" s="320"/>
      <c r="L180" s="321">
        <f>L179</f>
        <v>0</v>
      </c>
    </row>
    <row r="181" spans="5:13" ht="15" customHeight="1">
      <c r="E181" s="297" t="s">
        <v>233</v>
      </c>
      <c r="F181" s="344" t="s">
        <v>193</v>
      </c>
      <c r="G181" s="345" t="s">
        <v>194</v>
      </c>
      <c r="H181" s="346"/>
      <c r="I181" s="346"/>
      <c r="J181" s="347"/>
      <c r="K181" s="348">
        <v>0</v>
      </c>
      <c r="L181" s="310">
        <f>SUM(L174:L180)/2</f>
        <v>21000</v>
      </c>
    </row>
    <row r="182" spans="5:13" ht="15" customHeight="1" thickBot="1">
      <c r="E182" s="297" t="s">
        <v>233</v>
      </c>
      <c r="F182" s="331" t="s">
        <v>195</v>
      </c>
      <c r="G182" s="332" t="s">
        <v>196</v>
      </c>
      <c r="H182" s="333"/>
      <c r="I182" s="333"/>
      <c r="J182" s="350">
        <v>0.1</v>
      </c>
      <c r="K182" s="335"/>
      <c r="L182" s="330">
        <f>J182*L181</f>
        <v>2100</v>
      </c>
    </row>
    <row r="183" spans="5:13" ht="15" customHeight="1" thickBot="1">
      <c r="E183" s="297" t="s">
        <v>233</v>
      </c>
      <c r="F183" s="340" t="s">
        <v>197</v>
      </c>
      <c r="G183" s="341" t="s">
        <v>198</v>
      </c>
      <c r="H183" s="318"/>
      <c r="I183" s="318"/>
      <c r="J183" s="342"/>
      <c r="K183" s="320">
        <v>0</v>
      </c>
      <c r="L183" s="321">
        <f>ROUNDDOWN(L181+L182,0)</f>
        <v>23100</v>
      </c>
    </row>
    <row r="184" spans="5:13" ht="15" customHeight="1">
      <c r="F184" s="298"/>
      <c r="J184" s="343"/>
    </row>
    <row r="185" spans="5:13" ht="15" customHeight="1" thickBot="1">
      <c r="E185" s="297" t="s">
        <v>235</v>
      </c>
      <c r="F185" s="298" t="s">
        <v>236</v>
      </c>
      <c r="J185" s="343"/>
      <c r="M185" s="299">
        <f>L207</f>
        <v>2251846</v>
      </c>
    </row>
    <row r="186" spans="5:13" ht="15" customHeight="1" thickBot="1">
      <c r="E186" s="297" t="s">
        <v>235</v>
      </c>
      <c r="F186" s="340" t="s">
        <v>136</v>
      </c>
      <c r="G186" s="341" t="s">
        <v>162</v>
      </c>
      <c r="H186" s="352" t="s">
        <v>163</v>
      </c>
      <c r="I186" s="352" t="s">
        <v>138</v>
      </c>
      <c r="J186" s="353" t="s">
        <v>164</v>
      </c>
      <c r="K186" s="341" t="s">
        <v>165</v>
      </c>
      <c r="L186" s="354" t="s">
        <v>166</v>
      </c>
    </row>
    <row r="187" spans="5:13" ht="15" customHeight="1">
      <c r="E187" s="297" t="s">
        <v>235</v>
      </c>
      <c r="F187" s="344" t="s">
        <v>167</v>
      </c>
      <c r="G187" s="345" t="s">
        <v>168</v>
      </c>
      <c r="H187" s="346"/>
      <c r="I187" s="346"/>
      <c r="J187" s="347"/>
      <c r="K187" s="328"/>
      <c r="L187" s="310"/>
    </row>
    <row r="188" spans="5:13" ht="15" customHeight="1">
      <c r="E188" s="297" t="s">
        <v>235</v>
      </c>
      <c r="F188" s="306"/>
      <c r="G188" s="301" t="s">
        <v>169</v>
      </c>
      <c r="H188" s="307" t="s">
        <v>170</v>
      </c>
      <c r="I188" s="307" t="s">
        <v>171</v>
      </c>
      <c r="J188" s="308">
        <v>1</v>
      </c>
      <c r="K188" s="309">
        <f>VLOOKUP(G188,Upah,8,FALSE)</f>
        <v>125000</v>
      </c>
      <c r="L188" s="310">
        <f>J188*K188</f>
        <v>125000</v>
      </c>
    </row>
    <row r="189" spans="5:13" ht="15" customHeight="1">
      <c r="E189" s="297" t="s">
        <v>235</v>
      </c>
      <c r="F189" s="306"/>
      <c r="G189" s="301" t="s">
        <v>172</v>
      </c>
      <c r="H189" s="307" t="s">
        <v>173</v>
      </c>
      <c r="I189" s="307" t="s">
        <v>171</v>
      </c>
      <c r="J189" s="308">
        <v>2</v>
      </c>
      <c r="K189" s="309">
        <f>VLOOKUP(G189,Upah,8,FALSE)</f>
        <v>150000</v>
      </c>
      <c r="L189" s="310">
        <f>J189*K189</f>
        <v>300000</v>
      </c>
    </row>
    <row r="190" spans="5:13" ht="15" customHeight="1">
      <c r="E190" s="297" t="s">
        <v>235</v>
      </c>
      <c r="F190" s="306"/>
      <c r="G190" s="301" t="s">
        <v>174</v>
      </c>
      <c r="H190" s="307" t="s">
        <v>175</v>
      </c>
      <c r="I190" s="307" t="s">
        <v>171</v>
      </c>
      <c r="J190" s="308">
        <v>0.2</v>
      </c>
      <c r="K190" s="309">
        <f>VLOOKUP(G190,Upah,8,FALSE)</f>
        <v>165000</v>
      </c>
      <c r="L190" s="310">
        <f>J190*K190</f>
        <v>33000</v>
      </c>
    </row>
    <row r="191" spans="5:13" ht="15" customHeight="1" thickBot="1">
      <c r="E191" s="297" t="s">
        <v>235</v>
      </c>
      <c r="F191" s="311"/>
      <c r="G191" s="312" t="s">
        <v>176</v>
      </c>
      <c r="H191" s="313" t="s">
        <v>177</v>
      </c>
      <c r="I191" s="313" t="s">
        <v>171</v>
      </c>
      <c r="J191" s="314">
        <v>0.05</v>
      </c>
      <c r="K191" s="309">
        <f>VLOOKUP(G191,Upah,8,FALSE)</f>
        <v>170000</v>
      </c>
      <c r="L191" s="310">
        <f>J191*K191</f>
        <v>8500</v>
      </c>
    </row>
    <row r="192" spans="5:13" ht="15" customHeight="1" thickBot="1">
      <c r="E192" s="297" t="s">
        <v>235</v>
      </c>
      <c r="F192" s="316"/>
      <c r="G192" s="317"/>
      <c r="H192" s="318"/>
      <c r="I192" s="318"/>
      <c r="J192" s="319" t="s">
        <v>178</v>
      </c>
      <c r="K192" s="320"/>
      <c r="L192" s="321">
        <f>SUM(L188:L191)</f>
        <v>466500</v>
      </c>
    </row>
    <row r="193" spans="5:12" ht="15" customHeight="1">
      <c r="E193" s="297" t="s">
        <v>235</v>
      </c>
      <c r="F193" s="322" t="s">
        <v>179</v>
      </c>
      <c r="G193" s="323" t="s">
        <v>180</v>
      </c>
      <c r="H193" s="324"/>
      <c r="I193" s="324"/>
      <c r="J193" s="325"/>
      <c r="K193" s="328">
        <v>0</v>
      </c>
      <c r="L193" s="310"/>
    </row>
    <row r="194" spans="5:12" ht="15" customHeight="1">
      <c r="E194" s="297" t="s">
        <v>235</v>
      </c>
      <c r="F194" s="306"/>
      <c r="G194" s="301" t="s">
        <v>181</v>
      </c>
      <c r="H194" s="302"/>
      <c r="I194" s="307" t="s">
        <v>182</v>
      </c>
      <c r="J194" s="308">
        <v>1.25</v>
      </c>
      <c r="K194" s="328">
        <f t="shared" ref="K194:K201" si="10">VLOOKUP(G194,Bahan,6,FALSE)</f>
        <v>31250</v>
      </c>
      <c r="L194" s="310">
        <f t="shared" ref="L194:L201" si="11">J194*K194</f>
        <v>39062.5</v>
      </c>
    </row>
    <row r="195" spans="5:12" ht="15" customHeight="1">
      <c r="E195" s="297" t="s">
        <v>235</v>
      </c>
      <c r="F195" s="306"/>
      <c r="G195" s="301" t="s">
        <v>229</v>
      </c>
      <c r="H195" s="302"/>
      <c r="I195" s="307" t="s">
        <v>44</v>
      </c>
      <c r="J195" s="308">
        <v>0.186</v>
      </c>
      <c r="K195" s="328">
        <f t="shared" si="10"/>
        <v>6765000</v>
      </c>
      <c r="L195" s="310">
        <f t="shared" si="11"/>
        <v>1258290</v>
      </c>
    </row>
    <row r="196" spans="5:12" ht="15" customHeight="1">
      <c r="E196" s="297" t="s">
        <v>235</v>
      </c>
      <c r="F196" s="306"/>
      <c r="G196" s="301" t="s">
        <v>186</v>
      </c>
      <c r="H196" s="302"/>
      <c r="I196" s="307" t="s">
        <v>45</v>
      </c>
      <c r="J196" s="308">
        <v>0.3</v>
      </c>
      <c r="K196" s="328">
        <f t="shared" si="10"/>
        <v>27970</v>
      </c>
      <c r="L196" s="310">
        <f t="shared" si="11"/>
        <v>8391</v>
      </c>
    </row>
    <row r="197" spans="5:12" ht="15" customHeight="1">
      <c r="E197" s="297" t="s">
        <v>235</v>
      </c>
      <c r="F197" s="306"/>
      <c r="G197" s="301" t="s">
        <v>183</v>
      </c>
      <c r="H197" s="302"/>
      <c r="I197" s="307" t="s">
        <v>45</v>
      </c>
      <c r="J197" s="308">
        <v>18</v>
      </c>
      <c r="K197" s="328">
        <f t="shared" si="10"/>
        <v>1880</v>
      </c>
      <c r="L197" s="310">
        <f t="shared" si="11"/>
        <v>33840</v>
      </c>
    </row>
    <row r="198" spans="5:12" ht="15" customHeight="1">
      <c r="E198" s="297" t="s">
        <v>235</v>
      </c>
      <c r="F198" s="306"/>
      <c r="G198" s="301" t="s">
        <v>1700</v>
      </c>
      <c r="H198" s="302"/>
      <c r="I198" s="307" t="s">
        <v>44</v>
      </c>
      <c r="J198" s="308">
        <v>0.03</v>
      </c>
      <c r="K198" s="328">
        <f t="shared" si="10"/>
        <v>350000</v>
      </c>
      <c r="L198" s="310">
        <f t="shared" si="11"/>
        <v>10500</v>
      </c>
    </row>
    <row r="199" spans="5:12" ht="15" customHeight="1">
      <c r="E199" s="297" t="s">
        <v>235</v>
      </c>
      <c r="F199" s="306"/>
      <c r="G199" s="301" t="s">
        <v>184</v>
      </c>
      <c r="H199" s="302"/>
      <c r="I199" s="307" t="s">
        <v>44</v>
      </c>
      <c r="J199" s="308">
        <v>0.05</v>
      </c>
      <c r="K199" s="328">
        <f t="shared" si="10"/>
        <v>600000</v>
      </c>
      <c r="L199" s="310">
        <f t="shared" si="11"/>
        <v>30000</v>
      </c>
    </row>
    <row r="200" spans="5:12" ht="15" customHeight="1">
      <c r="E200" s="297" t="s">
        <v>235</v>
      </c>
      <c r="F200" s="306"/>
      <c r="G200" s="301" t="s">
        <v>201</v>
      </c>
      <c r="H200" s="302"/>
      <c r="I200" s="307" t="s">
        <v>202</v>
      </c>
      <c r="J200" s="308">
        <v>1.5</v>
      </c>
      <c r="K200" s="328">
        <f t="shared" si="10"/>
        <v>63500</v>
      </c>
      <c r="L200" s="310">
        <f t="shared" si="11"/>
        <v>95250</v>
      </c>
    </row>
    <row r="201" spans="5:12" ht="15" customHeight="1" thickBot="1">
      <c r="E201" s="297" t="s">
        <v>235</v>
      </c>
      <c r="F201" s="311"/>
      <c r="G201" s="312" t="s">
        <v>226</v>
      </c>
      <c r="H201" s="329"/>
      <c r="I201" s="313" t="s">
        <v>202</v>
      </c>
      <c r="J201" s="314">
        <v>1.35</v>
      </c>
      <c r="K201" s="328">
        <f t="shared" si="10"/>
        <v>78000</v>
      </c>
      <c r="L201" s="310">
        <f t="shared" si="11"/>
        <v>105300</v>
      </c>
    </row>
    <row r="202" spans="5:12" ht="15" customHeight="1" thickBot="1">
      <c r="E202" s="297" t="s">
        <v>235</v>
      </c>
      <c r="F202" s="316"/>
      <c r="G202" s="317"/>
      <c r="H202" s="318"/>
      <c r="I202" s="318"/>
      <c r="J202" s="319" t="s">
        <v>189</v>
      </c>
      <c r="K202" s="320"/>
      <c r="L202" s="321">
        <f>SUM(L194:L201)</f>
        <v>1580633.5</v>
      </c>
    </row>
    <row r="203" spans="5:12" ht="15" customHeight="1" thickBot="1">
      <c r="E203" s="297" t="s">
        <v>235</v>
      </c>
      <c r="F203" s="331" t="s">
        <v>190</v>
      </c>
      <c r="G203" s="332" t="s">
        <v>191</v>
      </c>
      <c r="H203" s="333"/>
      <c r="I203" s="333"/>
      <c r="J203" s="334"/>
      <c r="K203" s="328">
        <v>0</v>
      </c>
      <c r="L203" s="310">
        <f>J203*K203</f>
        <v>0</v>
      </c>
    </row>
    <row r="204" spans="5:12" ht="15" customHeight="1" thickBot="1">
      <c r="E204" s="297" t="s">
        <v>235</v>
      </c>
      <c r="F204" s="316"/>
      <c r="G204" s="317"/>
      <c r="H204" s="318"/>
      <c r="I204" s="318"/>
      <c r="J204" s="319" t="s">
        <v>192</v>
      </c>
      <c r="K204" s="320"/>
      <c r="L204" s="321">
        <f>L203</f>
        <v>0</v>
      </c>
    </row>
    <row r="205" spans="5:12" ht="15" customHeight="1">
      <c r="E205" s="297" t="s">
        <v>235</v>
      </c>
      <c r="F205" s="344" t="s">
        <v>193</v>
      </c>
      <c r="G205" s="345" t="s">
        <v>194</v>
      </c>
      <c r="H205" s="346"/>
      <c r="I205" s="346"/>
      <c r="J205" s="347"/>
      <c r="K205" s="348">
        <v>0</v>
      </c>
      <c r="L205" s="310">
        <f>SUM(L188:L204)/2</f>
        <v>2047133.5</v>
      </c>
    </row>
    <row r="206" spans="5:12" ht="15" customHeight="1" thickBot="1">
      <c r="E206" s="297" t="s">
        <v>235</v>
      </c>
      <c r="F206" s="331" t="s">
        <v>195</v>
      </c>
      <c r="G206" s="332" t="s">
        <v>196</v>
      </c>
      <c r="H206" s="333"/>
      <c r="I206" s="333"/>
      <c r="J206" s="350">
        <v>0.1</v>
      </c>
      <c r="K206" s="335"/>
      <c r="L206" s="330">
        <f>J206*L205</f>
        <v>204713.35</v>
      </c>
    </row>
    <row r="207" spans="5:12" ht="15" customHeight="1" thickBot="1">
      <c r="E207" s="297" t="s">
        <v>235</v>
      </c>
      <c r="F207" s="340" t="s">
        <v>197</v>
      </c>
      <c r="G207" s="341" t="s">
        <v>198</v>
      </c>
      <c r="H207" s="318"/>
      <c r="I207" s="318"/>
      <c r="J207" s="342"/>
      <c r="K207" s="320">
        <v>0</v>
      </c>
      <c r="L207" s="321">
        <f>ROUNDDOWN(L205+L206,0)</f>
        <v>2251846</v>
      </c>
    </row>
    <row r="208" spans="5:12" ht="15" customHeight="1">
      <c r="F208" s="298"/>
      <c r="G208" s="298"/>
      <c r="J208" s="343"/>
    </row>
    <row r="209" spans="5:13" ht="15" customHeight="1" thickBot="1">
      <c r="E209" s="297" t="s">
        <v>237</v>
      </c>
      <c r="F209" s="298" t="s">
        <v>238</v>
      </c>
      <c r="J209" s="343"/>
      <c r="M209" s="299">
        <f>L224</f>
        <v>244258</v>
      </c>
    </row>
    <row r="210" spans="5:13" ht="15" customHeight="1" thickBot="1">
      <c r="E210" s="297" t="s">
        <v>237</v>
      </c>
      <c r="F210" s="340" t="s">
        <v>136</v>
      </c>
      <c r="G210" s="341" t="s">
        <v>162</v>
      </c>
      <c r="H210" s="352" t="s">
        <v>163</v>
      </c>
      <c r="I210" s="352" t="s">
        <v>138</v>
      </c>
      <c r="J210" s="353" t="s">
        <v>164</v>
      </c>
      <c r="K210" s="341" t="s">
        <v>165</v>
      </c>
      <c r="L210" s="354" t="s">
        <v>166</v>
      </c>
    </row>
    <row r="211" spans="5:13" ht="15" customHeight="1">
      <c r="E211" s="297" t="s">
        <v>237</v>
      </c>
      <c r="F211" s="344" t="s">
        <v>167</v>
      </c>
      <c r="G211" s="345" t="s">
        <v>168</v>
      </c>
      <c r="H211" s="346"/>
      <c r="I211" s="346"/>
      <c r="J211" s="347"/>
      <c r="K211" s="328">
        <v>0</v>
      </c>
      <c r="L211" s="310">
        <f>J211*K211</f>
        <v>0</v>
      </c>
    </row>
    <row r="212" spans="5:13" ht="15" customHeight="1">
      <c r="E212" s="297" t="s">
        <v>237</v>
      </c>
      <c r="F212" s="306"/>
      <c r="G212" s="301" t="s">
        <v>172</v>
      </c>
      <c r="H212" s="307" t="s">
        <v>173</v>
      </c>
      <c r="I212" s="307" t="s">
        <v>171</v>
      </c>
      <c r="J212" s="308">
        <v>0.3</v>
      </c>
      <c r="K212" s="309">
        <f>VLOOKUP(G212,Upah,8,FALSE)</f>
        <v>150000</v>
      </c>
      <c r="L212" s="310">
        <f>J212*K212</f>
        <v>45000</v>
      </c>
    </row>
    <row r="213" spans="5:13" ht="15" customHeight="1" thickBot="1">
      <c r="E213" s="297" t="s">
        <v>237</v>
      </c>
      <c r="F213" s="311"/>
      <c r="G213" s="312" t="s">
        <v>174</v>
      </c>
      <c r="H213" s="313" t="s">
        <v>175</v>
      </c>
      <c r="I213" s="313" t="s">
        <v>171</v>
      </c>
      <c r="J213" s="314">
        <v>0.03</v>
      </c>
      <c r="K213" s="309">
        <f>VLOOKUP(G213,Upah,8,FALSE)</f>
        <v>165000</v>
      </c>
      <c r="L213" s="310">
        <f>J213*K213</f>
        <v>4950</v>
      </c>
    </row>
    <row r="214" spans="5:13" ht="15" customHeight="1" thickBot="1">
      <c r="E214" s="297" t="s">
        <v>237</v>
      </c>
      <c r="F214" s="316"/>
      <c r="G214" s="317"/>
      <c r="H214" s="318"/>
      <c r="I214" s="318"/>
      <c r="J214" s="319" t="s">
        <v>178</v>
      </c>
      <c r="K214" s="320"/>
      <c r="L214" s="321">
        <f>SUM(L211:L213)</f>
        <v>49950</v>
      </c>
    </row>
    <row r="215" spans="5:13" ht="15" customHeight="1">
      <c r="E215" s="297" t="s">
        <v>237</v>
      </c>
      <c r="F215" s="322" t="s">
        <v>179</v>
      </c>
      <c r="G215" s="323" t="s">
        <v>180</v>
      </c>
      <c r="H215" s="324"/>
      <c r="I215" s="324"/>
      <c r="J215" s="325"/>
      <c r="K215" s="328">
        <v>0</v>
      </c>
      <c r="L215" s="310">
        <f>J215*K215</f>
        <v>0</v>
      </c>
    </row>
    <row r="216" spans="5:13" ht="15" customHeight="1">
      <c r="E216" s="297" t="s">
        <v>237</v>
      </c>
      <c r="F216" s="306"/>
      <c r="G216" s="301" t="s">
        <v>239</v>
      </c>
      <c r="H216" s="302"/>
      <c r="I216" s="307" t="s">
        <v>44</v>
      </c>
      <c r="J216" s="308">
        <v>3.5999999999999997E-2</v>
      </c>
      <c r="K216" s="328">
        <f>VLOOKUP(G216,Bahan,6,FALSE)</f>
        <v>3175000</v>
      </c>
      <c r="L216" s="310">
        <f>J216*K216</f>
        <v>114299.99999999999</v>
      </c>
    </row>
    <row r="217" spans="5:13" ht="15" customHeight="1">
      <c r="E217" s="297" t="s">
        <v>237</v>
      </c>
      <c r="F217" s="306"/>
      <c r="G217" s="301" t="s">
        <v>240</v>
      </c>
      <c r="H217" s="302"/>
      <c r="I217" s="307" t="s">
        <v>44</v>
      </c>
      <c r="J217" s="351">
        <v>2.1000000000000001E-2</v>
      </c>
      <c r="K217" s="328">
        <f>VLOOKUP(G217,Bahan,6,FALSE)</f>
        <v>2646000</v>
      </c>
      <c r="L217" s="310">
        <f>J217*K217</f>
        <v>55566</v>
      </c>
    </row>
    <row r="218" spans="5:13" ht="15" customHeight="1" thickBot="1">
      <c r="E218" s="297" t="s">
        <v>237</v>
      </c>
      <c r="F218" s="311"/>
      <c r="G218" s="312" t="s">
        <v>186</v>
      </c>
      <c r="H218" s="329"/>
      <c r="I218" s="313" t="s">
        <v>38</v>
      </c>
      <c r="J218" s="314">
        <v>0.08</v>
      </c>
      <c r="K218" s="328">
        <f>VLOOKUP(G218,Bahan,6,FALSE)</f>
        <v>27970</v>
      </c>
      <c r="L218" s="310">
        <f>J218*K218</f>
        <v>2237.6</v>
      </c>
    </row>
    <row r="219" spans="5:13" ht="15" customHeight="1" thickBot="1">
      <c r="E219" s="297" t="s">
        <v>237</v>
      </c>
      <c r="F219" s="316"/>
      <c r="G219" s="317"/>
      <c r="H219" s="318"/>
      <c r="I219" s="318"/>
      <c r="J219" s="319" t="s">
        <v>189</v>
      </c>
      <c r="K219" s="320"/>
      <c r="L219" s="321">
        <f>SUM(L216:L218)</f>
        <v>172103.6</v>
      </c>
    </row>
    <row r="220" spans="5:13" ht="15" customHeight="1" thickBot="1">
      <c r="E220" s="297" t="s">
        <v>237</v>
      </c>
      <c r="F220" s="331" t="s">
        <v>190</v>
      </c>
      <c r="G220" s="332" t="s">
        <v>191</v>
      </c>
      <c r="H220" s="333"/>
      <c r="I220" s="333"/>
      <c r="J220" s="334"/>
      <c r="K220" s="328">
        <v>0</v>
      </c>
      <c r="L220" s="310">
        <f>J220*K220</f>
        <v>0</v>
      </c>
    </row>
    <row r="221" spans="5:13" ht="15" customHeight="1" thickBot="1">
      <c r="E221" s="297" t="s">
        <v>237</v>
      </c>
      <c r="F221" s="316"/>
      <c r="G221" s="317"/>
      <c r="H221" s="318"/>
      <c r="I221" s="318"/>
      <c r="J221" s="319" t="s">
        <v>192</v>
      </c>
      <c r="K221" s="320"/>
      <c r="L221" s="321">
        <f>L220</f>
        <v>0</v>
      </c>
    </row>
    <row r="222" spans="5:13" ht="15" customHeight="1">
      <c r="E222" s="297" t="s">
        <v>237</v>
      </c>
      <c r="F222" s="344" t="s">
        <v>193</v>
      </c>
      <c r="G222" s="345" t="s">
        <v>194</v>
      </c>
      <c r="H222" s="346"/>
      <c r="I222" s="346"/>
      <c r="J222" s="347"/>
      <c r="K222" s="348">
        <v>0</v>
      </c>
      <c r="L222" s="310">
        <f>SUM(L212:L221)/2</f>
        <v>222053.59999999998</v>
      </c>
    </row>
    <row r="223" spans="5:13" ht="15" customHeight="1" thickBot="1">
      <c r="E223" s="297" t="s">
        <v>237</v>
      </c>
      <c r="F223" s="331" t="s">
        <v>195</v>
      </c>
      <c r="G223" s="332" t="s">
        <v>196</v>
      </c>
      <c r="H223" s="333"/>
      <c r="I223" s="333"/>
      <c r="J223" s="350">
        <v>0.1</v>
      </c>
      <c r="K223" s="335"/>
      <c r="L223" s="330">
        <f>J223*L222</f>
        <v>22205.360000000001</v>
      </c>
    </row>
    <row r="224" spans="5:13" ht="15" customHeight="1" thickBot="1">
      <c r="E224" s="297" t="s">
        <v>237</v>
      </c>
      <c r="F224" s="340" t="s">
        <v>197</v>
      </c>
      <c r="G224" s="341" t="s">
        <v>198</v>
      </c>
      <c r="H224" s="318"/>
      <c r="I224" s="318"/>
      <c r="J224" s="342"/>
      <c r="K224" s="320">
        <v>0</v>
      </c>
      <c r="L224" s="321">
        <f>ROUNDDOWN(L222+L223,0)</f>
        <v>244258</v>
      </c>
    </row>
    <row r="225" spans="5:13" ht="15" customHeight="1">
      <c r="F225" s="298"/>
      <c r="G225" s="298"/>
      <c r="J225" s="343"/>
      <c r="K225" s="355"/>
      <c r="L225" s="299"/>
    </row>
    <row r="226" spans="5:13" ht="15" customHeight="1" thickBot="1">
      <c r="E226" s="297" t="s">
        <v>241</v>
      </c>
      <c r="F226" s="298" t="s">
        <v>242</v>
      </c>
      <c r="G226" s="298"/>
      <c r="J226" s="343"/>
      <c r="M226" s="299">
        <f>L242</f>
        <v>548811</v>
      </c>
    </row>
    <row r="227" spans="5:13" ht="15" customHeight="1" thickBot="1">
      <c r="E227" s="297" t="s">
        <v>241</v>
      </c>
      <c r="F227" s="340" t="s">
        <v>136</v>
      </c>
      <c r="G227" s="341" t="s">
        <v>162</v>
      </c>
      <c r="H227" s="352" t="s">
        <v>163</v>
      </c>
      <c r="I227" s="352" t="s">
        <v>138</v>
      </c>
      <c r="J227" s="353" t="s">
        <v>164</v>
      </c>
      <c r="K227" s="341" t="s">
        <v>165</v>
      </c>
      <c r="L227" s="354" t="s">
        <v>166</v>
      </c>
    </row>
    <row r="228" spans="5:13" ht="15" customHeight="1">
      <c r="E228" s="297" t="s">
        <v>241</v>
      </c>
      <c r="F228" s="300" t="s">
        <v>167</v>
      </c>
      <c r="G228" s="301" t="s">
        <v>168</v>
      </c>
      <c r="H228" s="302"/>
      <c r="I228" s="302"/>
      <c r="J228" s="351"/>
      <c r="K228" s="328"/>
      <c r="L228" s="310"/>
    </row>
    <row r="229" spans="5:13" ht="15" customHeight="1">
      <c r="E229" s="297" t="s">
        <v>241</v>
      </c>
      <c r="F229" s="306"/>
      <c r="G229" s="301" t="s">
        <v>169</v>
      </c>
      <c r="H229" s="307" t="s">
        <v>170</v>
      </c>
      <c r="I229" s="307" t="s">
        <v>171</v>
      </c>
      <c r="J229" s="308">
        <v>1</v>
      </c>
      <c r="K229" s="309">
        <f>VLOOKUP(G229,Upah,8,FALSE)</f>
        <v>125000</v>
      </c>
      <c r="L229" s="310">
        <f>J229*K229</f>
        <v>125000</v>
      </c>
    </row>
    <row r="230" spans="5:13" ht="15" customHeight="1">
      <c r="E230" s="297" t="s">
        <v>241</v>
      </c>
      <c r="F230" s="306"/>
      <c r="G230" s="301" t="s">
        <v>172</v>
      </c>
      <c r="H230" s="307" t="s">
        <v>173</v>
      </c>
      <c r="I230" s="307" t="s">
        <v>171</v>
      </c>
      <c r="J230" s="308">
        <v>2</v>
      </c>
      <c r="K230" s="309">
        <f>VLOOKUP(G230,Upah,8,FALSE)</f>
        <v>150000</v>
      </c>
      <c r="L230" s="310">
        <f>J230*K230</f>
        <v>300000</v>
      </c>
    </row>
    <row r="231" spans="5:13" ht="15" customHeight="1">
      <c r="E231" s="297" t="s">
        <v>241</v>
      </c>
      <c r="F231" s="306"/>
      <c r="G231" s="301" t="s">
        <v>174</v>
      </c>
      <c r="H231" s="307" t="s">
        <v>175</v>
      </c>
      <c r="I231" s="307" t="s">
        <v>171</v>
      </c>
      <c r="J231" s="308">
        <v>0.2</v>
      </c>
      <c r="K231" s="309">
        <f>VLOOKUP(G231,Upah,8,FALSE)</f>
        <v>165000</v>
      </c>
      <c r="L231" s="310">
        <f>J231*K231</f>
        <v>33000</v>
      </c>
    </row>
    <row r="232" spans="5:13" ht="15" customHeight="1" thickBot="1">
      <c r="E232" s="297" t="s">
        <v>241</v>
      </c>
      <c r="F232" s="311"/>
      <c r="G232" s="312" t="s">
        <v>176</v>
      </c>
      <c r="H232" s="313" t="s">
        <v>177</v>
      </c>
      <c r="I232" s="313" t="s">
        <v>171</v>
      </c>
      <c r="J232" s="314">
        <v>0.05</v>
      </c>
      <c r="K232" s="309">
        <f>VLOOKUP(G232,Upah,8,FALSE)</f>
        <v>170000</v>
      </c>
      <c r="L232" s="310">
        <f>J232*K232</f>
        <v>8500</v>
      </c>
    </row>
    <row r="233" spans="5:13" ht="15" customHeight="1" thickBot="1">
      <c r="E233" s="297" t="s">
        <v>241</v>
      </c>
      <c r="F233" s="316"/>
      <c r="G233" s="317"/>
      <c r="H233" s="318"/>
      <c r="I233" s="318"/>
      <c r="J233" s="319" t="s">
        <v>178</v>
      </c>
      <c r="K233" s="320"/>
      <c r="L233" s="321">
        <f>SUM(L229:L232)</f>
        <v>466500</v>
      </c>
    </row>
    <row r="234" spans="5:13" ht="15" customHeight="1">
      <c r="E234" s="297" t="s">
        <v>241</v>
      </c>
      <c r="F234" s="322" t="s">
        <v>179</v>
      </c>
      <c r="G234" s="323" t="s">
        <v>180</v>
      </c>
      <c r="H234" s="324"/>
      <c r="I234" s="324"/>
      <c r="J234" s="325"/>
      <c r="K234" s="328"/>
      <c r="L234" s="310"/>
    </row>
    <row r="235" spans="5:13" ht="15" customHeight="1">
      <c r="E235" s="297" t="s">
        <v>241</v>
      </c>
      <c r="F235" s="306"/>
      <c r="G235" s="301" t="s">
        <v>243</v>
      </c>
      <c r="H235" s="302"/>
      <c r="I235" s="307" t="s">
        <v>182</v>
      </c>
      <c r="J235" s="308">
        <v>1.25</v>
      </c>
      <c r="K235" s="328">
        <f>VLOOKUP(G235,Bahan,6,FALSE)</f>
        <v>22140</v>
      </c>
      <c r="L235" s="310">
        <f>J235*K235</f>
        <v>27675</v>
      </c>
    </row>
    <row r="236" spans="5:13" ht="15" customHeight="1" thickBot="1">
      <c r="E236" s="297" t="s">
        <v>241</v>
      </c>
      <c r="F236" s="311"/>
      <c r="G236" s="312" t="s">
        <v>244</v>
      </c>
      <c r="H236" s="329"/>
      <c r="I236" s="313" t="s">
        <v>45</v>
      </c>
      <c r="J236" s="314">
        <v>0.186</v>
      </c>
      <c r="K236" s="328">
        <f>VLOOKUP(G236,Bahan,6,FALSE)</f>
        <v>25510</v>
      </c>
      <c r="L236" s="310">
        <f>J236*K236</f>
        <v>4744.8599999999997</v>
      </c>
    </row>
    <row r="237" spans="5:13" ht="15" customHeight="1" thickBot="1">
      <c r="E237" s="297" t="s">
        <v>241</v>
      </c>
      <c r="F237" s="316"/>
      <c r="G237" s="317"/>
      <c r="H237" s="318"/>
      <c r="I237" s="318"/>
      <c r="J237" s="319" t="s">
        <v>189</v>
      </c>
      <c r="K237" s="320"/>
      <c r="L237" s="321">
        <f>SUM(L234:L236)</f>
        <v>32419.86</v>
      </c>
    </row>
    <row r="238" spans="5:13" ht="15" customHeight="1" thickBot="1">
      <c r="E238" s="297" t="s">
        <v>241</v>
      </c>
      <c r="F238" s="331" t="s">
        <v>190</v>
      </c>
      <c r="G238" s="332" t="s">
        <v>191</v>
      </c>
      <c r="H238" s="333"/>
      <c r="I238" s="333"/>
      <c r="J238" s="334"/>
      <c r="K238" s="328">
        <v>0</v>
      </c>
      <c r="L238" s="310">
        <f>J238*K238</f>
        <v>0</v>
      </c>
    </row>
    <row r="239" spans="5:13" ht="15" customHeight="1" thickBot="1">
      <c r="E239" s="297" t="s">
        <v>241</v>
      </c>
      <c r="F239" s="316"/>
      <c r="G239" s="317"/>
      <c r="H239" s="318"/>
      <c r="I239" s="318"/>
      <c r="J239" s="319" t="s">
        <v>192</v>
      </c>
      <c r="K239" s="320"/>
      <c r="L239" s="321">
        <f>L238</f>
        <v>0</v>
      </c>
    </row>
    <row r="240" spans="5:13" ht="15" customHeight="1">
      <c r="E240" s="297" t="s">
        <v>241</v>
      </c>
      <c r="F240" s="344" t="s">
        <v>193</v>
      </c>
      <c r="G240" s="345" t="s">
        <v>194</v>
      </c>
      <c r="H240" s="346"/>
      <c r="I240" s="346"/>
      <c r="J240" s="347"/>
      <c r="K240" s="348">
        <v>0</v>
      </c>
      <c r="L240" s="310">
        <f>SUM(L229:L239)/2</f>
        <v>498919.86</v>
      </c>
    </row>
    <row r="241" spans="5:13" ht="15" customHeight="1" thickBot="1">
      <c r="E241" s="297" t="s">
        <v>241</v>
      </c>
      <c r="F241" s="331" t="s">
        <v>195</v>
      </c>
      <c r="G241" s="332" t="s">
        <v>196</v>
      </c>
      <c r="H241" s="333"/>
      <c r="I241" s="333"/>
      <c r="J241" s="350">
        <v>0.1</v>
      </c>
      <c r="K241" s="335"/>
      <c r="L241" s="330">
        <f>J241*L240</f>
        <v>49891.986000000004</v>
      </c>
    </row>
    <row r="242" spans="5:13" ht="15" customHeight="1" thickBot="1">
      <c r="E242" s="297" t="s">
        <v>241</v>
      </c>
      <c r="F242" s="340" t="s">
        <v>197</v>
      </c>
      <c r="G242" s="341" t="s">
        <v>198</v>
      </c>
      <c r="H242" s="318"/>
      <c r="I242" s="318"/>
      <c r="J242" s="342"/>
      <c r="K242" s="320">
        <v>0</v>
      </c>
      <c r="L242" s="321">
        <f>ROUNDDOWN(L240+L241,0)</f>
        <v>548811</v>
      </c>
    </row>
    <row r="244" spans="5:13" ht="15" customHeight="1" thickBot="1">
      <c r="E244" s="297" t="s">
        <v>245</v>
      </c>
      <c r="F244" s="298" t="s">
        <v>246</v>
      </c>
      <c r="J244" s="343"/>
      <c r="M244" s="299">
        <f>L259</f>
        <v>251658</v>
      </c>
    </row>
    <row r="245" spans="5:13" ht="15" customHeight="1" thickBot="1">
      <c r="E245" s="297" t="s">
        <v>245</v>
      </c>
      <c r="F245" s="340" t="s">
        <v>136</v>
      </c>
      <c r="G245" s="341" t="s">
        <v>162</v>
      </c>
      <c r="H245" s="352" t="s">
        <v>163</v>
      </c>
      <c r="I245" s="352" t="s">
        <v>138</v>
      </c>
      <c r="J245" s="353" t="s">
        <v>164</v>
      </c>
      <c r="K245" s="341" t="s">
        <v>165</v>
      </c>
      <c r="L245" s="354" t="s">
        <v>166</v>
      </c>
    </row>
    <row r="246" spans="5:13" ht="15" customHeight="1">
      <c r="E246" s="297" t="s">
        <v>245</v>
      </c>
      <c r="F246" s="300" t="s">
        <v>167</v>
      </c>
      <c r="G246" s="301" t="s">
        <v>168</v>
      </c>
      <c r="H246" s="302"/>
      <c r="I246" s="302"/>
      <c r="J246" s="351"/>
      <c r="K246" s="328">
        <v>0</v>
      </c>
      <c r="L246" s="310">
        <f>J246*K246</f>
        <v>0</v>
      </c>
    </row>
    <row r="247" spans="5:13" ht="15" customHeight="1">
      <c r="E247" s="297" t="s">
        <v>245</v>
      </c>
      <c r="F247" s="306"/>
      <c r="G247" s="301" t="s">
        <v>169</v>
      </c>
      <c r="H247" s="307" t="s">
        <v>170</v>
      </c>
      <c r="I247" s="307" t="s">
        <v>171</v>
      </c>
      <c r="J247" s="308">
        <v>1</v>
      </c>
      <c r="K247" s="309">
        <f>VLOOKUP(G247,Upah,8,FALSE)</f>
        <v>125000</v>
      </c>
      <c r="L247" s="310">
        <f>J247*K247</f>
        <v>125000</v>
      </c>
    </row>
    <row r="248" spans="5:13" ht="15" customHeight="1" thickBot="1">
      <c r="E248" s="297" t="s">
        <v>245</v>
      </c>
      <c r="F248" s="311"/>
      <c r="G248" s="312" t="s">
        <v>176</v>
      </c>
      <c r="H248" s="313" t="s">
        <v>177</v>
      </c>
      <c r="I248" s="313" t="s">
        <v>171</v>
      </c>
      <c r="J248" s="314">
        <v>5.0000000000000001E-3</v>
      </c>
      <c r="K248" s="309">
        <f>VLOOKUP(G248,Upah,8,FALSE)</f>
        <v>170000</v>
      </c>
      <c r="L248" s="310">
        <f>J248*K248</f>
        <v>850</v>
      </c>
    </row>
    <row r="249" spans="5:13" ht="15" customHeight="1" thickBot="1">
      <c r="E249" s="297" t="s">
        <v>245</v>
      </c>
      <c r="F249" s="316"/>
      <c r="G249" s="317"/>
      <c r="H249" s="318"/>
      <c r="I249" s="318"/>
      <c r="J249" s="319" t="s">
        <v>178</v>
      </c>
      <c r="K249" s="320"/>
      <c r="L249" s="321">
        <f>SUM(L246:L248)</f>
        <v>125850</v>
      </c>
    </row>
    <row r="250" spans="5:13" ht="15" customHeight="1">
      <c r="E250" s="297" t="s">
        <v>245</v>
      </c>
      <c r="F250" s="322" t="s">
        <v>179</v>
      </c>
      <c r="G250" s="323" t="s">
        <v>180</v>
      </c>
      <c r="H250" s="324"/>
      <c r="I250" s="324"/>
      <c r="J250" s="325"/>
      <c r="K250" s="328">
        <v>0</v>
      </c>
      <c r="L250" s="310">
        <f>J250*K250</f>
        <v>0</v>
      </c>
    </row>
    <row r="251" spans="5:13" ht="15" customHeight="1">
      <c r="E251" s="297" t="s">
        <v>245</v>
      </c>
      <c r="F251" s="306"/>
      <c r="G251" s="301" t="s">
        <v>247</v>
      </c>
      <c r="H251" s="302"/>
      <c r="I251" s="307" t="s">
        <v>44</v>
      </c>
      <c r="J251" s="308">
        <v>0.15</v>
      </c>
      <c r="K251" s="328">
        <f>VLOOKUP(G251,Bahan,6,FALSE)</f>
        <v>421500</v>
      </c>
      <c r="L251" s="310">
        <f>J251*K251</f>
        <v>63225</v>
      </c>
    </row>
    <row r="252" spans="5:13" ht="15" customHeight="1">
      <c r="E252" s="297" t="s">
        <v>245</v>
      </c>
      <c r="F252" s="306"/>
      <c r="G252" s="301" t="s">
        <v>248</v>
      </c>
      <c r="H252" s="302"/>
      <c r="I252" s="307" t="s">
        <v>44</v>
      </c>
      <c r="J252" s="308">
        <v>0.09</v>
      </c>
      <c r="K252" s="328">
        <f>VLOOKUP(G252,Bahan,6,FALSE)</f>
        <v>413000</v>
      </c>
      <c r="L252" s="310">
        <f>J252*K252</f>
        <v>37170</v>
      </c>
    </row>
    <row r="253" spans="5:13" ht="15" customHeight="1" thickBot="1">
      <c r="E253" s="297" t="s">
        <v>245</v>
      </c>
      <c r="F253" s="311"/>
      <c r="G253" s="312" t="s">
        <v>219</v>
      </c>
      <c r="H253" s="329"/>
      <c r="I253" s="313" t="s">
        <v>44</v>
      </c>
      <c r="J253" s="314">
        <v>0.01</v>
      </c>
      <c r="K253" s="328">
        <f>VLOOKUP(G253,Bahan,6,FALSE)</f>
        <v>253510</v>
      </c>
      <c r="L253" s="310">
        <f>J253*K253</f>
        <v>2535.1</v>
      </c>
    </row>
    <row r="254" spans="5:13" ht="15" customHeight="1" thickBot="1">
      <c r="E254" s="297" t="s">
        <v>245</v>
      </c>
      <c r="F254" s="316"/>
      <c r="G254" s="317"/>
      <c r="H254" s="318"/>
      <c r="I254" s="318"/>
      <c r="J254" s="319" t="s">
        <v>189</v>
      </c>
      <c r="K254" s="320"/>
      <c r="L254" s="321">
        <f>SUM(L251:L253)</f>
        <v>102930.1</v>
      </c>
    </row>
    <row r="255" spans="5:13" ht="15" customHeight="1" thickBot="1">
      <c r="E255" s="297" t="s">
        <v>245</v>
      </c>
      <c r="F255" s="331" t="s">
        <v>190</v>
      </c>
      <c r="G255" s="332" t="s">
        <v>191</v>
      </c>
      <c r="H255" s="333"/>
      <c r="I255" s="333"/>
      <c r="J255" s="334"/>
      <c r="K255" s="328">
        <v>0</v>
      </c>
      <c r="L255" s="310">
        <f>J255*K255</f>
        <v>0</v>
      </c>
    </row>
    <row r="256" spans="5:13" ht="15" customHeight="1" thickBot="1">
      <c r="E256" s="297" t="s">
        <v>245</v>
      </c>
      <c r="F256" s="316"/>
      <c r="G256" s="317"/>
      <c r="H256" s="318"/>
      <c r="I256" s="318"/>
      <c r="J256" s="319" t="s">
        <v>192</v>
      </c>
      <c r="K256" s="320"/>
      <c r="L256" s="321">
        <f>L255</f>
        <v>0</v>
      </c>
    </row>
    <row r="257" spans="5:13" ht="15" customHeight="1">
      <c r="E257" s="297" t="s">
        <v>245</v>
      </c>
      <c r="F257" s="344" t="s">
        <v>193</v>
      </c>
      <c r="G257" s="345" t="s">
        <v>194</v>
      </c>
      <c r="H257" s="346"/>
      <c r="I257" s="346"/>
      <c r="J257" s="347"/>
      <c r="K257" s="348">
        <v>0</v>
      </c>
      <c r="L257" s="310">
        <f>SUM(L247:L256)/2</f>
        <v>228780.09999999998</v>
      </c>
    </row>
    <row r="258" spans="5:13" ht="15" customHeight="1" thickBot="1">
      <c r="E258" s="297" t="s">
        <v>245</v>
      </c>
      <c r="F258" s="331" t="s">
        <v>195</v>
      </c>
      <c r="G258" s="332" t="s">
        <v>196</v>
      </c>
      <c r="H258" s="333"/>
      <c r="I258" s="333"/>
      <c r="J258" s="350">
        <v>0.1</v>
      </c>
      <c r="K258" s="335"/>
      <c r="L258" s="330">
        <f>J258*L257</f>
        <v>22878.01</v>
      </c>
    </row>
    <row r="259" spans="5:13" ht="15" customHeight="1" thickBot="1">
      <c r="E259" s="297" t="s">
        <v>245</v>
      </c>
      <c r="F259" s="340" t="s">
        <v>197</v>
      </c>
      <c r="G259" s="341" t="s">
        <v>198</v>
      </c>
      <c r="H259" s="318"/>
      <c r="I259" s="318"/>
      <c r="J259" s="342"/>
      <c r="K259" s="320">
        <v>0</v>
      </c>
      <c r="L259" s="321">
        <f>ROUNDDOWN(L257+L258,0)</f>
        <v>251658</v>
      </c>
    </row>
    <row r="260" spans="5:13" ht="15" customHeight="1">
      <c r="F260" s="298"/>
      <c r="G260" s="298"/>
      <c r="J260" s="343"/>
    </row>
    <row r="261" spans="5:13" ht="15" customHeight="1" thickBot="1">
      <c r="E261" s="297" t="s">
        <v>249</v>
      </c>
      <c r="F261" s="298" t="s">
        <v>250</v>
      </c>
      <c r="J261" s="343"/>
      <c r="M261" s="299">
        <f>L274</f>
        <v>331644</v>
      </c>
    </row>
    <row r="262" spans="5:13" ht="15" customHeight="1" thickBot="1">
      <c r="E262" s="297" t="s">
        <v>249</v>
      </c>
      <c r="F262" s="340" t="s">
        <v>136</v>
      </c>
      <c r="G262" s="341" t="s">
        <v>162</v>
      </c>
      <c r="H262" s="352" t="s">
        <v>163</v>
      </c>
      <c r="I262" s="352" t="s">
        <v>138</v>
      </c>
      <c r="J262" s="353" t="s">
        <v>164</v>
      </c>
      <c r="K262" s="341" t="s">
        <v>165</v>
      </c>
      <c r="L262" s="354" t="s">
        <v>166</v>
      </c>
    </row>
    <row r="263" spans="5:13" ht="15" customHeight="1">
      <c r="E263" s="297" t="s">
        <v>249</v>
      </c>
      <c r="F263" s="344" t="s">
        <v>167</v>
      </c>
      <c r="G263" s="345" t="s">
        <v>168</v>
      </c>
      <c r="H263" s="346"/>
      <c r="I263" s="346"/>
      <c r="J263" s="347"/>
      <c r="K263" s="328"/>
      <c r="L263" s="310"/>
    </row>
    <row r="264" spans="5:13" ht="15" customHeight="1">
      <c r="E264" s="297" t="s">
        <v>249</v>
      </c>
      <c r="F264" s="306"/>
      <c r="G264" s="301" t="s">
        <v>169</v>
      </c>
      <c r="H264" s="307" t="s">
        <v>170</v>
      </c>
      <c r="I264" s="307" t="s">
        <v>171</v>
      </c>
      <c r="J264" s="308">
        <v>1.3333999999999999</v>
      </c>
      <c r="K264" s="309">
        <f>VLOOKUP(G264,Upah,8,FALSE)</f>
        <v>125000</v>
      </c>
      <c r="L264" s="310">
        <f>J264*K264</f>
        <v>166675</v>
      </c>
    </row>
    <row r="265" spans="5:13" ht="15" customHeight="1" thickBot="1">
      <c r="E265" s="297" t="s">
        <v>249</v>
      </c>
      <c r="F265" s="311"/>
      <c r="G265" s="312" t="s">
        <v>176</v>
      </c>
      <c r="H265" s="313" t="s">
        <v>177</v>
      </c>
      <c r="I265" s="313" t="s">
        <v>171</v>
      </c>
      <c r="J265" s="314">
        <v>0.66600000000000004</v>
      </c>
      <c r="K265" s="309">
        <f>VLOOKUP(G265,Upah,8,FALSE)</f>
        <v>170000</v>
      </c>
      <c r="L265" s="310">
        <f>J265*K265</f>
        <v>113220</v>
      </c>
    </row>
    <row r="266" spans="5:13" ht="15" customHeight="1" thickBot="1">
      <c r="E266" s="297" t="s">
        <v>249</v>
      </c>
      <c r="F266" s="316"/>
      <c r="G266" s="317"/>
      <c r="H266" s="318"/>
      <c r="I266" s="318"/>
      <c r="J266" s="319" t="s">
        <v>178</v>
      </c>
      <c r="K266" s="320"/>
      <c r="L266" s="321">
        <f>SUM(L263:L265)</f>
        <v>279895</v>
      </c>
    </row>
    <row r="267" spans="5:13" ht="15" customHeight="1" thickBot="1">
      <c r="E267" s="297" t="s">
        <v>249</v>
      </c>
      <c r="F267" s="331" t="s">
        <v>179</v>
      </c>
      <c r="G267" s="332" t="s">
        <v>180</v>
      </c>
      <c r="H267" s="333"/>
      <c r="I267" s="333"/>
      <c r="J267" s="334"/>
      <c r="K267" s="328">
        <v>0</v>
      </c>
      <c r="L267" s="310">
        <f>J267*K267</f>
        <v>0</v>
      </c>
    </row>
    <row r="268" spans="5:13" ht="15" customHeight="1" thickBot="1">
      <c r="E268" s="297" t="s">
        <v>249</v>
      </c>
      <c r="F268" s="316"/>
      <c r="G268" s="317"/>
      <c r="H268" s="318"/>
      <c r="I268" s="318"/>
      <c r="J268" s="319" t="s">
        <v>189</v>
      </c>
      <c r="K268" s="320"/>
      <c r="L268" s="321">
        <f>SUM(L267)</f>
        <v>0</v>
      </c>
    </row>
    <row r="269" spans="5:13" ht="15" customHeight="1">
      <c r="E269" s="297" t="s">
        <v>249</v>
      </c>
      <c r="F269" s="344" t="s">
        <v>190</v>
      </c>
      <c r="G269" s="345" t="s">
        <v>191</v>
      </c>
      <c r="H269" s="346" t="s">
        <v>251</v>
      </c>
      <c r="I269" s="346"/>
      <c r="J269" s="347"/>
      <c r="K269" s="328"/>
      <c r="L269" s="310"/>
    </row>
    <row r="270" spans="5:13" ht="15" customHeight="1" thickBot="1">
      <c r="E270" s="297" t="s">
        <v>249</v>
      </c>
      <c r="F270" s="331"/>
      <c r="G270" s="332" t="s">
        <v>252</v>
      </c>
      <c r="H270" s="333"/>
      <c r="I270" s="333" t="s">
        <v>253</v>
      </c>
      <c r="J270" s="334">
        <v>0.16</v>
      </c>
      <c r="K270" s="328">
        <v>135000</v>
      </c>
      <c r="L270" s="310">
        <f>J270*K270</f>
        <v>21600</v>
      </c>
    </row>
    <row r="271" spans="5:13" ht="15" customHeight="1" thickBot="1">
      <c r="E271" s="297" t="s">
        <v>249</v>
      </c>
      <c r="F271" s="316"/>
      <c r="G271" s="317"/>
      <c r="H271" s="318"/>
      <c r="I271" s="318"/>
      <c r="J271" s="319" t="s">
        <v>192</v>
      </c>
      <c r="K271" s="320"/>
      <c r="L271" s="321">
        <f>L270</f>
        <v>21600</v>
      </c>
    </row>
    <row r="272" spans="5:13" ht="15" customHeight="1">
      <c r="E272" s="297" t="s">
        <v>249</v>
      </c>
      <c r="F272" s="344" t="s">
        <v>193</v>
      </c>
      <c r="G272" s="345" t="s">
        <v>194</v>
      </c>
      <c r="H272" s="346"/>
      <c r="I272" s="346"/>
      <c r="J272" s="347"/>
      <c r="K272" s="348">
        <v>0</v>
      </c>
      <c r="L272" s="310">
        <f>SUM(L264:L271)/2</f>
        <v>301495</v>
      </c>
    </row>
    <row r="273" spans="5:13" ht="15" customHeight="1" thickBot="1">
      <c r="E273" s="297" t="s">
        <v>249</v>
      </c>
      <c r="F273" s="331" t="s">
        <v>195</v>
      </c>
      <c r="G273" s="332" t="s">
        <v>196</v>
      </c>
      <c r="H273" s="333"/>
      <c r="I273" s="333"/>
      <c r="J273" s="350">
        <v>0.1</v>
      </c>
      <c r="K273" s="335"/>
      <c r="L273" s="330">
        <f>J273*L272</f>
        <v>30149.5</v>
      </c>
    </row>
    <row r="274" spans="5:13" ht="15" customHeight="1" thickBot="1">
      <c r="E274" s="297" t="s">
        <v>249</v>
      </c>
      <c r="F274" s="340" t="s">
        <v>197</v>
      </c>
      <c r="G274" s="341" t="s">
        <v>198</v>
      </c>
      <c r="H274" s="318"/>
      <c r="I274" s="318"/>
      <c r="J274" s="342"/>
      <c r="K274" s="320">
        <v>0</v>
      </c>
      <c r="L274" s="321">
        <f>ROUNDDOWN(L272+L273,0)</f>
        <v>331644</v>
      </c>
    </row>
    <row r="275" spans="5:13" ht="15" customHeight="1">
      <c r="F275" s="298"/>
      <c r="G275" s="298"/>
      <c r="J275" s="343"/>
    </row>
    <row r="276" spans="5:13" ht="15" customHeight="1" thickBot="1">
      <c r="E276" s="297" t="s">
        <v>254</v>
      </c>
      <c r="F276" s="298" t="s">
        <v>255</v>
      </c>
      <c r="J276" s="343"/>
      <c r="M276" s="299">
        <f>L288</f>
        <v>153942</v>
      </c>
    </row>
    <row r="277" spans="5:13" ht="15" customHeight="1" thickBot="1">
      <c r="E277" s="297" t="s">
        <v>254</v>
      </c>
      <c r="F277" s="340" t="s">
        <v>136</v>
      </c>
      <c r="G277" s="341" t="s">
        <v>162</v>
      </c>
      <c r="H277" s="352" t="s">
        <v>163</v>
      </c>
      <c r="I277" s="352" t="s">
        <v>138</v>
      </c>
      <c r="J277" s="353" t="s">
        <v>164</v>
      </c>
      <c r="K277" s="341" t="s">
        <v>165</v>
      </c>
      <c r="L277" s="354" t="s">
        <v>166</v>
      </c>
    </row>
    <row r="278" spans="5:13" ht="15" customHeight="1">
      <c r="E278" s="297" t="s">
        <v>254</v>
      </c>
      <c r="F278" s="344" t="s">
        <v>167</v>
      </c>
      <c r="G278" s="345" t="s">
        <v>168</v>
      </c>
      <c r="H278" s="346"/>
      <c r="I278" s="346"/>
      <c r="J278" s="347"/>
      <c r="K278" s="328"/>
      <c r="L278" s="310"/>
    </row>
    <row r="279" spans="5:13" ht="15" customHeight="1">
      <c r="E279" s="297" t="s">
        <v>254</v>
      </c>
      <c r="F279" s="306"/>
      <c r="G279" s="301" t="s">
        <v>169</v>
      </c>
      <c r="H279" s="307" t="s">
        <v>170</v>
      </c>
      <c r="I279" s="307" t="s">
        <v>171</v>
      </c>
      <c r="J279" s="308">
        <v>0.66669999999999996</v>
      </c>
      <c r="K279" s="309">
        <f>VLOOKUP(G279,Upah,8,FALSE)</f>
        <v>125000</v>
      </c>
      <c r="L279" s="310">
        <f>J279*K279</f>
        <v>83337.5</v>
      </c>
    </row>
    <row r="280" spans="5:13" ht="15" customHeight="1" thickBot="1">
      <c r="E280" s="297" t="s">
        <v>254</v>
      </c>
      <c r="F280" s="311"/>
      <c r="G280" s="312" t="s">
        <v>176</v>
      </c>
      <c r="H280" s="313" t="s">
        <v>177</v>
      </c>
      <c r="I280" s="313" t="s">
        <v>171</v>
      </c>
      <c r="J280" s="314">
        <v>0.33300000000000002</v>
      </c>
      <c r="K280" s="309">
        <f>VLOOKUP(G280,Upah,8,FALSE)</f>
        <v>170000</v>
      </c>
      <c r="L280" s="310">
        <f>J280*K280</f>
        <v>56610</v>
      </c>
    </row>
    <row r="281" spans="5:13" ht="15" customHeight="1" thickBot="1">
      <c r="E281" s="297" t="s">
        <v>254</v>
      </c>
      <c r="F281" s="316"/>
      <c r="G281" s="317"/>
      <c r="H281" s="318"/>
      <c r="I281" s="318"/>
      <c r="J281" s="319" t="s">
        <v>178</v>
      </c>
      <c r="K281" s="320"/>
      <c r="L281" s="321">
        <f>SUM(L278:L280)</f>
        <v>139947.5</v>
      </c>
    </row>
    <row r="282" spans="5:13" ht="15" customHeight="1" thickBot="1">
      <c r="E282" s="297" t="s">
        <v>254</v>
      </c>
      <c r="F282" s="331" t="s">
        <v>179</v>
      </c>
      <c r="G282" s="332" t="s">
        <v>180</v>
      </c>
      <c r="H282" s="333"/>
      <c r="I282" s="333"/>
      <c r="J282" s="334"/>
      <c r="K282" s="328">
        <v>0</v>
      </c>
      <c r="L282" s="310">
        <f>J282*K282</f>
        <v>0</v>
      </c>
    </row>
    <row r="283" spans="5:13" ht="15" customHeight="1" thickBot="1">
      <c r="E283" s="297" t="s">
        <v>254</v>
      </c>
      <c r="F283" s="316"/>
      <c r="G283" s="317"/>
      <c r="H283" s="318"/>
      <c r="I283" s="318"/>
      <c r="J283" s="319" t="s">
        <v>189</v>
      </c>
      <c r="K283" s="320"/>
      <c r="L283" s="321">
        <f>SUM(L282)</f>
        <v>0</v>
      </c>
    </row>
    <row r="284" spans="5:13" ht="15" customHeight="1" thickBot="1">
      <c r="E284" s="297" t="s">
        <v>254</v>
      </c>
      <c r="F284" s="331" t="s">
        <v>190</v>
      </c>
      <c r="G284" s="332" t="s">
        <v>191</v>
      </c>
      <c r="H284" s="333"/>
      <c r="I284" s="333"/>
      <c r="J284" s="334"/>
      <c r="K284" s="328">
        <v>0</v>
      </c>
      <c r="L284" s="310">
        <f>J284*K284</f>
        <v>0</v>
      </c>
    </row>
    <row r="285" spans="5:13" ht="15" customHeight="1" thickBot="1">
      <c r="E285" s="297" t="s">
        <v>254</v>
      </c>
      <c r="F285" s="316"/>
      <c r="G285" s="317"/>
      <c r="H285" s="318"/>
      <c r="I285" s="318"/>
      <c r="J285" s="319" t="s">
        <v>192</v>
      </c>
      <c r="K285" s="320"/>
      <c r="L285" s="321">
        <f>L284</f>
        <v>0</v>
      </c>
    </row>
    <row r="286" spans="5:13" ht="15" customHeight="1">
      <c r="E286" s="297" t="s">
        <v>254</v>
      </c>
      <c r="F286" s="344" t="s">
        <v>193</v>
      </c>
      <c r="G286" s="345" t="s">
        <v>194</v>
      </c>
      <c r="H286" s="346"/>
      <c r="I286" s="346"/>
      <c r="J286" s="347"/>
      <c r="K286" s="348">
        <v>0</v>
      </c>
      <c r="L286" s="310">
        <f>SUM(L278:L285)/2</f>
        <v>139947.5</v>
      </c>
    </row>
    <row r="287" spans="5:13" ht="15" customHeight="1" thickBot="1">
      <c r="E287" s="297" t="s">
        <v>254</v>
      </c>
      <c r="F287" s="331" t="s">
        <v>195</v>
      </c>
      <c r="G287" s="332" t="s">
        <v>196</v>
      </c>
      <c r="H287" s="333"/>
      <c r="I287" s="333"/>
      <c r="J287" s="350">
        <v>0.1</v>
      </c>
      <c r="K287" s="335"/>
      <c r="L287" s="330">
        <f>J287*L286</f>
        <v>13994.75</v>
      </c>
    </row>
    <row r="288" spans="5:13" ht="15" customHeight="1" thickBot="1">
      <c r="E288" s="297" t="s">
        <v>254</v>
      </c>
      <c r="F288" s="340" t="s">
        <v>197</v>
      </c>
      <c r="G288" s="341" t="s">
        <v>198</v>
      </c>
      <c r="H288" s="318"/>
      <c r="I288" s="318"/>
      <c r="J288" s="342"/>
      <c r="K288" s="320">
        <v>0</v>
      </c>
      <c r="L288" s="321">
        <f>ROUNDDOWN(L286+L287,0)</f>
        <v>153942</v>
      </c>
    </row>
    <row r="289" spans="5:13" ht="15" customHeight="1">
      <c r="F289" s="298"/>
      <c r="G289" s="298"/>
      <c r="J289" s="343"/>
    </row>
    <row r="290" spans="5:13" ht="15" customHeight="1" thickBot="1">
      <c r="E290" s="297" t="s">
        <v>256</v>
      </c>
      <c r="F290" s="298" t="s">
        <v>257</v>
      </c>
      <c r="J290" s="343"/>
      <c r="M290" s="299">
        <f>L305</f>
        <v>35820</v>
      </c>
    </row>
    <row r="291" spans="5:13" ht="15" customHeight="1" thickBot="1">
      <c r="E291" s="297" t="s">
        <v>256</v>
      </c>
      <c r="F291" s="340" t="s">
        <v>136</v>
      </c>
      <c r="G291" s="341" t="s">
        <v>162</v>
      </c>
      <c r="H291" s="352" t="s">
        <v>163</v>
      </c>
      <c r="I291" s="352" t="s">
        <v>138</v>
      </c>
      <c r="J291" s="353" t="s">
        <v>164</v>
      </c>
      <c r="K291" s="341" t="s">
        <v>165</v>
      </c>
      <c r="L291" s="354" t="s">
        <v>166</v>
      </c>
    </row>
    <row r="292" spans="5:13" ht="15" customHeight="1">
      <c r="E292" s="297" t="s">
        <v>256</v>
      </c>
      <c r="F292" s="344" t="s">
        <v>167</v>
      </c>
      <c r="G292" s="345" t="s">
        <v>168</v>
      </c>
      <c r="H292" s="346"/>
      <c r="I292" s="346"/>
      <c r="J292" s="347"/>
      <c r="K292" s="328"/>
      <c r="L292" s="310"/>
    </row>
    <row r="293" spans="5:13" ht="15" customHeight="1">
      <c r="E293" s="297" t="s">
        <v>256</v>
      </c>
      <c r="F293" s="306"/>
      <c r="G293" s="301" t="s">
        <v>169</v>
      </c>
      <c r="H293" s="307" t="s">
        <v>170</v>
      </c>
      <c r="I293" s="307" t="s">
        <v>171</v>
      </c>
      <c r="J293" s="308">
        <v>4.2000000000000003E-2</v>
      </c>
      <c r="K293" s="309">
        <f>VLOOKUP(G293,Upah,8,FALSE)</f>
        <v>125000</v>
      </c>
      <c r="L293" s="310">
        <f>J293*K293</f>
        <v>5250</v>
      </c>
    </row>
    <row r="294" spans="5:13" ht="15" customHeight="1">
      <c r="E294" s="297" t="s">
        <v>256</v>
      </c>
      <c r="F294" s="306"/>
      <c r="G294" s="301" t="s">
        <v>258</v>
      </c>
      <c r="H294" s="307" t="s">
        <v>259</v>
      </c>
      <c r="I294" s="307" t="s">
        <v>171</v>
      </c>
      <c r="J294" s="308">
        <v>4.0000000000000001E-3</v>
      </c>
      <c r="K294" s="309">
        <f>VLOOKUP(G294,Upah,8,FALSE)</f>
        <v>150000</v>
      </c>
      <c r="L294" s="310">
        <f>J294*K294</f>
        <v>600</v>
      </c>
    </row>
    <row r="295" spans="5:13" ht="15" customHeight="1">
      <c r="E295" s="297" t="s">
        <v>256</v>
      </c>
      <c r="F295" s="306"/>
      <c r="G295" s="301" t="s">
        <v>174</v>
      </c>
      <c r="H295" s="307" t="s">
        <v>175</v>
      </c>
      <c r="I295" s="307" t="s">
        <v>171</v>
      </c>
      <c r="J295" s="308">
        <v>2E-3</v>
      </c>
      <c r="K295" s="309">
        <f>VLOOKUP(G295,Upah,8,FALSE)</f>
        <v>165000</v>
      </c>
      <c r="L295" s="310">
        <f>J295*K295</f>
        <v>330</v>
      </c>
    </row>
    <row r="296" spans="5:13" ht="15" customHeight="1" thickBot="1">
      <c r="E296" s="297" t="s">
        <v>256</v>
      </c>
      <c r="F296" s="311"/>
      <c r="G296" s="312" t="s">
        <v>176</v>
      </c>
      <c r="H296" s="313" t="s">
        <v>177</v>
      </c>
      <c r="I296" s="313" t="s">
        <v>171</v>
      </c>
      <c r="J296" s="314">
        <v>4.2000000000000003E-2</v>
      </c>
      <c r="K296" s="309">
        <f>VLOOKUP(G296,Upah,8,FALSE)</f>
        <v>170000</v>
      </c>
      <c r="L296" s="310">
        <f>J296*K296</f>
        <v>7140</v>
      </c>
    </row>
    <row r="297" spans="5:13" ht="15" customHeight="1" thickBot="1">
      <c r="E297" s="297" t="s">
        <v>256</v>
      </c>
      <c r="F297" s="316"/>
      <c r="G297" s="317"/>
      <c r="H297" s="318"/>
      <c r="I297" s="318"/>
      <c r="J297" s="319" t="s">
        <v>178</v>
      </c>
      <c r="K297" s="320"/>
      <c r="L297" s="321">
        <f>SUM(L293:L296)</f>
        <v>13320</v>
      </c>
    </row>
    <row r="298" spans="5:13" ht="15" customHeight="1">
      <c r="E298" s="297" t="s">
        <v>256</v>
      </c>
      <c r="F298" s="322" t="s">
        <v>179</v>
      </c>
      <c r="G298" s="323" t="s">
        <v>180</v>
      </c>
      <c r="H298" s="324"/>
      <c r="I298" s="324"/>
      <c r="J298" s="325"/>
      <c r="K298" s="328">
        <v>0</v>
      </c>
      <c r="L298" s="310">
        <f>J298*K298</f>
        <v>0</v>
      </c>
    </row>
    <row r="299" spans="5:13" ht="15" customHeight="1" thickBot="1">
      <c r="E299" s="297" t="s">
        <v>256</v>
      </c>
      <c r="F299" s="311"/>
      <c r="G299" s="312" t="s">
        <v>260</v>
      </c>
      <c r="H299" s="329"/>
      <c r="I299" s="313" t="s">
        <v>202</v>
      </c>
      <c r="J299" s="314">
        <v>0.1434</v>
      </c>
      <c r="K299" s="328">
        <f>VLOOKUP(G299,Bahan,6,FALSE)</f>
        <v>134200</v>
      </c>
      <c r="L299" s="310">
        <f>J299*K299</f>
        <v>19244.28</v>
      </c>
    </row>
    <row r="300" spans="5:13" ht="15" customHeight="1" thickBot="1">
      <c r="E300" s="297" t="s">
        <v>256</v>
      </c>
      <c r="F300" s="316"/>
      <c r="G300" s="317"/>
      <c r="H300" s="318"/>
      <c r="I300" s="318"/>
      <c r="J300" s="319" t="s">
        <v>189</v>
      </c>
      <c r="K300" s="320"/>
      <c r="L300" s="321">
        <f>SUM(L299)</f>
        <v>19244.28</v>
      </c>
    </row>
    <row r="301" spans="5:13" ht="15" customHeight="1" thickBot="1">
      <c r="E301" s="297" t="s">
        <v>256</v>
      </c>
      <c r="F301" s="331" t="s">
        <v>190</v>
      </c>
      <c r="G301" s="332" t="s">
        <v>191</v>
      </c>
      <c r="H301" s="333"/>
      <c r="I301" s="333"/>
      <c r="J301" s="334"/>
      <c r="K301" s="328">
        <v>0</v>
      </c>
      <c r="L301" s="310">
        <f>J301*K301</f>
        <v>0</v>
      </c>
    </row>
    <row r="302" spans="5:13" ht="15" customHeight="1" thickBot="1">
      <c r="E302" s="297" t="s">
        <v>256</v>
      </c>
      <c r="F302" s="316"/>
      <c r="G302" s="317"/>
      <c r="H302" s="318"/>
      <c r="I302" s="318"/>
      <c r="J302" s="319" t="s">
        <v>192</v>
      </c>
      <c r="K302" s="320"/>
      <c r="L302" s="321">
        <f>L301</f>
        <v>0</v>
      </c>
    </row>
    <row r="303" spans="5:13" ht="15" customHeight="1">
      <c r="E303" s="297" t="s">
        <v>256</v>
      </c>
      <c r="F303" s="344" t="s">
        <v>193</v>
      </c>
      <c r="G303" s="345" t="s">
        <v>194</v>
      </c>
      <c r="H303" s="346"/>
      <c r="I303" s="346"/>
      <c r="J303" s="347"/>
      <c r="K303" s="348">
        <v>0</v>
      </c>
      <c r="L303" s="310">
        <f>SUM(L293:L302)/2</f>
        <v>32564.28</v>
      </c>
    </row>
    <row r="304" spans="5:13" ht="15" customHeight="1" thickBot="1">
      <c r="E304" s="297" t="s">
        <v>256</v>
      </c>
      <c r="F304" s="331" t="s">
        <v>195</v>
      </c>
      <c r="G304" s="332" t="s">
        <v>196</v>
      </c>
      <c r="H304" s="333"/>
      <c r="I304" s="333"/>
      <c r="J304" s="350">
        <v>0.1</v>
      </c>
      <c r="K304" s="335"/>
      <c r="L304" s="330">
        <f>J304*L303</f>
        <v>3256.4279999999999</v>
      </c>
    </row>
    <row r="305" spans="5:13" ht="15" customHeight="1" thickBot="1">
      <c r="E305" s="297" t="s">
        <v>256</v>
      </c>
      <c r="F305" s="340" t="s">
        <v>197</v>
      </c>
      <c r="G305" s="341" t="s">
        <v>198</v>
      </c>
      <c r="H305" s="318"/>
      <c r="I305" s="318"/>
      <c r="J305" s="342"/>
      <c r="K305" s="320">
        <v>0</v>
      </c>
      <c r="L305" s="321">
        <f>ROUNDDOWN(L303+L304,0)</f>
        <v>35820</v>
      </c>
    </row>
    <row r="306" spans="5:13" ht="15" customHeight="1">
      <c r="F306" s="298"/>
      <c r="G306" s="298"/>
      <c r="J306" s="343"/>
    </row>
    <row r="307" spans="5:13" ht="15" customHeight="1" thickBot="1">
      <c r="E307" s="297" t="s">
        <v>261</v>
      </c>
      <c r="F307" s="298" t="s">
        <v>262</v>
      </c>
      <c r="J307" s="343"/>
      <c r="M307" s="299">
        <f>L326</f>
        <v>626811</v>
      </c>
    </row>
    <row r="308" spans="5:13" ht="15" customHeight="1" thickBot="1">
      <c r="E308" s="297" t="s">
        <v>261</v>
      </c>
      <c r="F308" s="340" t="s">
        <v>136</v>
      </c>
      <c r="G308" s="341" t="s">
        <v>162</v>
      </c>
      <c r="H308" s="352" t="s">
        <v>163</v>
      </c>
      <c r="I308" s="352" t="s">
        <v>138</v>
      </c>
      <c r="J308" s="353" t="s">
        <v>164</v>
      </c>
      <c r="K308" s="341" t="s">
        <v>165</v>
      </c>
      <c r="L308" s="354" t="s">
        <v>166</v>
      </c>
    </row>
    <row r="309" spans="5:13" ht="15" customHeight="1">
      <c r="E309" s="297" t="s">
        <v>261</v>
      </c>
      <c r="F309" s="344" t="s">
        <v>167</v>
      </c>
      <c r="G309" s="345" t="s">
        <v>168</v>
      </c>
      <c r="H309" s="346"/>
      <c r="I309" s="346"/>
      <c r="J309" s="347"/>
      <c r="K309" s="328"/>
      <c r="L309" s="310"/>
    </row>
    <row r="310" spans="5:13" ht="15" customHeight="1">
      <c r="E310" s="297" t="s">
        <v>261</v>
      </c>
      <c r="F310" s="306"/>
      <c r="G310" s="301" t="s">
        <v>169</v>
      </c>
      <c r="H310" s="307" t="s">
        <v>170</v>
      </c>
      <c r="I310" s="307" t="s">
        <v>171</v>
      </c>
      <c r="J310" s="308">
        <v>0.375</v>
      </c>
      <c r="K310" s="309">
        <f>VLOOKUP(G310,Upah,8,FALSE)</f>
        <v>125000</v>
      </c>
      <c r="L310" s="310">
        <f>J310*K310</f>
        <v>46875</v>
      </c>
    </row>
    <row r="311" spans="5:13" ht="15" customHeight="1">
      <c r="E311" s="297" t="s">
        <v>261</v>
      </c>
      <c r="F311" s="306"/>
      <c r="G311" s="301" t="s">
        <v>258</v>
      </c>
      <c r="H311" s="307" t="s">
        <v>259</v>
      </c>
      <c r="I311" s="307" t="s">
        <v>171</v>
      </c>
      <c r="J311" s="308">
        <v>0.125</v>
      </c>
      <c r="K311" s="309">
        <f>VLOOKUP(G311,Upah,8,FALSE)</f>
        <v>150000</v>
      </c>
      <c r="L311" s="310">
        <f>J311*K311</f>
        <v>18750</v>
      </c>
    </row>
    <row r="312" spans="5:13" ht="15" customHeight="1">
      <c r="E312" s="297" t="s">
        <v>261</v>
      </c>
      <c r="F312" s="306"/>
      <c r="G312" s="301" t="s">
        <v>174</v>
      </c>
      <c r="H312" s="307" t="s">
        <v>175</v>
      </c>
      <c r="I312" s="307" t="s">
        <v>171</v>
      </c>
      <c r="J312" s="308">
        <v>1.2E-2</v>
      </c>
      <c r="K312" s="309">
        <f>VLOOKUP(G312,Upah,8,FALSE)</f>
        <v>165000</v>
      </c>
      <c r="L312" s="310">
        <f>J312*K312</f>
        <v>1980</v>
      </c>
    </row>
    <row r="313" spans="5:13" ht="15" customHeight="1" thickBot="1">
      <c r="E313" s="297" t="s">
        <v>261</v>
      </c>
      <c r="F313" s="311"/>
      <c r="G313" s="312" t="s">
        <v>176</v>
      </c>
      <c r="H313" s="313" t="s">
        <v>177</v>
      </c>
      <c r="I313" s="313" t="s">
        <v>171</v>
      </c>
      <c r="J313" s="314">
        <v>1.9E-2</v>
      </c>
      <c r="K313" s="309">
        <f>VLOOKUP(G313,Upah,8,FALSE)</f>
        <v>170000</v>
      </c>
      <c r="L313" s="310">
        <f>J313*K313</f>
        <v>3230</v>
      </c>
    </row>
    <row r="314" spans="5:13" ht="15" customHeight="1" thickBot="1">
      <c r="E314" s="297" t="s">
        <v>261</v>
      </c>
      <c r="F314" s="316"/>
      <c r="G314" s="317"/>
      <c r="H314" s="318"/>
      <c r="I314" s="318"/>
      <c r="J314" s="319" t="s">
        <v>178</v>
      </c>
      <c r="K314" s="320"/>
      <c r="L314" s="321">
        <f>SUM(L310:L313)</f>
        <v>70835</v>
      </c>
    </row>
    <row r="315" spans="5:13" ht="15" customHeight="1">
      <c r="E315" s="297" t="s">
        <v>261</v>
      </c>
      <c r="F315" s="322" t="s">
        <v>179</v>
      </c>
      <c r="G315" s="323" t="s">
        <v>180</v>
      </c>
      <c r="H315" s="324"/>
      <c r="I315" s="324"/>
      <c r="J315" s="325"/>
      <c r="K315" s="328">
        <v>0</v>
      </c>
      <c r="L315" s="310">
        <f t="shared" ref="L315:L320" si="12">J315*K315</f>
        <v>0</v>
      </c>
    </row>
    <row r="316" spans="5:13" ht="15" customHeight="1">
      <c r="E316" s="297" t="s">
        <v>261</v>
      </c>
      <c r="F316" s="306"/>
      <c r="G316" s="301" t="s">
        <v>263</v>
      </c>
      <c r="H316" s="302"/>
      <c r="I316" s="307" t="s">
        <v>202</v>
      </c>
      <c r="J316" s="308">
        <v>0.98599999999999999</v>
      </c>
      <c r="K316" s="328">
        <f>VLOOKUP(G316,Bahan,6,FALSE)</f>
        <v>178500</v>
      </c>
      <c r="L316" s="310">
        <f t="shared" si="12"/>
        <v>176001</v>
      </c>
    </row>
    <row r="317" spans="5:13" ht="15" customHeight="1">
      <c r="E317" s="297" t="s">
        <v>261</v>
      </c>
      <c r="F317" s="306"/>
      <c r="G317" s="301" t="s">
        <v>264</v>
      </c>
      <c r="H317" s="302"/>
      <c r="I317" s="307" t="s">
        <v>182</v>
      </c>
      <c r="J317" s="308">
        <v>0.52500000000000002</v>
      </c>
      <c r="K317" s="328">
        <f>VLOOKUP(G317,Bahan,6,FALSE)</f>
        <v>237890</v>
      </c>
      <c r="L317" s="310">
        <f t="shared" si="12"/>
        <v>124892.25</v>
      </c>
    </row>
    <row r="318" spans="5:13" ht="15" customHeight="1">
      <c r="E318" s="297" t="s">
        <v>261</v>
      </c>
      <c r="F318" s="306"/>
      <c r="G318" s="301" t="s">
        <v>183</v>
      </c>
      <c r="H318" s="302"/>
      <c r="I318" s="307" t="s">
        <v>45</v>
      </c>
      <c r="J318" s="308">
        <v>45</v>
      </c>
      <c r="K318" s="328">
        <f>VLOOKUP(G318,Bahan,6,FALSE)</f>
        <v>1880</v>
      </c>
      <c r="L318" s="310">
        <f t="shared" si="12"/>
        <v>84600</v>
      </c>
    </row>
    <row r="319" spans="5:13" ht="15" customHeight="1">
      <c r="E319" s="297" t="s">
        <v>261</v>
      </c>
      <c r="F319" s="306"/>
      <c r="G319" s="301" t="s">
        <v>1700</v>
      </c>
      <c r="H319" s="302"/>
      <c r="I319" s="307" t="s">
        <v>44</v>
      </c>
      <c r="J319" s="308">
        <v>7.3999999999999996E-2</v>
      </c>
      <c r="K319" s="328">
        <f>VLOOKUP(G319,Bahan,6,FALSE)</f>
        <v>350000</v>
      </c>
      <c r="L319" s="310">
        <f t="shared" si="12"/>
        <v>25900</v>
      </c>
    </row>
    <row r="320" spans="5:13" ht="15" customHeight="1" thickBot="1">
      <c r="E320" s="297" t="s">
        <v>261</v>
      </c>
      <c r="F320" s="311"/>
      <c r="G320" s="312" t="s">
        <v>265</v>
      </c>
      <c r="H320" s="329"/>
      <c r="I320" s="313" t="s">
        <v>44</v>
      </c>
      <c r="J320" s="314">
        <v>0.14599999999999999</v>
      </c>
      <c r="K320" s="328">
        <f>VLOOKUP(G320,Bahan,6,FALSE)</f>
        <v>600000</v>
      </c>
      <c r="L320" s="310">
        <f t="shared" si="12"/>
        <v>87600</v>
      </c>
    </row>
    <row r="321" spans="4:13" ht="15" customHeight="1" thickBot="1">
      <c r="E321" s="297" t="s">
        <v>261</v>
      </c>
      <c r="F321" s="316"/>
      <c r="G321" s="317"/>
      <c r="H321" s="318"/>
      <c r="I321" s="318"/>
      <c r="J321" s="319" t="s">
        <v>189</v>
      </c>
      <c r="K321" s="320"/>
      <c r="L321" s="321">
        <f>SUM(L315:L320)</f>
        <v>498993.25</v>
      </c>
    </row>
    <row r="322" spans="4:13" ht="15" customHeight="1" thickBot="1">
      <c r="E322" s="297" t="s">
        <v>261</v>
      </c>
      <c r="F322" s="331" t="s">
        <v>190</v>
      </c>
      <c r="G322" s="332" t="s">
        <v>191</v>
      </c>
      <c r="H322" s="333"/>
      <c r="I322" s="333"/>
      <c r="J322" s="334"/>
      <c r="K322" s="328">
        <v>0</v>
      </c>
      <c r="L322" s="310">
        <f>J322*K322</f>
        <v>0</v>
      </c>
    </row>
    <row r="323" spans="4:13" ht="15" customHeight="1" thickBot="1">
      <c r="E323" s="297" t="s">
        <v>261</v>
      </c>
      <c r="F323" s="316"/>
      <c r="G323" s="317"/>
      <c r="H323" s="318"/>
      <c r="I323" s="318"/>
      <c r="J323" s="319" t="s">
        <v>192</v>
      </c>
      <c r="K323" s="320"/>
      <c r="L323" s="321">
        <f>L322</f>
        <v>0</v>
      </c>
    </row>
    <row r="324" spans="4:13" ht="15" customHeight="1">
      <c r="E324" s="297" t="s">
        <v>261</v>
      </c>
      <c r="F324" s="344" t="s">
        <v>193</v>
      </c>
      <c r="G324" s="345" t="s">
        <v>194</v>
      </c>
      <c r="H324" s="346"/>
      <c r="I324" s="346"/>
      <c r="J324" s="347"/>
      <c r="K324" s="348">
        <v>0</v>
      </c>
      <c r="L324" s="310">
        <f>SUM(L310:L323)/2</f>
        <v>569828.25</v>
      </c>
    </row>
    <row r="325" spans="4:13" ht="15" customHeight="1" thickBot="1">
      <c r="E325" s="297" t="s">
        <v>261</v>
      </c>
      <c r="F325" s="331" t="s">
        <v>195</v>
      </c>
      <c r="G325" s="332" t="s">
        <v>196</v>
      </c>
      <c r="H325" s="333"/>
      <c r="I325" s="333"/>
      <c r="J325" s="350">
        <v>0.1</v>
      </c>
      <c r="K325" s="335"/>
      <c r="L325" s="330">
        <f>J325*L324</f>
        <v>56982.825000000004</v>
      </c>
    </row>
    <row r="326" spans="4:13" ht="15" customHeight="1" thickBot="1">
      <c r="E326" s="297" t="s">
        <v>261</v>
      </c>
      <c r="F326" s="340" t="s">
        <v>197</v>
      </c>
      <c r="G326" s="341" t="s">
        <v>198</v>
      </c>
      <c r="H326" s="318"/>
      <c r="I326" s="318"/>
      <c r="J326" s="342"/>
      <c r="K326" s="320">
        <v>0</v>
      </c>
      <c r="L326" s="321">
        <f>ROUNDDOWN(L324+L325,0)</f>
        <v>626811</v>
      </c>
    </row>
    <row r="327" spans="4:13" ht="15" customHeight="1">
      <c r="E327" s="356"/>
      <c r="G327" s="298"/>
      <c r="J327" s="343"/>
    </row>
    <row r="328" spans="4:13" ht="15" customHeight="1">
      <c r="D328" s="560" t="s">
        <v>266</v>
      </c>
      <c r="E328" s="358" t="s">
        <v>267</v>
      </c>
      <c r="J328" s="343"/>
    </row>
    <row r="329" spans="4:13" ht="15" customHeight="1" thickBot="1">
      <c r="E329" s="297" t="s">
        <v>268</v>
      </c>
      <c r="F329" s="298" t="s">
        <v>269</v>
      </c>
      <c r="J329" s="343"/>
      <c r="M329" s="299">
        <f>L341</f>
        <v>107800</v>
      </c>
    </row>
    <row r="330" spans="4:13" ht="15" customHeight="1" thickBot="1">
      <c r="E330" s="297" t="s">
        <v>268</v>
      </c>
      <c r="F330" s="340" t="s">
        <v>136</v>
      </c>
      <c r="G330" s="341" t="s">
        <v>162</v>
      </c>
      <c r="H330" s="352" t="s">
        <v>163</v>
      </c>
      <c r="I330" s="352" t="s">
        <v>138</v>
      </c>
      <c r="J330" s="353" t="s">
        <v>164</v>
      </c>
      <c r="K330" s="341" t="s">
        <v>165</v>
      </c>
      <c r="L330" s="354" t="s">
        <v>166</v>
      </c>
    </row>
    <row r="331" spans="4:13" ht="15" customHeight="1">
      <c r="E331" s="297" t="s">
        <v>268</v>
      </c>
      <c r="F331" s="344" t="s">
        <v>167</v>
      </c>
      <c r="G331" s="345" t="s">
        <v>168</v>
      </c>
      <c r="H331" s="346"/>
      <c r="I331" s="346"/>
      <c r="J331" s="347"/>
      <c r="K331" s="328">
        <v>0</v>
      </c>
      <c r="L331" s="310">
        <f>J331*K331</f>
        <v>0</v>
      </c>
    </row>
    <row r="332" spans="4:13" ht="15" customHeight="1">
      <c r="E332" s="297" t="s">
        <v>268</v>
      </c>
      <c r="F332" s="306"/>
      <c r="G332" s="301" t="s">
        <v>169</v>
      </c>
      <c r="H332" s="307" t="s">
        <v>170</v>
      </c>
      <c r="I332" s="307" t="s">
        <v>171</v>
      </c>
      <c r="J332" s="308">
        <v>0.75</v>
      </c>
      <c r="K332" s="309">
        <f>VLOOKUP(G332,Upah,8,FALSE)</f>
        <v>125000</v>
      </c>
      <c r="L332" s="310">
        <f>J332*K332</f>
        <v>93750</v>
      </c>
    </row>
    <row r="333" spans="4:13" ht="15" customHeight="1" thickBot="1">
      <c r="E333" s="297" t="s">
        <v>268</v>
      </c>
      <c r="F333" s="311"/>
      <c r="G333" s="312" t="s">
        <v>176</v>
      </c>
      <c r="H333" s="313" t="s">
        <v>177</v>
      </c>
      <c r="I333" s="313" t="s">
        <v>171</v>
      </c>
      <c r="J333" s="314">
        <v>2.5000000000000001E-2</v>
      </c>
      <c r="K333" s="309">
        <f>VLOOKUP(G333,Upah,8,FALSE)</f>
        <v>170000</v>
      </c>
      <c r="L333" s="310">
        <f>J333*K333</f>
        <v>4250</v>
      </c>
    </row>
    <row r="334" spans="4:13" ht="15" customHeight="1" thickBot="1">
      <c r="E334" s="297" t="s">
        <v>268</v>
      </c>
      <c r="F334" s="316"/>
      <c r="G334" s="317"/>
      <c r="H334" s="318"/>
      <c r="I334" s="318"/>
      <c r="J334" s="319" t="s">
        <v>178</v>
      </c>
      <c r="K334" s="320"/>
      <c r="L334" s="321">
        <f>SUM(L331:L333)</f>
        <v>98000</v>
      </c>
    </row>
    <row r="335" spans="4:13" ht="15" customHeight="1" thickBot="1">
      <c r="E335" s="297" t="s">
        <v>268</v>
      </c>
      <c r="F335" s="331" t="s">
        <v>179</v>
      </c>
      <c r="G335" s="332" t="s">
        <v>180</v>
      </c>
      <c r="H335" s="333"/>
      <c r="I335" s="333"/>
      <c r="J335" s="334"/>
      <c r="K335" s="328">
        <v>0</v>
      </c>
      <c r="L335" s="310">
        <f>J335*K335</f>
        <v>0</v>
      </c>
    </row>
    <row r="336" spans="4:13" ht="15" customHeight="1" thickBot="1">
      <c r="E336" s="297" t="s">
        <v>268</v>
      </c>
      <c r="F336" s="316"/>
      <c r="G336" s="317"/>
      <c r="H336" s="318"/>
      <c r="I336" s="318"/>
      <c r="J336" s="319" t="s">
        <v>189</v>
      </c>
      <c r="K336" s="320"/>
      <c r="L336" s="321">
        <f>SUM(L335)</f>
        <v>0</v>
      </c>
    </row>
    <row r="337" spans="5:13" ht="15" customHeight="1" thickBot="1">
      <c r="E337" s="297" t="s">
        <v>268</v>
      </c>
      <c r="F337" s="331" t="s">
        <v>190</v>
      </c>
      <c r="G337" s="332" t="s">
        <v>191</v>
      </c>
      <c r="H337" s="333"/>
      <c r="I337" s="333"/>
      <c r="J337" s="334"/>
      <c r="K337" s="328">
        <v>0</v>
      </c>
      <c r="L337" s="310">
        <f>J337*K337</f>
        <v>0</v>
      </c>
    </row>
    <row r="338" spans="5:13" ht="15" customHeight="1" thickBot="1">
      <c r="E338" s="297" t="s">
        <v>268</v>
      </c>
      <c r="F338" s="316"/>
      <c r="G338" s="317"/>
      <c r="H338" s="318"/>
      <c r="I338" s="318"/>
      <c r="J338" s="319" t="s">
        <v>192</v>
      </c>
      <c r="K338" s="320"/>
      <c r="L338" s="321">
        <f>L337</f>
        <v>0</v>
      </c>
    </row>
    <row r="339" spans="5:13" ht="15" customHeight="1">
      <c r="E339" s="297" t="s">
        <v>268</v>
      </c>
      <c r="F339" s="344" t="s">
        <v>193</v>
      </c>
      <c r="G339" s="345" t="s">
        <v>194</v>
      </c>
      <c r="H339" s="346"/>
      <c r="I339" s="346"/>
      <c r="J339" s="347"/>
      <c r="K339" s="348">
        <v>0</v>
      </c>
      <c r="L339" s="310">
        <f>SUM(L332:L338)/2</f>
        <v>98000</v>
      </c>
    </row>
    <row r="340" spans="5:13" ht="15" customHeight="1" thickBot="1">
      <c r="E340" s="297" t="s">
        <v>268</v>
      </c>
      <c r="F340" s="331" t="s">
        <v>195</v>
      </c>
      <c r="G340" s="332" t="s">
        <v>196</v>
      </c>
      <c r="H340" s="333"/>
      <c r="I340" s="333"/>
      <c r="J340" s="350">
        <v>0.1</v>
      </c>
      <c r="K340" s="335"/>
      <c r="L340" s="330">
        <f>J340*L339</f>
        <v>9800</v>
      </c>
    </row>
    <row r="341" spans="5:13" ht="15" customHeight="1" thickBot="1">
      <c r="E341" s="297" t="s">
        <v>268</v>
      </c>
      <c r="F341" s="340" t="s">
        <v>197</v>
      </c>
      <c r="G341" s="341" t="s">
        <v>198</v>
      </c>
      <c r="H341" s="318"/>
      <c r="I341" s="318"/>
      <c r="J341" s="342"/>
      <c r="K341" s="320">
        <v>0</v>
      </c>
      <c r="L341" s="321">
        <f>ROUNDDOWN(L339+L340,0)</f>
        <v>107800</v>
      </c>
    </row>
    <row r="342" spans="5:13" ht="15" customHeight="1">
      <c r="F342" s="298"/>
      <c r="G342" s="298"/>
      <c r="J342" s="343"/>
    </row>
    <row r="343" spans="5:13" ht="15" customHeight="1" thickBot="1">
      <c r="E343" s="297" t="s">
        <v>270</v>
      </c>
      <c r="F343" s="298" t="s">
        <v>271</v>
      </c>
      <c r="J343" s="343"/>
      <c r="M343" s="299">
        <f>L355</f>
        <v>132165</v>
      </c>
    </row>
    <row r="344" spans="5:13" ht="15" customHeight="1" thickBot="1">
      <c r="E344" s="297" t="s">
        <v>270</v>
      </c>
      <c r="F344" s="340" t="s">
        <v>136</v>
      </c>
      <c r="G344" s="341" t="s">
        <v>162</v>
      </c>
      <c r="H344" s="352" t="s">
        <v>163</v>
      </c>
      <c r="I344" s="352" t="s">
        <v>138</v>
      </c>
      <c r="J344" s="353" t="s">
        <v>164</v>
      </c>
      <c r="K344" s="341" t="s">
        <v>165</v>
      </c>
      <c r="L344" s="354" t="s">
        <v>166</v>
      </c>
    </row>
    <row r="345" spans="5:13" ht="15" customHeight="1">
      <c r="E345" s="297" t="s">
        <v>270</v>
      </c>
      <c r="F345" s="300" t="s">
        <v>167</v>
      </c>
      <c r="G345" s="301" t="s">
        <v>168</v>
      </c>
      <c r="H345" s="302"/>
      <c r="I345" s="302"/>
      <c r="J345" s="351"/>
      <c r="K345" s="328">
        <v>0</v>
      </c>
      <c r="L345" s="310">
        <f>J345*K345</f>
        <v>0</v>
      </c>
    </row>
    <row r="346" spans="5:13" ht="15" customHeight="1">
      <c r="E346" s="297" t="s">
        <v>270</v>
      </c>
      <c r="F346" s="306"/>
      <c r="G346" s="301" t="s">
        <v>169</v>
      </c>
      <c r="H346" s="307" t="s">
        <v>170</v>
      </c>
      <c r="I346" s="307" t="s">
        <v>171</v>
      </c>
      <c r="J346" s="308">
        <v>0.9</v>
      </c>
      <c r="K346" s="309">
        <f>VLOOKUP(G346,Upah,8,FALSE)</f>
        <v>125000</v>
      </c>
      <c r="L346" s="310">
        <f>J346*K346</f>
        <v>112500</v>
      </c>
    </row>
    <row r="347" spans="5:13" ht="15" customHeight="1" thickBot="1">
      <c r="E347" s="297" t="s">
        <v>270</v>
      </c>
      <c r="F347" s="311"/>
      <c r="G347" s="312" t="s">
        <v>176</v>
      </c>
      <c r="H347" s="313" t="s">
        <v>177</v>
      </c>
      <c r="I347" s="313" t="s">
        <v>171</v>
      </c>
      <c r="J347" s="314">
        <v>4.4999999999999998E-2</v>
      </c>
      <c r="K347" s="309">
        <f>VLOOKUP(G347,Upah,8,FALSE)</f>
        <v>170000</v>
      </c>
      <c r="L347" s="310">
        <f>J347*K347</f>
        <v>7650</v>
      </c>
    </row>
    <row r="348" spans="5:13" ht="15" customHeight="1" thickBot="1">
      <c r="E348" s="297" t="s">
        <v>270</v>
      </c>
      <c r="F348" s="316"/>
      <c r="G348" s="317"/>
      <c r="H348" s="318"/>
      <c r="I348" s="318"/>
      <c r="J348" s="319" t="s">
        <v>178</v>
      </c>
      <c r="K348" s="320"/>
      <c r="L348" s="321">
        <f>SUM(L345:L347)</f>
        <v>120150</v>
      </c>
    </row>
    <row r="349" spans="5:13" ht="15" customHeight="1" thickBot="1">
      <c r="E349" s="297" t="s">
        <v>270</v>
      </c>
      <c r="F349" s="331" t="s">
        <v>179</v>
      </c>
      <c r="G349" s="332" t="s">
        <v>180</v>
      </c>
      <c r="H349" s="333"/>
      <c r="I349" s="333"/>
      <c r="J349" s="334"/>
      <c r="K349" s="328">
        <v>0</v>
      </c>
      <c r="L349" s="310">
        <f>J349*K349</f>
        <v>0</v>
      </c>
    </row>
    <row r="350" spans="5:13" ht="15" customHeight="1" thickBot="1">
      <c r="E350" s="297" t="s">
        <v>270</v>
      </c>
      <c r="F350" s="316"/>
      <c r="G350" s="317"/>
      <c r="H350" s="318"/>
      <c r="I350" s="318"/>
      <c r="J350" s="319" t="s">
        <v>189</v>
      </c>
      <c r="K350" s="320"/>
      <c r="L350" s="321">
        <f>SUM(L349)</f>
        <v>0</v>
      </c>
    </row>
    <row r="351" spans="5:13" ht="15" customHeight="1" thickBot="1">
      <c r="E351" s="297" t="s">
        <v>270</v>
      </c>
      <c r="F351" s="331" t="s">
        <v>190</v>
      </c>
      <c r="G351" s="332" t="s">
        <v>191</v>
      </c>
      <c r="H351" s="333"/>
      <c r="I351" s="333"/>
      <c r="J351" s="334"/>
      <c r="K351" s="328">
        <v>0</v>
      </c>
      <c r="L351" s="310">
        <f>J351*K351</f>
        <v>0</v>
      </c>
    </row>
    <row r="352" spans="5:13" ht="15" customHeight="1" thickBot="1">
      <c r="E352" s="297" t="s">
        <v>270</v>
      </c>
      <c r="F352" s="316"/>
      <c r="G352" s="317"/>
      <c r="H352" s="318"/>
      <c r="I352" s="318"/>
      <c r="J352" s="319" t="s">
        <v>192</v>
      </c>
      <c r="K352" s="320"/>
      <c r="L352" s="321">
        <f>L351</f>
        <v>0</v>
      </c>
    </row>
    <row r="353" spans="5:13" ht="15" customHeight="1">
      <c r="E353" s="297" t="s">
        <v>270</v>
      </c>
      <c r="F353" s="344" t="s">
        <v>193</v>
      </c>
      <c r="G353" s="345" t="s">
        <v>194</v>
      </c>
      <c r="H353" s="346"/>
      <c r="I353" s="346"/>
      <c r="J353" s="347"/>
      <c r="K353" s="348">
        <v>0</v>
      </c>
      <c r="L353" s="310">
        <f>SUM(L345:L352)/2</f>
        <v>120150</v>
      </c>
    </row>
    <row r="354" spans="5:13" ht="15" customHeight="1" thickBot="1">
      <c r="E354" s="297" t="s">
        <v>270</v>
      </c>
      <c r="F354" s="331" t="s">
        <v>195</v>
      </c>
      <c r="G354" s="332" t="s">
        <v>196</v>
      </c>
      <c r="H354" s="333"/>
      <c r="I354" s="333"/>
      <c r="J354" s="350">
        <v>0.1</v>
      </c>
      <c r="K354" s="335"/>
      <c r="L354" s="330">
        <f>J354*L353</f>
        <v>12015</v>
      </c>
    </row>
    <row r="355" spans="5:13" ht="15" customHeight="1" thickBot="1">
      <c r="E355" s="297" t="s">
        <v>270</v>
      </c>
      <c r="F355" s="340" t="s">
        <v>197</v>
      </c>
      <c r="G355" s="341" t="s">
        <v>198</v>
      </c>
      <c r="H355" s="318"/>
      <c r="I355" s="318"/>
      <c r="J355" s="342"/>
      <c r="K355" s="320">
        <v>0</v>
      </c>
      <c r="L355" s="321">
        <f>ROUNDDOWN(L353+L354,0)</f>
        <v>132165</v>
      </c>
    </row>
    <row r="356" spans="5:13" ht="15" customHeight="1">
      <c r="F356" s="298"/>
      <c r="G356" s="298"/>
      <c r="J356" s="343"/>
    </row>
    <row r="357" spans="5:13" ht="15" customHeight="1" thickBot="1">
      <c r="E357" s="297" t="s">
        <v>272</v>
      </c>
      <c r="F357" s="298" t="s">
        <v>273</v>
      </c>
      <c r="J357" s="343"/>
      <c r="M357" s="299">
        <f>L369</f>
        <v>156904</v>
      </c>
    </row>
    <row r="358" spans="5:13" ht="15" customHeight="1" thickBot="1">
      <c r="E358" s="297" t="s">
        <v>272</v>
      </c>
      <c r="F358" s="340" t="s">
        <v>136</v>
      </c>
      <c r="G358" s="341" t="s">
        <v>162</v>
      </c>
      <c r="H358" s="352" t="s">
        <v>163</v>
      </c>
      <c r="I358" s="352" t="s">
        <v>138</v>
      </c>
      <c r="J358" s="353" t="s">
        <v>164</v>
      </c>
      <c r="K358" s="341" t="s">
        <v>165</v>
      </c>
      <c r="L358" s="354" t="s">
        <v>166</v>
      </c>
    </row>
    <row r="359" spans="5:13" ht="15" customHeight="1">
      <c r="E359" s="297" t="s">
        <v>272</v>
      </c>
      <c r="F359" s="300" t="s">
        <v>167</v>
      </c>
      <c r="G359" s="301" t="s">
        <v>168</v>
      </c>
      <c r="H359" s="302"/>
      <c r="I359" s="302"/>
      <c r="J359" s="351"/>
      <c r="K359" s="328">
        <v>0</v>
      </c>
      <c r="L359" s="310">
        <f>J359*K359</f>
        <v>0</v>
      </c>
    </row>
    <row r="360" spans="5:13" ht="15" customHeight="1">
      <c r="E360" s="297" t="s">
        <v>272</v>
      </c>
      <c r="F360" s="306"/>
      <c r="G360" s="301" t="s">
        <v>169</v>
      </c>
      <c r="H360" s="307" t="s">
        <v>170</v>
      </c>
      <c r="I360" s="307" t="s">
        <v>171</v>
      </c>
      <c r="J360" s="308">
        <v>1.05</v>
      </c>
      <c r="K360" s="309">
        <f>VLOOKUP(G360,Upah,8,FALSE)</f>
        <v>125000</v>
      </c>
      <c r="L360" s="310">
        <f>J360*K360</f>
        <v>131250</v>
      </c>
    </row>
    <row r="361" spans="5:13" ht="15" customHeight="1" thickBot="1">
      <c r="E361" s="297" t="s">
        <v>272</v>
      </c>
      <c r="F361" s="311"/>
      <c r="G361" s="312" t="s">
        <v>176</v>
      </c>
      <c r="H361" s="313" t="s">
        <v>177</v>
      </c>
      <c r="I361" s="313" t="s">
        <v>171</v>
      </c>
      <c r="J361" s="314">
        <v>6.7000000000000004E-2</v>
      </c>
      <c r="K361" s="309">
        <f>VLOOKUP(G361,Upah,8,FALSE)</f>
        <v>170000</v>
      </c>
      <c r="L361" s="310">
        <f>J361*K361</f>
        <v>11390</v>
      </c>
    </row>
    <row r="362" spans="5:13" ht="15" customHeight="1" thickBot="1">
      <c r="E362" s="297" t="s">
        <v>272</v>
      </c>
      <c r="F362" s="316"/>
      <c r="G362" s="317"/>
      <c r="H362" s="318"/>
      <c r="I362" s="318"/>
      <c r="J362" s="319" t="s">
        <v>178</v>
      </c>
      <c r="K362" s="320"/>
      <c r="L362" s="321">
        <f>SUM(L359:L361)</f>
        <v>142640</v>
      </c>
    </row>
    <row r="363" spans="5:13" ht="15" customHeight="1" thickBot="1">
      <c r="E363" s="297" t="s">
        <v>272</v>
      </c>
      <c r="F363" s="331" t="s">
        <v>179</v>
      </c>
      <c r="G363" s="332" t="s">
        <v>180</v>
      </c>
      <c r="H363" s="333"/>
      <c r="I363" s="333"/>
      <c r="J363" s="334"/>
      <c r="K363" s="328">
        <v>0</v>
      </c>
      <c r="L363" s="310">
        <f>J363*K363</f>
        <v>0</v>
      </c>
    </row>
    <row r="364" spans="5:13" ht="15" customHeight="1" thickBot="1">
      <c r="E364" s="297" t="s">
        <v>272</v>
      </c>
      <c r="F364" s="316"/>
      <c r="G364" s="317"/>
      <c r="H364" s="318"/>
      <c r="I364" s="318"/>
      <c r="J364" s="319" t="s">
        <v>189</v>
      </c>
      <c r="K364" s="320"/>
      <c r="L364" s="321">
        <f>SUM(L363)</f>
        <v>0</v>
      </c>
    </row>
    <row r="365" spans="5:13" ht="15" customHeight="1" thickBot="1">
      <c r="E365" s="297" t="s">
        <v>272</v>
      </c>
      <c r="F365" s="331" t="s">
        <v>190</v>
      </c>
      <c r="G365" s="332" t="s">
        <v>191</v>
      </c>
      <c r="H365" s="333"/>
      <c r="I365" s="333"/>
      <c r="J365" s="334"/>
      <c r="K365" s="328">
        <v>0</v>
      </c>
      <c r="L365" s="310">
        <f>J365*K365</f>
        <v>0</v>
      </c>
    </row>
    <row r="366" spans="5:13" ht="15" customHeight="1" thickBot="1">
      <c r="E366" s="297" t="s">
        <v>272</v>
      </c>
      <c r="F366" s="316"/>
      <c r="G366" s="317"/>
      <c r="H366" s="318"/>
      <c r="I366" s="318"/>
      <c r="J366" s="319" t="s">
        <v>192</v>
      </c>
      <c r="K366" s="320"/>
      <c r="L366" s="321">
        <f>L365</f>
        <v>0</v>
      </c>
    </row>
    <row r="367" spans="5:13" ht="15" customHeight="1">
      <c r="E367" s="297" t="s">
        <v>272</v>
      </c>
      <c r="F367" s="344" t="s">
        <v>193</v>
      </c>
      <c r="G367" s="345" t="s">
        <v>194</v>
      </c>
      <c r="H367" s="346"/>
      <c r="I367" s="346"/>
      <c r="J367" s="347"/>
      <c r="K367" s="348">
        <v>0</v>
      </c>
      <c r="L367" s="310">
        <f>SUM(L359:L366)/2</f>
        <v>142640</v>
      </c>
    </row>
    <row r="368" spans="5:13" ht="15" customHeight="1" thickBot="1">
      <c r="E368" s="297" t="s">
        <v>272</v>
      </c>
      <c r="F368" s="331" t="s">
        <v>195</v>
      </c>
      <c r="G368" s="332" t="s">
        <v>196</v>
      </c>
      <c r="H368" s="333"/>
      <c r="I368" s="333"/>
      <c r="J368" s="350">
        <v>0.1</v>
      </c>
      <c r="K368" s="335"/>
      <c r="L368" s="330">
        <f>J368*L367</f>
        <v>14264</v>
      </c>
    </row>
    <row r="369" spans="5:13" ht="15" customHeight="1" thickBot="1">
      <c r="E369" s="297" t="s">
        <v>272</v>
      </c>
      <c r="F369" s="340" t="s">
        <v>197</v>
      </c>
      <c r="G369" s="341" t="s">
        <v>198</v>
      </c>
      <c r="H369" s="318"/>
      <c r="I369" s="318"/>
      <c r="J369" s="342"/>
      <c r="K369" s="320">
        <v>0</v>
      </c>
      <c r="L369" s="321">
        <f>ROUNDDOWN(L367+L368,0)</f>
        <v>156904</v>
      </c>
    </row>
    <row r="370" spans="5:13" ht="15" customHeight="1">
      <c r="F370" s="298"/>
      <c r="G370" s="298"/>
      <c r="J370" s="343"/>
    </row>
    <row r="371" spans="5:13" ht="15" customHeight="1" thickBot="1">
      <c r="E371" s="297" t="s">
        <v>274</v>
      </c>
      <c r="F371" s="298" t="s">
        <v>275</v>
      </c>
      <c r="J371" s="343"/>
      <c r="M371" s="299">
        <f>L383</f>
        <v>143484</v>
      </c>
    </row>
    <row r="372" spans="5:13" ht="15" customHeight="1" thickBot="1">
      <c r="E372" s="297" t="s">
        <v>274</v>
      </c>
      <c r="F372" s="340" t="s">
        <v>136</v>
      </c>
      <c r="G372" s="341" t="s">
        <v>162</v>
      </c>
      <c r="H372" s="352" t="s">
        <v>163</v>
      </c>
      <c r="I372" s="352" t="s">
        <v>138</v>
      </c>
      <c r="J372" s="353" t="s">
        <v>164</v>
      </c>
      <c r="K372" s="341" t="s">
        <v>165</v>
      </c>
      <c r="L372" s="354" t="s">
        <v>166</v>
      </c>
    </row>
    <row r="373" spans="5:13" ht="15" customHeight="1">
      <c r="E373" s="297" t="s">
        <v>274</v>
      </c>
      <c r="F373" s="300" t="s">
        <v>167</v>
      </c>
      <c r="G373" s="301" t="s">
        <v>168</v>
      </c>
      <c r="H373" s="302"/>
      <c r="I373" s="302"/>
      <c r="J373" s="351"/>
      <c r="K373" s="328">
        <v>0</v>
      </c>
      <c r="L373" s="310">
        <f>J373*K373</f>
        <v>0</v>
      </c>
    </row>
    <row r="374" spans="5:13" ht="15" customHeight="1">
      <c r="E374" s="297" t="s">
        <v>274</v>
      </c>
      <c r="F374" s="306"/>
      <c r="G374" s="301" t="s">
        <v>169</v>
      </c>
      <c r="H374" s="307" t="s">
        <v>170</v>
      </c>
      <c r="I374" s="307" t="s">
        <v>171</v>
      </c>
      <c r="J374" s="308">
        <v>1</v>
      </c>
      <c r="K374" s="309">
        <f>VLOOKUP(G374,Upah,8,FALSE)</f>
        <v>125000</v>
      </c>
      <c r="L374" s="310">
        <f>J374*K374</f>
        <v>125000</v>
      </c>
    </row>
    <row r="375" spans="5:13" ht="15" customHeight="1" thickBot="1">
      <c r="E375" s="297" t="s">
        <v>274</v>
      </c>
      <c r="F375" s="311"/>
      <c r="G375" s="312" t="s">
        <v>176</v>
      </c>
      <c r="H375" s="313" t="s">
        <v>177</v>
      </c>
      <c r="I375" s="313" t="s">
        <v>171</v>
      </c>
      <c r="J375" s="314">
        <v>3.2000000000000001E-2</v>
      </c>
      <c r="K375" s="309">
        <f>VLOOKUP(G375,Upah,8,FALSE)</f>
        <v>170000</v>
      </c>
      <c r="L375" s="310">
        <f>J375*K375</f>
        <v>5440</v>
      </c>
    </row>
    <row r="376" spans="5:13" ht="15" customHeight="1" thickBot="1">
      <c r="E376" s="297" t="s">
        <v>274</v>
      </c>
      <c r="F376" s="316"/>
      <c r="G376" s="317"/>
      <c r="H376" s="318"/>
      <c r="I376" s="318"/>
      <c r="J376" s="319" t="s">
        <v>178</v>
      </c>
      <c r="K376" s="320"/>
      <c r="L376" s="321">
        <f>SUM(L373:L375)</f>
        <v>130440</v>
      </c>
    </row>
    <row r="377" spans="5:13" ht="15" customHeight="1" thickBot="1">
      <c r="E377" s="297" t="s">
        <v>274</v>
      </c>
      <c r="F377" s="331" t="s">
        <v>179</v>
      </c>
      <c r="G377" s="332" t="s">
        <v>180</v>
      </c>
      <c r="H377" s="333"/>
      <c r="I377" s="333"/>
      <c r="J377" s="334"/>
      <c r="K377" s="328">
        <v>0</v>
      </c>
      <c r="L377" s="310">
        <f>J377*K377</f>
        <v>0</v>
      </c>
    </row>
    <row r="378" spans="5:13" ht="15" customHeight="1" thickBot="1">
      <c r="E378" s="297" t="s">
        <v>274</v>
      </c>
      <c r="F378" s="316"/>
      <c r="G378" s="317"/>
      <c r="H378" s="318"/>
      <c r="I378" s="318"/>
      <c r="J378" s="319" t="s">
        <v>189</v>
      </c>
      <c r="K378" s="320"/>
      <c r="L378" s="321">
        <f>SUM(L377)</f>
        <v>0</v>
      </c>
    </row>
    <row r="379" spans="5:13" ht="15" customHeight="1" thickBot="1">
      <c r="E379" s="297" t="s">
        <v>274</v>
      </c>
      <c r="F379" s="331" t="s">
        <v>190</v>
      </c>
      <c r="G379" s="332" t="s">
        <v>191</v>
      </c>
      <c r="H379" s="333"/>
      <c r="I379" s="333"/>
      <c r="J379" s="334"/>
      <c r="K379" s="328">
        <v>0</v>
      </c>
      <c r="L379" s="310">
        <f>J379*K379</f>
        <v>0</v>
      </c>
    </row>
    <row r="380" spans="5:13" ht="15" customHeight="1" thickBot="1">
      <c r="E380" s="297" t="s">
        <v>274</v>
      </c>
      <c r="F380" s="316"/>
      <c r="G380" s="317"/>
      <c r="H380" s="318"/>
      <c r="I380" s="318"/>
      <c r="J380" s="319" t="s">
        <v>192</v>
      </c>
      <c r="K380" s="320"/>
      <c r="L380" s="321">
        <f>L379</f>
        <v>0</v>
      </c>
    </row>
    <row r="381" spans="5:13" ht="15" customHeight="1">
      <c r="E381" s="297" t="s">
        <v>274</v>
      </c>
      <c r="F381" s="344" t="s">
        <v>193</v>
      </c>
      <c r="G381" s="345" t="s">
        <v>194</v>
      </c>
      <c r="H381" s="346"/>
      <c r="I381" s="346"/>
      <c r="J381" s="347"/>
      <c r="K381" s="348">
        <v>0</v>
      </c>
      <c r="L381" s="310">
        <f>SUM(L373:L380)/2</f>
        <v>130440</v>
      </c>
    </row>
    <row r="382" spans="5:13" ht="15" customHeight="1" thickBot="1">
      <c r="E382" s="297" t="s">
        <v>274</v>
      </c>
      <c r="F382" s="331" t="s">
        <v>195</v>
      </c>
      <c r="G382" s="332" t="s">
        <v>196</v>
      </c>
      <c r="H382" s="333"/>
      <c r="I382" s="333"/>
      <c r="J382" s="350">
        <v>0.1</v>
      </c>
      <c r="K382" s="335"/>
      <c r="L382" s="330">
        <f>J382*L381</f>
        <v>13044</v>
      </c>
    </row>
    <row r="383" spans="5:13" ht="15" customHeight="1" thickBot="1">
      <c r="E383" s="297" t="s">
        <v>274</v>
      </c>
      <c r="F383" s="340" t="s">
        <v>197</v>
      </c>
      <c r="G383" s="341" t="s">
        <v>198</v>
      </c>
      <c r="H383" s="318"/>
      <c r="I383" s="318"/>
      <c r="J383" s="342"/>
      <c r="K383" s="320">
        <v>0</v>
      </c>
      <c r="L383" s="321">
        <f>ROUNDDOWN(L381+L382,0)</f>
        <v>143484</v>
      </c>
    </row>
    <row r="384" spans="5:13" ht="15" customHeight="1">
      <c r="F384" s="298"/>
      <c r="G384" s="298"/>
      <c r="J384" s="343"/>
    </row>
    <row r="385" spans="5:13" ht="15" customHeight="1" thickBot="1">
      <c r="E385" s="297" t="s">
        <v>276</v>
      </c>
      <c r="F385" s="298" t="s">
        <v>277</v>
      </c>
      <c r="J385" s="343"/>
      <c r="M385" s="299">
        <f>L397</f>
        <v>217470</v>
      </c>
    </row>
    <row r="386" spans="5:13" ht="15" customHeight="1" thickBot="1">
      <c r="E386" s="297" t="s">
        <v>276</v>
      </c>
      <c r="F386" s="340" t="s">
        <v>136</v>
      </c>
      <c r="G386" s="341" t="s">
        <v>162</v>
      </c>
      <c r="H386" s="352" t="s">
        <v>163</v>
      </c>
      <c r="I386" s="352" t="s">
        <v>138</v>
      </c>
      <c r="J386" s="353" t="s">
        <v>164</v>
      </c>
      <c r="K386" s="341" t="s">
        <v>165</v>
      </c>
      <c r="L386" s="354" t="s">
        <v>166</v>
      </c>
    </row>
    <row r="387" spans="5:13" ht="15" customHeight="1">
      <c r="E387" s="297" t="s">
        <v>276</v>
      </c>
      <c r="F387" s="300" t="s">
        <v>167</v>
      </c>
      <c r="G387" s="301" t="s">
        <v>168</v>
      </c>
      <c r="H387" s="302"/>
      <c r="I387" s="302"/>
      <c r="J387" s="351"/>
      <c r="K387" s="328">
        <v>0</v>
      </c>
      <c r="L387" s="310">
        <f>J387*K387</f>
        <v>0</v>
      </c>
    </row>
    <row r="388" spans="5:13" ht="15" customHeight="1">
      <c r="E388" s="297" t="s">
        <v>276</v>
      </c>
      <c r="F388" s="306"/>
      <c r="G388" s="301" t="s">
        <v>169</v>
      </c>
      <c r="H388" s="307" t="s">
        <v>170</v>
      </c>
      <c r="I388" s="307" t="s">
        <v>171</v>
      </c>
      <c r="J388" s="308">
        <v>1.5</v>
      </c>
      <c r="K388" s="309">
        <f>VLOOKUP(G388,Upah,8,FALSE)</f>
        <v>125000</v>
      </c>
      <c r="L388" s="310">
        <f>J388*K388</f>
        <v>187500</v>
      </c>
    </row>
    <row r="389" spans="5:13" ht="15" customHeight="1" thickBot="1">
      <c r="E389" s="297" t="s">
        <v>276</v>
      </c>
      <c r="F389" s="311"/>
      <c r="G389" s="312" t="s">
        <v>176</v>
      </c>
      <c r="H389" s="313" t="s">
        <v>177</v>
      </c>
      <c r="I389" s="313" t="s">
        <v>171</v>
      </c>
      <c r="J389" s="314">
        <v>0.06</v>
      </c>
      <c r="K389" s="309">
        <f>VLOOKUP(G389,Upah,8,FALSE)</f>
        <v>170000</v>
      </c>
      <c r="L389" s="310">
        <f>J389*K389</f>
        <v>10200</v>
      </c>
    </row>
    <row r="390" spans="5:13" ht="15" customHeight="1" thickBot="1">
      <c r="E390" s="297" t="s">
        <v>276</v>
      </c>
      <c r="F390" s="316"/>
      <c r="G390" s="317"/>
      <c r="H390" s="318"/>
      <c r="I390" s="318"/>
      <c r="J390" s="319" t="s">
        <v>178</v>
      </c>
      <c r="K390" s="320"/>
      <c r="L390" s="321">
        <f>SUM(L387:L389)</f>
        <v>197700</v>
      </c>
    </row>
    <row r="391" spans="5:13" ht="15" customHeight="1" thickBot="1">
      <c r="E391" s="297" t="s">
        <v>276</v>
      </c>
      <c r="F391" s="331" t="s">
        <v>179</v>
      </c>
      <c r="G391" s="332" t="s">
        <v>180</v>
      </c>
      <c r="H391" s="333"/>
      <c r="I391" s="333"/>
      <c r="J391" s="334"/>
      <c r="K391" s="328">
        <v>0</v>
      </c>
      <c r="L391" s="310">
        <f>J391*K391</f>
        <v>0</v>
      </c>
    </row>
    <row r="392" spans="5:13" ht="15" customHeight="1" thickBot="1">
      <c r="E392" s="297" t="s">
        <v>276</v>
      </c>
      <c r="F392" s="316"/>
      <c r="G392" s="317"/>
      <c r="H392" s="318"/>
      <c r="I392" s="318"/>
      <c r="J392" s="319" t="s">
        <v>189</v>
      </c>
      <c r="K392" s="320"/>
      <c r="L392" s="321">
        <f>SUM(L391)</f>
        <v>0</v>
      </c>
    </row>
    <row r="393" spans="5:13" ht="15" customHeight="1" thickBot="1">
      <c r="E393" s="297" t="s">
        <v>276</v>
      </c>
      <c r="F393" s="331" t="s">
        <v>190</v>
      </c>
      <c r="G393" s="332" t="s">
        <v>191</v>
      </c>
      <c r="H393" s="333"/>
      <c r="I393" s="333"/>
      <c r="J393" s="334"/>
      <c r="K393" s="328">
        <v>0</v>
      </c>
      <c r="L393" s="310">
        <f>J393*K393</f>
        <v>0</v>
      </c>
    </row>
    <row r="394" spans="5:13" ht="15" customHeight="1" thickBot="1">
      <c r="E394" s="297" t="s">
        <v>276</v>
      </c>
      <c r="F394" s="316"/>
      <c r="G394" s="317"/>
      <c r="H394" s="318"/>
      <c r="I394" s="318"/>
      <c r="J394" s="319" t="s">
        <v>192</v>
      </c>
      <c r="K394" s="320"/>
      <c r="L394" s="321">
        <f>L393</f>
        <v>0</v>
      </c>
    </row>
    <row r="395" spans="5:13" ht="15" customHeight="1">
      <c r="E395" s="297" t="s">
        <v>276</v>
      </c>
      <c r="F395" s="344" t="s">
        <v>193</v>
      </c>
      <c r="G395" s="345" t="s">
        <v>194</v>
      </c>
      <c r="H395" s="346"/>
      <c r="I395" s="346"/>
      <c r="J395" s="347"/>
      <c r="K395" s="348">
        <v>0</v>
      </c>
      <c r="L395" s="310">
        <f>SUM(L387:L394)/2</f>
        <v>197700</v>
      </c>
    </row>
    <row r="396" spans="5:13" ht="15" customHeight="1" thickBot="1">
      <c r="E396" s="297" t="s">
        <v>276</v>
      </c>
      <c r="F396" s="331" t="s">
        <v>195</v>
      </c>
      <c r="G396" s="332" t="s">
        <v>196</v>
      </c>
      <c r="H396" s="333"/>
      <c r="I396" s="333"/>
      <c r="J396" s="350">
        <v>0.1</v>
      </c>
      <c r="K396" s="335"/>
      <c r="L396" s="330">
        <f>J396*L395</f>
        <v>19770</v>
      </c>
    </row>
    <row r="397" spans="5:13" ht="15" customHeight="1" thickBot="1">
      <c r="E397" s="297" t="s">
        <v>276</v>
      </c>
      <c r="F397" s="340" t="s">
        <v>197</v>
      </c>
      <c r="G397" s="341" t="s">
        <v>198</v>
      </c>
      <c r="H397" s="318"/>
      <c r="I397" s="318"/>
      <c r="J397" s="342"/>
      <c r="K397" s="320">
        <v>0</v>
      </c>
      <c r="L397" s="321">
        <f>ROUNDDOWN(L395+L396,0)</f>
        <v>217470</v>
      </c>
    </row>
    <row r="398" spans="5:13" ht="15" customHeight="1">
      <c r="F398" s="298"/>
      <c r="G398" s="298"/>
      <c r="J398" s="343"/>
    </row>
    <row r="399" spans="5:13" ht="15" customHeight="1" thickBot="1">
      <c r="E399" s="297" t="s">
        <v>278</v>
      </c>
      <c r="F399" s="298" t="s">
        <v>279</v>
      </c>
      <c r="J399" s="343"/>
      <c r="M399" s="299">
        <f>L411</f>
        <v>173415</v>
      </c>
    </row>
    <row r="400" spans="5:13" ht="15" customHeight="1" thickBot="1">
      <c r="E400" s="297" t="s">
        <v>278</v>
      </c>
      <c r="F400" s="340" t="s">
        <v>136</v>
      </c>
      <c r="G400" s="341" t="s">
        <v>162</v>
      </c>
      <c r="H400" s="352" t="s">
        <v>163</v>
      </c>
      <c r="I400" s="352" t="s">
        <v>138</v>
      </c>
      <c r="J400" s="353" t="s">
        <v>164</v>
      </c>
      <c r="K400" s="341" t="s">
        <v>165</v>
      </c>
      <c r="L400" s="354" t="s">
        <v>166</v>
      </c>
    </row>
    <row r="401" spans="5:13" ht="15" customHeight="1">
      <c r="E401" s="297" t="s">
        <v>278</v>
      </c>
      <c r="F401" s="300" t="s">
        <v>167</v>
      </c>
      <c r="G401" s="301" t="s">
        <v>168</v>
      </c>
      <c r="H401" s="302"/>
      <c r="I401" s="302"/>
      <c r="J401" s="351"/>
      <c r="K401" s="328">
        <v>0</v>
      </c>
      <c r="L401" s="310">
        <f>J401*K401</f>
        <v>0</v>
      </c>
    </row>
    <row r="402" spans="5:13" ht="15" customHeight="1">
      <c r="E402" s="297" t="s">
        <v>278</v>
      </c>
      <c r="F402" s="306"/>
      <c r="G402" s="301" t="s">
        <v>169</v>
      </c>
      <c r="H402" s="307" t="s">
        <v>170</v>
      </c>
      <c r="I402" s="307" t="s">
        <v>171</v>
      </c>
      <c r="J402" s="308">
        <v>1.2</v>
      </c>
      <c r="K402" s="309">
        <f>VLOOKUP(G402,Upah,8,FALSE)</f>
        <v>125000</v>
      </c>
      <c r="L402" s="310">
        <f>J402*K402</f>
        <v>150000</v>
      </c>
    </row>
    <row r="403" spans="5:13" ht="15" customHeight="1" thickBot="1">
      <c r="E403" s="297" t="s">
        <v>278</v>
      </c>
      <c r="F403" s="311"/>
      <c r="G403" s="312" t="s">
        <v>176</v>
      </c>
      <c r="H403" s="313" t="s">
        <v>177</v>
      </c>
      <c r="I403" s="313" t="s">
        <v>171</v>
      </c>
      <c r="J403" s="314">
        <v>4.4999999999999998E-2</v>
      </c>
      <c r="K403" s="309">
        <f>VLOOKUP(G403,Upah,8,FALSE)</f>
        <v>170000</v>
      </c>
      <c r="L403" s="310">
        <f>J403*K403</f>
        <v>7650</v>
      </c>
    </row>
    <row r="404" spans="5:13" ht="15" customHeight="1" thickBot="1">
      <c r="E404" s="297" t="s">
        <v>278</v>
      </c>
      <c r="F404" s="316"/>
      <c r="G404" s="317"/>
      <c r="H404" s="318"/>
      <c r="I404" s="318"/>
      <c r="J404" s="319" t="s">
        <v>178</v>
      </c>
      <c r="K404" s="320"/>
      <c r="L404" s="321">
        <f>SUM(L401:L403)</f>
        <v>157650</v>
      </c>
    </row>
    <row r="405" spans="5:13" ht="15" customHeight="1" thickBot="1">
      <c r="E405" s="297" t="s">
        <v>278</v>
      </c>
      <c r="F405" s="331" t="s">
        <v>179</v>
      </c>
      <c r="G405" s="332" t="s">
        <v>180</v>
      </c>
      <c r="H405" s="333"/>
      <c r="I405" s="333"/>
      <c r="J405" s="334"/>
      <c r="K405" s="328">
        <v>0</v>
      </c>
      <c r="L405" s="310">
        <f>J405*K405</f>
        <v>0</v>
      </c>
    </row>
    <row r="406" spans="5:13" ht="15" customHeight="1" thickBot="1">
      <c r="E406" s="297" t="s">
        <v>278</v>
      </c>
      <c r="F406" s="316"/>
      <c r="G406" s="317"/>
      <c r="H406" s="318"/>
      <c r="I406" s="318"/>
      <c r="J406" s="319" t="s">
        <v>189</v>
      </c>
      <c r="K406" s="320"/>
      <c r="L406" s="321">
        <f>SUM(L405)</f>
        <v>0</v>
      </c>
    </row>
    <row r="407" spans="5:13" ht="15" customHeight="1" thickBot="1">
      <c r="E407" s="297" t="s">
        <v>278</v>
      </c>
      <c r="F407" s="331" t="s">
        <v>190</v>
      </c>
      <c r="G407" s="332" t="s">
        <v>191</v>
      </c>
      <c r="H407" s="333"/>
      <c r="I407" s="333"/>
      <c r="J407" s="334"/>
      <c r="K407" s="328">
        <v>0</v>
      </c>
      <c r="L407" s="310">
        <f>J407*K407</f>
        <v>0</v>
      </c>
    </row>
    <row r="408" spans="5:13" ht="15" customHeight="1" thickBot="1">
      <c r="E408" s="297" t="s">
        <v>278</v>
      </c>
      <c r="F408" s="316"/>
      <c r="G408" s="317"/>
      <c r="H408" s="318"/>
      <c r="I408" s="318"/>
      <c r="J408" s="319" t="s">
        <v>192</v>
      </c>
      <c r="K408" s="320"/>
      <c r="L408" s="321">
        <f>L407</f>
        <v>0</v>
      </c>
    </row>
    <row r="409" spans="5:13" ht="15" customHeight="1">
      <c r="E409" s="297" t="s">
        <v>278</v>
      </c>
      <c r="F409" s="344" t="s">
        <v>193</v>
      </c>
      <c r="G409" s="345" t="s">
        <v>194</v>
      </c>
      <c r="H409" s="346"/>
      <c r="I409" s="346"/>
      <c r="J409" s="347"/>
      <c r="K409" s="348">
        <v>0</v>
      </c>
      <c r="L409" s="310">
        <f>SUM(L401:L408)/2</f>
        <v>157650</v>
      </c>
    </row>
    <row r="410" spans="5:13" ht="15" customHeight="1" thickBot="1">
      <c r="E410" s="297" t="s">
        <v>278</v>
      </c>
      <c r="F410" s="331" t="s">
        <v>195</v>
      </c>
      <c r="G410" s="332" t="s">
        <v>196</v>
      </c>
      <c r="H410" s="333"/>
      <c r="I410" s="333"/>
      <c r="J410" s="350">
        <v>0.1</v>
      </c>
      <c r="K410" s="335"/>
      <c r="L410" s="330">
        <f>J410*L409</f>
        <v>15765</v>
      </c>
    </row>
    <row r="411" spans="5:13" ht="15" customHeight="1" thickBot="1">
      <c r="E411" s="297" t="s">
        <v>278</v>
      </c>
      <c r="F411" s="340" t="s">
        <v>197</v>
      </c>
      <c r="G411" s="341" t="s">
        <v>198</v>
      </c>
      <c r="H411" s="318"/>
      <c r="I411" s="318"/>
      <c r="J411" s="342"/>
      <c r="K411" s="320">
        <v>0</v>
      </c>
      <c r="L411" s="321">
        <f>ROUNDDOWN(L409+L410,0)</f>
        <v>173415</v>
      </c>
    </row>
    <row r="412" spans="5:13" ht="15" customHeight="1">
      <c r="F412" s="298"/>
      <c r="G412" s="298"/>
      <c r="J412" s="343"/>
    </row>
    <row r="413" spans="5:13" ht="15" customHeight="1" thickBot="1">
      <c r="E413" s="297" t="s">
        <v>280</v>
      </c>
      <c r="F413" s="295" t="s">
        <v>281</v>
      </c>
      <c r="G413" s="298"/>
      <c r="J413" s="343"/>
      <c r="M413" s="299">
        <f>L425</f>
        <v>7810</v>
      </c>
    </row>
    <row r="414" spans="5:13" ht="15" customHeight="1" thickBot="1">
      <c r="E414" s="297" t="s">
        <v>280</v>
      </c>
      <c r="F414" s="340" t="s">
        <v>136</v>
      </c>
      <c r="G414" s="341" t="s">
        <v>162</v>
      </c>
      <c r="H414" s="352" t="s">
        <v>163</v>
      </c>
      <c r="I414" s="352" t="s">
        <v>138</v>
      </c>
      <c r="J414" s="353" t="s">
        <v>164</v>
      </c>
      <c r="K414" s="341" t="s">
        <v>165</v>
      </c>
      <c r="L414" s="354" t="s">
        <v>166</v>
      </c>
    </row>
    <row r="415" spans="5:13" ht="15" customHeight="1">
      <c r="E415" s="297" t="s">
        <v>280</v>
      </c>
      <c r="F415" s="300" t="s">
        <v>167</v>
      </c>
      <c r="G415" s="301" t="s">
        <v>168</v>
      </c>
      <c r="H415" s="302"/>
      <c r="I415" s="302"/>
      <c r="J415" s="351"/>
      <c r="K415" s="328">
        <v>0</v>
      </c>
      <c r="L415" s="310">
        <f>J415*K415</f>
        <v>0</v>
      </c>
    </row>
    <row r="416" spans="5:13" ht="15" customHeight="1">
      <c r="E416" s="297" t="s">
        <v>280</v>
      </c>
      <c r="F416" s="306"/>
      <c r="G416" s="301" t="s">
        <v>169</v>
      </c>
      <c r="H416" s="307" t="s">
        <v>170</v>
      </c>
      <c r="I416" s="307" t="s">
        <v>171</v>
      </c>
      <c r="J416" s="308">
        <v>0.05</v>
      </c>
      <c r="K416" s="309">
        <f>VLOOKUP(G416,Upah,8,FALSE)</f>
        <v>125000</v>
      </c>
      <c r="L416" s="310">
        <f>J416*K416</f>
        <v>6250</v>
      </c>
    </row>
    <row r="417" spans="5:13" ht="15" customHeight="1" thickBot="1">
      <c r="E417" s="297" t="s">
        <v>280</v>
      </c>
      <c r="F417" s="311"/>
      <c r="G417" s="312" t="s">
        <v>176</v>
      </c>
      <c r="H417" s="313" t="s">
        <v>177</v>
      </c>
      <c r="I417" s="313" t="s">
        <v>171</v>
      </c>
      <c r="J417" s="314">
        <v>5.0000000000000001E-3</v>
      </c>
      <c r="K417" s="309">
        <f>VLOOKUP(G417,Upah,8,FALSE)</f>
        <v>170000</v>
      </c>
      <c r="L417" s="310">
        <f>J417*K417</f>
        <v>850</v>
      </c>
    </row>
    <row r="418" spans="5:13" ht="15" customHeight="1" thickBot="1">
      <c r="E418" s="297" t="s">
        <v>280</v>
      </c>
      <c r="F418" s="316"/>
      <c r="G418" s="317"/>
      <c r="H418" s="318"/>
      <c r="I418" s="318"/>
      <c r="J418" s="319" t="s">
        <v>178</v>
      </c>
      <c r="K418" s="320"/>
      <c r="L418" s="321">
        <f>SUM(L415:L417)</f>
        <v>7100</v>
      </c>
    </row>
    <row r="419" spans="5:13" ht="15" customHeight="1" thickBot="1">
      <c r="E419" s="297" t="s">
        <v>280</v>
      </c>
      <c r="F419" s="331" t="s">
        <v>179</v>
      </c>
      <c r="G419" s="332" t="s">
        <v>180</v>
      </c>
      <c r="H419" s="333"/>
      <c r="I419" s="333"/>
      <c r="J419" s="334"/>
      <c r="K419" s="328">
        <v>0</v>
      </c>
      <c r="L419" s="310">
        <f>J419*K419</f>
        <v>0</v>
      </c>
    </row>
    <row r="420" spans="5:13" ht="15" customHeight="1" thickBot="1">
      <c r="E420" s="297" t="s">
        <v>280</v>
      </c>
      <c r="F420" s="316"/>
      <c r="G420" s="317"/>
      <c r="H420" s="318"/>
      <c r="I420" s="318"/>
      <c r="J420" s="319" t="s">
        <v>189</v>
      </c>
      <c r="K420" s="320"/>
      <c r="L420" s="321">
        <f>SUM(L419)</f>
        <v>0</v>
      </c>
    </row>
    <row r="421" spans="5:13" ht="15" customHeight="1" thickBot="1">
      <c r="E421" s="297" t="s">
        <v>280</v>
      </c>
      <c r="F421" s="331" t="s">
        <v>190</v>
      </c>
      <c r="G421" s="332" t="s">
        <v>191</v>
      </c>
      <c r="H421" s="333"/>
      <c r="I421" s="333"/>
      <c r="J421" s="334"/>
      <c r="K421" s="328">
        <v>0</v>
      </c>
      <c r="L421" s="310">
        <f>J421*K421</f>
        <v>0</v>
      </c>
    </row>
    <row r="422" spans="5:13" ht="15" customHeight="1" thickBot="1">
      <c r="E422" s="297" t="s">
        <v>280</v>
      </c>
      <c r="F422" s="316"/>
      <c r="G422" s="317"/>
      <c r="H422" s="318"/>
      <c r="I422" s="318"/>
      <c r="J422" s="319" t="s">
        <v>192</v>
      </c>
      <c r="K422" s="320"/>
      <c r="L422" s="321">
        <f>L421</f>
        <v>0</v>
      </c>
    </row>
    <row r="423" spans="5:13" ht="15" customHeight="1">
      <c r="E423" s="297" t="s">
        <v>280</v>
      </c>
      <c r="F423" s="344" t="s">
        <v>193</v>
      </c>
      <c r="G423" s="345" t="s">
        <v>194</v>
      </c>
      <c r="H423" s="346"/>
      <c r="I423" s="346"/>
      <c r="J423" s="347"/>
      <c r="K423" s="348">
        <v>0</v>
      </c>
      <c r="L423" s="310">
        <f>SUM(L415:L422)/2</f>
        <v>7100</v>
      </c>
    </row>
    <row r="424" spans="5:13" ht="15" customHeight="1" thickBot="1">
      <c r="E424" s="297" t="s">
        <v>280</v>
      </c>
      <c r="F424" s="331" t="s">
        <v>195</v>
      </c>
      <c r="G424" s="332" t="s">
        <v>196</v>
      </c>
      <c r="H424" s="333"/>
      <c r="I424" s="333"/>
      <c r="J424" s="350">
        <v>0.1</v>
      </c>
      <c r="K424" s="335"/>
      <c r="L424" s="330">
        <f>J424*L423</f>
        <v>710</v>
      </c>
    </row>
    <row r="425" spans="5:13" ht="15" customHeight="1" thickBot="1">
      <c r="E425" s="297" t="s">
        <v>280</v>
      </c>
      <c r="F425" s="340" t="s">
        <v>197</v>
      </c>
      <c r="G425" s="341" t="s">
        <v>198</v>
      </c>
      <c r="H425" s="318"/>
      <c r="I425" s="318"/>
      <c r="J425" s="342"/>
      <c r="K425" s="320">
        <v>0</v>
      </c>
      <c r="L425" s="321">
        <f>ROUNDDOWN(L423+L424,0)</f>
        <v>7810</v>
      </c>
    </row>
    <row r="426" spans="5:13" ht="15" customHeight="1">
      <c r="F426" s="298"/>
      <c r="G426" s="298"/>
      <c r="J426" s="343"/>
    </row>
    <row r="427" spans="5:13" ht="15" customHeight="1" thickBot="1">
      <c r="E427" s="297" t="s">
        <v>282</v>
      </c>
      <c r="F427" s="298" t="s">
        <v>283</v>
      </c>
      <c r="H427" s="359"/>
      <c r="J427" s="343"/>
      <c r="M427" s="299">
        <f>L439</f>
        <v>47245</v>
      </c>
    </row>
    <row r="428" spans="5:13" ht="15" customHeight="1" thickBot="1">
      <c r="E428" s="297" t="s">
        <v>282</v>
      </c>
      <c r="F428" s="340" t="s">
        <v>136</v>
      </c>
      <c r="G428" s="341" t="s">
        <v>162</v>
      </c>
      <c r="H428" s="352" t="s">
        <v>163</v>
      </c>
      <c r="I428" s="352" t="s">
        <v>138</v>
      </c>
      <c r="J428" s="353" t="s">
        <v>164</v>
      </c>
      <c r="K428" s="341" t="s">
        <v>165</v>
      </c>
      <c r="L428" s="354" t="s">
        <v>166</v>
      </c>
    </row>
    <row r="429" spans="5:13" ht="15" customHeight="1">
      <c r="E429" s="297" t="s">
        <v>282</v>
      </c>
      <c r="F429" s="300" t="s">
        <v>167</v>
      </c>
      <c r="G429" s="301" t="s">
        <v>168</v>
      </c>
      <c r="H429" s="302"/>
      <c r="I429" s="302"/>
      <c r="J429" s="351"/>
      <c r="K429" s="328">
        <v>0</v>
      </c>
      <c r="L429" s="310">
        <f>J429*K429</f>
        <v>0</v>
      </c>
    </row>
    <row r="430" spans="5:13" ht="15" customHeight="1">
      <c r="E430" s="297" t="s">
        <v>282</v>
      </c>
      <c r="F430" s="306"/>
      <c r="G430" s="301" t="s">
        <v>169</v>
      </c>
      <c r="H430" s="307" t="s">
        <v>170</v>
      </c>
      <c r="I430" s="307" t="s">
        <v>171</v>
      </c>
      <c r="J430" s="308">
        <v>0.33</v>
      </c>
      <c r="K430" s="309">
        <f>VLOOKUP(G430,Upah,8,FALSE)</f>
        <v>125000</v>
      </c>
      <c r="L430" s="310">
        <f>J430*K430</f>
        <v>41250</v>
      </c>
    </row>
    <row r="431" spans="5:13" ht="15" customHeight="1" thickBot="1">
      <c r="E431" s="297" t="s">
        <v>282</v>
      </c>
      <c r="F431" s="311"/>
      <c r="G431" s="312" t="s">
        <v>176</v>
      </c>
      <c r="H431" s="313" t="s">
        <v>177</v>
      </c>
      <c r="I431" s="313" t="s">
        <v>171</v>
      </c>
      <c r="J431" s="314">
        <v>0.01</v>
      </c>
      <c r="K431" s="309">
        <f>VLOOKUP(G431,Upah,8,FALSE)</f>
        <v>170000</v>
      </c>
      <c r="L431" s="310">
        <f>J431*K431</f>
        <v>1700</v>
      </c>
    </row>
    <row r="432" spans="5:13" ht="15" customHeight="1" thickBot="1">
      <c r="E432" s="297" t="s">
        <v>282</v>
      </c>
      <c r="F432" s="316"/>
      <c r="G432" s="317"/>
      <c r="H432" s="318"/>
      <c r="I432" s="318"/>
      <c r="J432" s="319" t="s">
        <v>178</v>
      </c>
      <c r="K432" s="320"/>
      <c r="L432" s="321">
        <f>SUM(L429:L431)</f>
        <v>42950</v>
      </c>
    </row>
    <row r="433" spans="5:13" ht="15" customHeight="1" thickBot="1">
      <c r="E433" s="297" t="s">
        <v>282</v>
      </c>
      <c r="F433" s="331" t="s">
        <v>179</v>
      </c>
      <c r="G433" s="332" t="s">
        <v>180</v>
      </c>
      <c r="H433" s="333"/>
      <c r="I433" s="333"/>
      <c r="J433" s="334"/>
      <c r="K433" s="328">
        <v>0</v>
      </c>
      <c r="L433" s="310">
        <f>J433*K433</f>
        <v>0</v>
      </c>
    </row>
    <row r="434" spans="5:13" ht="15" customHeight="1" thickBot="1">
      <c r="E434" s="297" t="s">
        <v>282</v>
      </c>
      <c r="F434" s="316"/>
      <c r="G434" s="317"/>
      <c r="H434" s="318"/>
      <c r="I434" s="318"/>
      <c r="J434" s="319" t="s">
        <v>189</v>
      </c>
      <c r="K434" s="320"/>
      <c r="L434" s="321">
        <f>SUM(L433)</f>
        <v>0</v>
      </c>
    </row>
    <row r="435" spans="5:13" ht="15" customHeight="1" thickBot="1">
      <c r="E435" s="297" t="s">
        <v>282</v>
      </c>
      <c r="F435" s="331" t="s">
        <v>190</v>
      </c>
      <c r="G435" s="332" t="s">
        <v>191</v>
      </c>
      <c r="H435" s="333"/>
      <c r="I435" s="333"/>
      <c r="J435" s="334"/>
      <c r="K435" s="328">
        <v>0</v>
      </c>
      <c r="L435" s="310">
        <f>J435*K435</f>
        <v>0</v>
      </c>
    </row>
    <row r="436" spans="5:13" ht="15" customHeight="1" thickBot="1">
      <c r="E436" s="297" t="s">
        <v>282</v>
      </c>
      <c r="F436" s="316"/>
      <c r="G436" s="317"/>
      <c r="H436" s="318"/>
      <c r="I436" s="318"/>
      <c r="J436" s="319" t="s">
        <v>192</v>
      </c>
      <c r="K436" s="320"/>
      <c r="L436" s="321">
        <f>L435</f>
        <v>0</v>
      </c>
    </row>
    <row r="437" spans="5:13" ht="15" customHeight="1">
      <c r="E437" s="297" t="s">
        <v>282</v>
      </c>
      <c r="F437" s="344" t="s">
        <v>193</v>
      </c>
      <c r="G437" s="345" t="s">
        <v>194</v>
      </c>
      <c r="H437" s="346"/>
      <c r="I437" s="346"/>
      <c r="J437" s="347"/>
      <c r="K437" s="348">
        <v>0</v>
      </c>
      <c r="L437" s="310">
        <f>SUM(L429:L436)/2</f>
        <v>42950</v>
      </c>
    </row>
    <row r="438" spans="5:13" ht="15" customHeight="1" thickBot="1">
      <c r="E438" s="297" t="s">
        <v>282</v>
      </c>
      <c r="F438" s="331" t="s">
        <v>195</v>
      </c>
      <c r="G438" s="332" t="s">
        <v>196</v>
      </c>
      <c r="H438" s="333"/>
      <c r="I438" s="333"/>
      <c r="J438" s="350">
        <v>0.1</v>
      </c>
      <c r="K438" s="335"/>
      <c r="L438" s="330">
        <f>J438*L437</f>
        <v>4295</v>
      </c>
    </row>
    <row r="439" spans="5:13" ht="15" customHeight="1" thickBot="1">
      <c r="E439" s="297" t="s">
        <v>282</v>
      </c>
      <c r="F439" s="340" t="s">
        <v>197</v>
      </c>
      <c r="G439" s="341" t="s">
        <v>198</v>
      </c>
      <c r="H439" s="318"/>
      <c r="I439" s="318"/>
      <c r="J439" s="342"/>
      <c r="K439" s="320">
        <v>0</v>
      </c>
      <c r="L439" s="321">
        <f>ROUNDDOWN(L437+L438,0)</f>
        <v>47245</v>
      </c>
    </row>
    <row r="440" spans="5:13" ht="15" customHeight="1">
      <c r="F440" s="298"/>
      <c r="G440" s="298"/>
      <c r="J440" s="343"/>
    </row>
    <row r="441" spans="5:13" ht="15" customHeight="1">
      <c r="E441" s="297" t="s">
        <v>284</v>
      </c>
      <c r="F441" s="298" t="s">
        <v>285</v>
      </c>
      <c r="J441" s="343"/>
      <c r="M441" s="299">
        <f>L454</f>
        <v>39050</v>
      </c>
    </row>
    <row r="442" spans="5:13" ht="15" customHeight="1" thickBot="1">
      <c r="E442" s="297" t="s">
        <v>284</v>
      </c>
      <c r="F442" s="298" t="s">
        <v>286</v>
      </c>
      <c r="J442" s="343"/>
    </row>
    <row r="443" spans="5:13" ht="15" customHeight="1" thickBot="1">
      <c r="E443" s="297" t="s">
        <v>284</v>
      </c>
      <c r="F443" s="340" t="s">
        <v>136</v>
      </c>
      <c r="G443" s="341" t="s">
        <v>162</v>
      </c>
      <c r="H443" s="352" t="s">
        <v>163</v>
      </c>
      <c r="I443" s="352" t="s">
        <v>138</v>
      </c>
      <c r="J443" s="353" t="s">
        <v>164</v>
      </c>
      <c r="K443" s="341" t="s">
        <v>165</v>
      </c>
      <c r="L443" s="354" t="s">
        <v>166</v>
      </c>
    </row>
    <row r="444" spans="5:13" ht="15" customHeight="1">
      <c r="E444" s="297" t="s">
        <v>284</v>
      </c>
      <c r="F444" s="300" t="s">
        <v>167</v>
      </c>
      <c r="G444" s="301" t="s">
        <v>168</v>
      </c>
      <c r="H444" s="302"/>
      <c r="I444" s="302"/>
      <c r="J444" s="351"/>
      <c r="K444" s="328">
        <v>0</v>
      </c>
      <c r="L444" s="310">
        <f>J444*K444</f>
        <v>0</v>
      </c>
    </row>
    <row r="445" spans="5:13" ht="15" customHeight="1">
      <c r="E445" s="297" t="s">
        <v>284</v>
      </c>
      <c r="F445" s="306"/>
      <c r="G445" s="301" t="s">
        <v>169</v>
      </c>
      <c r="H445" s="307" t="s">
        <v>170</v>
      </c>
      <c r="I445" s="307" t="s">
        <v>171</v>
      </c>
      <c r="J445" s="308">
        <v>0.25</v>
      </c>
      <c r="K445" s="309">
        <f>VLOOKUP(G445,Upah,8,FALSE)</f>
        <v>125000</v>
      </c>
      <c r="L445" s="310">
        <f>J445*K445</f>
        <v>31250</v>
      </c>
    </row>
    <row r="446" spans="5:13" ht="15" customHeight="1" thickBot="1">
      <c r="E446" s="297" t="s">
        <v>284</v>
      </c>
      <c r="F446" s="311"/>
      <c r="G446" s="312" t="s">
        <v>176</v>
      </c>
      <c r="H446" s="313" t="s">
        <v>177</v>
      </c>
      <c r="I446" s="313" t="s">
        <v>171</v>
      </c>
      <c r="J446" s="314">
        <v>2.5000000000000001E-2</v>
      </c>
      <c r="K446" s="309">
        <f>VLOOKUP(G446,Upah,8,FALSE)</f>
        <v>170000</v>
      </c>
      <c r="L446" s="310">
        <f>J446*K446</f>
        <v>4250</v>
      </c>
    </row>
    <row r="447" spans="5:13" ht="15" customHeight="1" thickBot="1">
      <c r="E447" s="297" t="s">
        <v>284</v>
      </c>
      <c r="F447" s="316"/>
      <c r="G447" s="317"/>
      <c r="H447" s="318"/>
      <c r="I447" s="318"/>
      <c r="J447" s="319" t="s">
        <v>178</v>
      </c>
      <c r="K447" s="320"/>
      <c r="L447" s="321">
        <f>SUM(L444:L446)</f>
        <v>35500</v>
      </c>
    </row>
    <row r="448" spans="5:13" ht="15" customHeight="1" thickBot="1">
      <c r="E448" s="297" t="s">
        <v>284</v>
      </c>
      <c r="F448" s="331" t="s">
        <v>179</v>
      </c>
      <c r="G448" s="332" t="s">
        <v>180</v>
      </c>
      <c r="H448" s="333"/>
      <c r="I448" s="333"/>
      <c r="J448" s="334"/>
      <c r="K448" s="328">
        <v>0</v>
      </c>
      <c r="L448" s="310">
        <f>J448*K448</f>
        <v>0</v>
      </c>
    </row>
    <row r="449" spans="5:13" ht="15" customHeight="1" thickBot="1">
      <c r="E449" s="297" t="s">
        <v>284</v>
      </c>
      <c r="F449" s="316"/>
      <c r="G449" s="317"/>
      <c r="H449" s="318"/>
      <c r="I449" s="318"/>
      <c r="J449" s="319" t="s">
        <v>189</v>
      </c>
      <c r="K449" s="320"/>
      <c r="L449" s="321">
        <f>SUM(L448)</f>
        <v>0</v>
      </c>
    </row>
    <row r="450" spans="5:13" ht="15" customHeight="1" thickBot="1">
      <c r="E450" s="297" t="s">
        <v>284</v>
      </c>
      <c r="F450" s="331" t="s">
        <v>190</v>
      </c>
      <c r="G450" s="332" t="s">
        <v>191</v>
      </c>
      <c r="H450" s="333"/>
      <c r="I450" s="333"/>
      <c r="J450" s="334"/>
      <c r="K450" s="328">
        <v>0</v>
      </c>
      <c r="L450" s="310">
        <f>J450*K450</f>
        <v>0</v>
      </c>
    </row>
    <row r="451" spans="5:13" ht="15" customHeight="1" thickBot="1">
      <c r="E451" s="297" t="s">
        <v>284</v>
      </c>
      <c r="F451" s="316"/>
      <c r="G451" s="317"/>
      <c r="H451" s="318"/>
      <c r="I451" s="318"/>
      <c r="J451" s="319" t="s">
        <v>192</v>
      </c>
      <c r="K451" s="320"/>
      <c r="L451" s="321">
        <f>L450</f>
        <v>0</v>
      </c>
    </row>
    <row r="452" spans="5:13" ht="15" customHeight="1">
      <c r="E452" s="297" t="s">
        <v>284</v>
      </c>
      <c r="F452" s="344" t="s">
        <v>193</v>
      </c>
      <c r="G452" s="345" t="s">
        <v>194</v>
      </c>
      <c r="H452" s="346"/>
      <c r="I452" s="346"/>
      <c r="J452" s="347"/>
      <c r="K452" s="348">
        <v>0</v>
      </c>
      <c r="L452" s="310">
        <f>SUM(L444:L451)/2</f>
        <v>35500</v>
      </c>
    </row>
    <row r="453" spans="5:13" ht="15" customHeight="1" thickBot="1">
      <c r="E453" s="297" t="s">
        <v>284</v>
      </c>
      <c r="F453" s="331" t="s">
        <v>195</v>
      </c>
      <c r="G453" s="332" t="s">
        <v>196</v>
      </c>
      <c r="H453" s="333"/>
      <c r="I453" s="333"/>
      <c r="J453" s="350">
        <v>0.1</v>
      </c>
      <c r="K453" s="335"/>
      <c r="L453" s="330">
        <f>J453*L452</f>
        <v>3550</v>
      </c>
    </row>
    <row r="454" spans="5:13" ht="15" customHeight="1" thickBot="1">
      <c r="E454" s="297" t="s">
        <v>284</v>
      </c>
      <c r="F454" s="340" t="s">
        <v>197</v>
      </c>
      <c r="G454" s="341" t="s">
        <v>198</v>
      </c>
      <c r="H454" s="318"/>
      <c r="I454" s="318"/>
      <c r="J454" s="342"/>
      <c r="K454" s="320">
        <v>0</v>
      </c>
      <c r="L454" s="321">
        <f>ROUNDDOWN(L452+L453,0)</f>
        <v>39050</v>
      </c>
    </row>
    <row r="455" spans="5:13" ht="15" customHeight="1">
      <c r="F455" s="298"/>
      <c r="G455" s="298"/>
      <c r="J455" s="343"/>
    </row>
    <row r="456" spans="5:13" ht="15" customHeight="1" thickBot="1">
      <c r="E456" s="297" t="s">
        <v>287</v>
      </c>
      <c r="F456" s="295" t="s">
        <v>288</v>
      </c>
      <c r="J456" s="343"/>
      <c r="M456" s="299">
        <f>L468</f>
        <v>78100</v>
      </c>
    </row>
    <row r="457" spans="5:13" ht="15" customHeight="1" thickBot="1">
      <c r="E457" s="297" t="s">
        <v>287</v>
      </c>
      <c r="F457" s="340" t="s">
        <v>136</v>
      </c>
      <c r="G457" s="341" t="s">
        <v>162</v>
      </c>
      <c r="H457" s="352" t="s">
        <v>163</v>
      </c>
      <c r="I457" s="352" t="s">
        <v>138</v>
      </c>
      <c r="J457" s="353" t="s">
        <v>164</v>
      </c>
      <c r="K457" s="341" t="s">
        <v>165</v>
      </c>
      <c r="L457" s="354" t="s">
        <v>166</v>
      </c>
    </row>
    <row r="458" spans="5:13" ht="15" customHeight="1">
      <c r="E458" s="297" t="s">
        <v>287</v>
      </c>
      <c r="F458" s="300" t="s">
        <v>167</v>
      </c>
      <c r="G458" s="301" t="s">
        <v>168</v>
      </c>
      <c r="H458" s="302"/>
      <c r="I458" s="302"/>
      <c r="J458" s="351"/>
      <c r="K458" s="328">
        <v>0</v>
      </c>
      <c r="L458" s="310">
        <f>J458*K458</f>
        <v>0</v>
      </c>
    </row>
    <row r="459" spans="5:13" ht="15" customHeight="1">
      <c r="E459" s="297" t="s">
        <v>287</v>
      </c>
      <c r="F459" s="306"/>
      <c r="G459" s="301" t="s">
        <v>169</v>
      </c>
      <c r="H459" s="307" t="s">
        <v>170</v>
      </c>
      <c r="I459" s="307" t="s">
        <v>171</v>
      </c>
      <c r="J459" s="308">
        <v>0.5</v>
      </c>
      <c r="K459" s="309">
        <f>VLOOKUP(G459,Upah,8,FALSE)</f>
        <v>125000</v>
      </c>
      <c r="L459" s="310">
        <f>J459*K459</f>
        <v>62500</v>
      </c>
    </row>
    <row r="460" spans="5:13" ht="15" customHeight="1" thickBot="1">
      <c r="E460" s="297" t="s">
        <v>287</v>
      </c>
      <c r="F460" s="311"/>
      <c r="G460" s="312" t="s">
        <v>176</v>
      </c>
      <c r="H460" s="313" t="s">
        <v>177</v>
      </c>
      <c r="I460" s="313" t="s">
        <v>171</v>
      </c>
      <c r="J460" s="314">
        <v>0.05</v>
      </c>
      <c r="K460" s="309">
        <f>VLOOKUP(G460,Upah,8,FALSE)</f>
        <v>170000</v>
      </c>
      <c r="L460" s="310">
        <f>J460*K460</f>
        <v>8500</v>
      </c>
    </row>
    <row r="461" spans="5:13" ht="15" customHeight="1" thickBot="1">
      <c r="E461" s="297" t="s">
        <v>287</v>
      </c>
      <c r="F461" s="316"/>
      <c r="G461" s="317"/>
      <c r="H461" s="318"/>
      <c r="I461" s="318"/>
      <c r="J461" s="319" t="s">
        <v>178</v>
      </c>
      <c r="K461" s="320"/>
      <c r="L461" s="321">
        <f>SUM(L458:L460)</f>
        <v>71000</v>
      </c>
    </row>
    <row r="462" spans="5:13" ht="15" customHeight="1" thickBot="1">
      <c r="E462" s="297" t="s">
        <v>287</v>
      </c>
      <c r="F462" s="331" t="s">
        <v>179</v>
      </c>
      <c r="G462" s="332" t="s">
        <v>180</v>
      </c>
      <c r="H462" s="333"/>
      <c r="I462" s="333"/>
      <c r="J462" s="334"/>
      <c r="K462" s="328">
        <v>0</v>
      </c>
      <c r="L462" s="310">
        <f>J462*K462</f>
        <v>0</v>
      </c>
    </row>
    <row r="463" spans="5:13" ht="15" customHeight="1" thickBot="1">
      <c r="E463" s="297" t="s">
        <v>287</v>
      </c>
      <c r="F463" s="316"/>
      <c r="G463" s="317"/>
      <c r="H463" s="318"/>
      <c r="I463" s="318"/>
      <c r="J463" s="319" t="s">
        <v>189</v>
      </c>
      <c r="K463" s="320"/>
      <c r="L463" s="321">
        <f>SUM(L462)</f>
        <v>0</v>
      </c>
    </row>
    <row r="464" spans="5:13" ht="15" customHeight="1" thickBot="1">
      <c r="E464" s="297" t="s">
        <v>287</v>
      </c>
      <c r="F464" s="331" t="s">
        <v>190</v>
      </c>
      <c r="G464" s="332" t="s">
        <v>191</v>
      </c>
      <c r="H464" s="333"/>
      <c r="I464" s="333"/>
      <c r="J464" s="334"/>
      <c r="K464" s="328">
        <v>0</v>
      </c>
      <c r="L464" s="310">
        <f>J464*K464</f>
        <v>0</v>
      </c>
    </row>
    <row r="465" spans="5:13" ht="15" customHeight="1" thickBot="1">
      <c r="E465" s="297" t="s">
        <v>287</v>
      </c>
      <c r="F465" s="316"/>
      <c r="G465" s="317"/>
      <c r="H465" s="318"/>
      <c r="I465" s="318"/>
      <c r="J465" s="319" t="s">
        <v>192</v>
      </c>
      <c r="K465" s="320"/>
      <c r="L465" s="321">
        <f>L464</f>
        <v>0</v>
      </c>
    </row>
    <row r="466" spans="5:13" ht="15" customHeight="1">
      <c r="E466" s="297" t="s">
        <v>287</v>
      </c>
      <c r="F466" s="344" t="s">
        <v>193</v>
      </c>
      <c r="G466" s="345" t="s">
        <v>194</v>
      </c>
      <c r="H466" s="346"/>
      <c r="I466" s="346"/>
      <c r="J466" s="347"/>
      <c r="K466" s="348">
        <v>0</v>
      </c>
      <c r="L466" s="310">
        <f>SUM(L458:L465)/2</f>
        <v>71000</v>
      </c>
    </row>
    <row r="467" spans="5:13" ht="15" customHeight="1" thickBot="1">
      <c r="E467" s="297" t="s">
        <v>287</v>
      </c>
      <c r="F467" s="331" t="s">
        <v>195</v>
      </c>
      <c r="G467" s="332" t="s">
        <v>196</v>
      </c>
      <c r="H467" s="333"/>
      <c r="I467" s="333"/>
      <c r="J467" s="350">
        <v>0.1</v>
      </c>
      <c r="K467" s="335"/>
      <c r="L467" s="330">
        <f>J467*L466</f>
        <v>7100</v>
      </c>
    </row>
    <row r="468" spans="5:13" ht="15" customHeight="1" thickBot="1">
      <c r="E468" s="297" t="s">
        <v>287</v>
      </c>
      <c r="F468" s="340" t="s">
        <v>197</v>
      </c>
      <c r="G468" s="341" t="s">
        <v>198</v>
      </c>
      <c r="H468" s="318"/>
      <c r="I468" s="318"/>
      <c r="J468" s="342"/>
      <c r="K468" s="320">
        <v>0</v>
      </c>
      <c r="L468" s="321">
        <f>ROUNDDOWN(L466+L467,0)</f>
        <v>78100</v>
      </c>
    </row>
    <row r="469" spans="5:13" ht="15" customHeight="1">
      <c r="F469" s="298"/>
      <c r="G469" s="298"/>
      <c r="J469" s="343"/>
    </row>
    <row r="470" spans="5:13" ht="15" customHeight="1" thickBot="1">
      <c r="E470" s="297" t="s">
        <v>289</v>
      </c>
      <c r="F470" s="295" t="s">
        <v>290</v>
      </c>
      <c r="J470" s="343"/>
      <c r="M470" s="299">
        <f>L483</f>
        <v>440426</v>
      </c>
    </row>
    <row r="471" spans="5:13" ht="15" customHeight="1" thickBot="1">
      <c r="E471" s="297" t="s">
        <v>289</v>
      </c>
      <c r="F471" s="340" t="s">
        <v>136</v>
      </c>
      <c r="G471" s="341" t="s">
        <v>162</v>
      </c>
      <c r="H471" s="352" t="s">
        <v>163</v>
      </c>
      <c r="I471" s="352" t="s">
        <v>138</v>
      </c>
      <c r="J471" s="353" t="s">
        <v>164</v>
      </c>
      <c r="K471" s="341" t="s">
        <v>165</v>
      </c>
      <c r="L471" s="354" t="s">
        <v>166</v>
      </c>
    </row>
    <row r="472" spans="5:13" ht="15" customHeight="1">
      <c r="E472" s="297" t="s">
        <v>289</v>
      </c>
      <c r="F472" s="300" t="s">
        <v>167</v>
      </c>
      <c r="G472" s="301" t="s">
        <v>168</v>
      </c>
      <c r="H472" s="302"/>
      <c r="I472" s="302"/>
      <c r="J472" s="351"/>
      <c r="K472" s="328">
        <v>0</v>
      </c>
      <c r="L472" s="310">
        <f>J472*K472</f>
        <v>0</v>
      </c>
    </row>
    <row r="473" spans="5:13" ht="15" customHeight="1">
      <c r="E473" s="297" t="s">
        <v>289</v>
      </c>
      <c r="F473" s="306"/>
      <c r="G473" s="301" t="s">
        <v>169</v>
      </c>
      <c r="H473" s="307" t="s">
        <v>170</v>
      </c>
      <c r="I473" s="307" t="s">
        <v>171</v>
      </c>
      <c r="J473" s="308">
        <v>0.3</v>
      </c>
      <c r="K473" s="309">
        <f>VLOOKUP(G473,Upah,8,FALSE)</f>
        <v>125000</v>
      </c>
      <c r="L473" s="310">
        <f>J473*K473</f>
        <v>37500</v>
      </c>
    </row>
    <row r="474" spans="5:13" ht="15" customHeight="1" thickBot="1">
      <c r="E474" s="297" t="s">
        <v>289</v>
      </c>
      <c r="F474" s="311"/>
      <c r="G474" s="312" t="s">
        <v>176</v>
      </c>
      <c r="H474" s="313" t="s">
        <v>177</v>
      </c>
      <c r="I474" s="313" t="s">
        <v>171</v>
      </c>
      <c r="J474" s="314">
        <v>0.01</v>
      </c>
      <c r="K474" s="309">
        <f>VLOOKUP(G474,Upah,8,FALSE)</f>
        <v>170000</v>
      </c>
      <c r="L474" s="310">
        <f>J474*K474</f>
        <v>1700</v>
      </c>
    </row>
    <row r="475" spans="5:13" ht="15" customHeight="1" thickBot="1">
      <c r="E475" s="297" t="s">
        <v>289</v>
      </c>
      <c r="F475" s="316"/>
      <c r="G475" s="317"/>
      <c r="H475" s="318"/>
      <c r="I475" s="318"/>
      <c r="J475" s="319" t="s">
        <v>178</v>
      </c>
      <c r="K475" s="320"/>
      <c r="L475" s="321">
        <f>SUM(L472:L474)</f>
        <v>39200</v>
      </c>
    </row>
    <row r="476" spans="5:13" ht="15" customHeight="1">
      <c r="E476" s="297" t="s">
        <v>289</v>
      </c>
      <c r="F476" s="322" t="s">
        <v>179</v>
      </c>
      <c r="G476" s="323" t="s">
        <v>180</v>
      </c>
      <c r="H476" s="324"/>
      <c r="I476" s="324"/>
      <c r="J476" s="325"/>
      <c r="K476" s="328">
        <v>0</v>
      </c>
      <c r="L476" s="310">
        <f>J476*K476</f>
        <v>0</v>
      </c>
    </row>
    <row r="477" spans="5:13" ht="15" customHeight="1" thickBot="1">
      <c r="E477" s="297" t="s">
        <v>289</v>
      </c>
      <c r="F477" s="311"/>
      <c r="G477" s="312" t="s">
        <v>291</v>
      </c>
      <c r="H477" s="329"/>
      <c r="I477" s="329" t="s">
        <v>292</v>
      </c>
      <c r="J477" s="314">
        <v>1.2</v>
      </c>
      <c r="K477" s="328">
        <f>VLOOKUP(G477,Bahan,6,FALSE)</f>
        <v>300990</v>
      </c>
      <c r="L477" s="310">
        <f>J477*K477</f>
        <v>361188</v>
      </c>
    </row>
    <row r="478" spans="5:13" ht="15" customHeight="1" thickBot="1">
      <c r="E478" s="297" t="s">
        <v>289</v>
      </c>
      <c r="F478" s="316"/>
      <c r="G478" s="317"/>
      <c r="H478" s="318"/>
      <c r="I478" s="318"/>
      <c r="J478" s="319" t="s">
        <v>189</v>
      </c>
      <c r="K478" s="320"/>
      <c r="L478" s="321">
        <f>SUM(L477)</f>
        <v>361188</v>
      </c>
    </row>
    <row r="479" spans="5:13" ht="15" customHeight="1" thickBot="1">
      <c r="E479" s="297" t="s">
        <v>289</v>
      </c>
      <c r="F479" s="331" t="s">
        <v>190</v>
      </c>
      <c r="G479" s="332" t="s">
        <v>191</v>
      </c>
      <c r="H479" s="333"/>
      <c r="I479" s="333"/>
      <c r="J479" s="334"/>
      <c r="K479" s="328">
        <v>0</v>
      </c>
      <c r="L479" s="310">
        <f>J479*K479</f>
        <v>0</v>
      </c>
    </row>
    <row r="480" spans="5:13" ht="15" customHeight="1" thickBot="1">
      <c r="E480" s="297" t="s">
        <v>289</v>
      </c>
      <c r="F480" s="316"/>
      <c r="G480" s="317"/>
      <c r="H480" s="318"/>
      <c r="I480" s="318"/>
      <c r="J480" s="319" t="s">
        <v>192</v>
      </c>
      <c r="K480" s="320"/>
      <c r="L480" s="321">
        <f>L479</f>
        <v>0</v>
      </c>
    </row>
    <row r="481" spans="5:13" ht="15" customHeight="1">
      <c r="E481" s="297" t="s">
        <v>289</v>
      </c>
      <c r="F481" s="344" t="s">
        <v>193</v>
      </c>
      <c r="G481" s="345" t="s">
        <v>194</v>
      </c>
      <c r="H481" s="346"/>
      <c r="I481" s="346"/>
      <c r="J481" s="347"/>
      <c r="K481" s="348">
        <v>0</v>
      </c>
      <c r="L481" s="310">
        <f>SUM(L473:L480)/2</f>
        <v>400388</v>
      </c>
    </row>
    <row r="482" spans="5:13" ht="15" customHeight="1" thickBot="1">
      <c r="E482" s="297" t="s">
        <v>289</v>
      </c>
      <c r="F482" s="331" t="s">
        <v>195</v>
      </c>
      <c r="G482" s="332" t="s">
        <v>196</v>
      </c>
      <c r="H482" s="333"/>
      <c r="I482" s="333"/>
      <c r="J482" s="350">
        <v>0.1</v>
      </c>
      <c r="K482" s="335"/>
      <c r="L482" s="330">
        <f>J482*L481</f>
        <v>40038.800000000003</v>
      </c>
    </row>
    <row r="483" spans="5:13" ht="15" customHeight="1" thickBot="1">
      <c r="E483" s="297" t="s">
        <v>289</v>
      </c>
      <c r="F483" s="340" t="s">
        <v>197</v>
      </c>
      <c r="G483" s="341" t="s">
        <v>198</v>
      </c>
      <c r="H483" s="318"/>
      <c r="I483" s="318"/>
      <c r="J483" s="342"/>
      <c r="K483" s="320">
        <v>0</v>
      </c>
      <c r="L483" s="321">
        <f>ROUNDDOWN(L481+L482,0)</f>
        <v>440426</v>
      </c>
    </row>
    <row r="484" spans="5:13" ht="15" customHeight="1">
      <c r="F484" s="298"/>
      <c r="G484" s="298"/>
      <c r="J484" s="343"/>
    </row>
    <row r="485" spans="5:13" ht="15" customHeight="1" thickBot="1">
      <c r="E485" s="297" t="s">
        <v>293</v>
      </c>
      <c r="F485" s="298" t="s">
        <v>294</v>
      </c>
      <c r="J485" s="343"/>
      <c r="M485" s="299">
        <f>L502</f>
        <v>418145</v>
      </c>
    </row>
    <row r="486" spans="5:13" ht="15" customHeight="1" thickBot="1">
      <c r="E486" s="297" t="s">
        <v>293</v>
      </c>
      <c r="F486" s="340" t="s">
        <v>136</v>
      </c>
      <c r="G486" s="341" t="s">
        <v>162</v>
      </c>
      <c r="H486" s="352" t="s">
        <v>163</v>
      </c>
      <c r="I486" s="352" t="s">
        <v>138</v>
      </c>
      <c r="J486" s="353" t="s">
        <v>164</v>
      </c>
      <c r="K486" s="341" t="s">
        <v>165</v>
      </c>
      <c r="L486" s="354" t="s">
        <v>166</v>
      </c>
    </row>
    <row r="487" spans="5:13" ht="15" customHeight="1">
      <c r="E487" s="297" t="s">
        <v>293</v>
      </c>
      <c r="F487" s="300" t="s">
        <v>167</v>
      </c>
      <c r="G487" s="301" t="s">
        <v>168</v>
      </c>
      <c r="H487" s="302"/>
      <c r="I487" s="302"/>
      <c r="J487" s="351"/>
      <c r="K487" s="328">
        <v>0</v>
      </c>
      <c r="L487" s="310">
        <f>J487*K487</f>
        <v>0</v>
      </c>
    </row>
    <row r="488" spans="5:13" ht="15" customHeight="1">
      <c r="E488" s="297" t="s">
        <v>293</v>
      </c>
      <c r="F488" s="306"/>
      <c r="G488" s="301" t="s">
        <v>169</v>
      </c>
      <c r="H488" s="307" t="s">
        <v>170</v>
      </c>
      <c r="I488" s="307" t="s">
        <v>171</v>
      </c>
      <c r="J488" s="308">
        <v>0.8</v>
      </c>
      <c r="K488" s="309">
        <f>VLOOKUP(G488,Upah,8,FALSE)</f>
        <v>125000</v>
      </c>
      <c r="L488" s="310">
        <f>J488*K488</f>
        <v>100000</v>
      </c>
    </row>
    <row r="489" spans="5:13" ht="15" customHeight="1">
      <c r="E489" s="297" t="s">
        <v>293</v>
      </c>
      <c r="F489" s="306"/>
      <c r="G489" s="301" t="s">
        <v>258</v>
      </c>
      <c r="H489" s="307" t="s">
        <v>259</v>
      </c>
      <c r="I489" s="307" t="s">
        <v>171</v>
      </c>
      <c r="J489" s="308">
        <v>0.4</v>
      </c>
      <c r="K489" s="309">
        <f>VLOOKUP(G489,Upah,8,FALSE)</f>
        <v>150000</v>
      </c>
      <c r="L489" s="310">
        <f>J489*K489</f>
        <v>60000</v>
      </c>
    </row>
    <row r="490" spans="5:13" ht="15" customHeight="1">
      <c r="E490" s="297" t="s">
        <v>293</v>
      </c>
      <c r="F490" s="306"/>
      <c r="G490" s="301" t="s">
        <v>174</v>
      </c>
      <c r="H490" s="307" t="s">
        <v>175</v>
      </c>
      <c r="I490" s="307" t="s">
        <v>171</v>
      </c>
      <c r="J490" s="308">
        <v>0.04</v>
      </c>
      <c r="K490" s="309">
        <f>VLOOKUP(G490,Upah,8,FALSE)</f>
        <v>165000</v>
      </c>
      <c r="L490" s="310">
        <f>J490*K490</f>
        <v>6600</v>
      </c>
    </row>
    <row r="491" spans="5:13" ht="15" customHeight="1" thickBot="1">
      <c r="E491" s="297" t="s">
        <v>293</v>
      </c>
      <c r="F491" s="311"/>
      <c r="G491" s="312" t="s">
        <v>176</v>
      </c>
      <c r="H491" s="313" t="s">
        <v>177</v>
      </c>
      <c r="I491" s="313" t="s">
        <v>171</v>
      </c>
      <c r="J491" s="314">
        <v>0.08</v>
      </c>
      <c r="K491" s="309">
        <f>VLOOKUP(G491,Upah,8,FALSE)</f>
        <v>170000</v>
      </c>
      <c r="L491" s="310">
        <f>J491*K491</f>
        <v>13600</v>
      </c>
    </row>
    <row r="492" spans="5:13" ht="15" customHeight="1" thickBot="1">
      <c r="E492" s="297" t="s">
        <v>293</v>
      </c>
      <c r="F492" s="316"/>
      <c r="G492" s="317"/>
      <c r="H492" s="318"/>
      <c r="I492" s="318"/>
      <c r="J492" s="319" t="s">
        <v>178</v>
      </c>
      <c r="K492" s="320"/>
      <c r="L492" s="321">
        <f>SUM(L487:L491)</f>
        <v>180200</v>
      </c>
    </row>
    <row r="493" spans="5:13" ht="15" customHeight="1">
      <c r="E493" s="297" t="s">
        <v>293</v>
      </c>
      <c r="F493" s="322" t="s">
        <v>179</v>
      </c>
      <c r="G493" s="323" t="s">
        <v>180</v>
      </c>
      <c r="H493" s="324"/>
      <c r="I493" s="324"/>
      <c r="J493" s="325"/>
      <c r="K493" s="328">
        <v>0</v>
      </c>
      <c r="L493" s="310">
        <f>J493*K493</f>
        <v>0</v>
      </c>
    </row>
    <row r="494" spans="5:13" ht="15" customHeight="1">
      <c r="E494" s="297" t="s">
        <v>293</v>
      </c>
      <c r="F494" s="306"/>
      <c r="G494" s="301" t="s">
        <v>295</v>
      </c>
      <c r="H494" s="302"/>
      <c r="I494" s="307" t="s">
        <v>44</v>
      </c>
      <c r="J494" s="308">
        <v>0.13500000000000001</v>
      </c>
      <c r="K494" s="328">
        <f>VLOOKUP(G494,Bahan,6,FALSE)</f>
        <v>448950</v>
      </c>
      <c r="L494" s="310">
        <f>J494*K494</f>
        <v>60608.250000000007</v>
      </c>
    </row>
    <row r="495" spans="5:13" ht="15" customHeight="1">
      <c r="E495" s="297" t="s">
        <v>293</v>
      </c>
      <c r="F495" s="306"/>
      <c r="G495" s="301" t="s">
        <v>296</v>
      </c>
      <c r="H495" s="302"/>
      <c r="I495" s="307" t="s">
        <v>44</v>
      </c>
      <c r="J495" s="308">
        <v>0.4</v>
      </c>
      <c r="K495" s="328">
        <f>VLOOKUP(G495,Bahan,6,FALSE)</f>
        <v>253510</v>
      </c>
      <c r="L495" s="310">
        <f>J495*K495</f>
        <v>101404</v>
      </c>
    </row>
    <row r="496" spans="5:13" ht="15" customHeight="1" thickBot="1">
      <c r="E496" s="297" t="s">
        <v>293</v>
      </c>
      <c r="F496" s="311"/>
      <c r="G496" s="312" t="s">
        <v>297</v>
      </c>
      <c r="H496" s="329"/>
      <c r="I496" s="313" t="s">
        <v>44</v>
      </c>
      <c r="J496" s="314">
        <v>0.94799999999999995</v>
      </c>
      <c r="K496" s="328">
        <f>VLOOKUP(G496,Bahan,6,FALSE)</f>
        <v>40000</v>
      </c>
      <c r="L496" s="310">
        <f>J496*K496</f>
        <v>37920</v>
      </c>
    </row>
    <row r="497" spans="5:13" ht="15" customHeight="1" thickBot="1">
      <c r="E497" s="297" t="s">
        <v>293</v>
      </c>
      <c r="F497" s="316"/>
      <c r="G497" s="317"/>
      <c r="H497" s="318"/>
      <c r="I497" s="318"/>
      <c r="J497" s="319" t="s">
        <v>189</v>
      </c>
      <c r="K497" s="320"/>
      <c r="L497" s="321">
        <f>SUM(L494:L496)</f>
        <v>199932.25</v>
      </c>
    </row>
    <row r="498" spans="5:13" ht="15" customHeight="1" thickBot="1">
      <c r="E498" s="297" t="s">
        <v>293</v>
      </c>
      <c r="F498" s="331" t="s">
        <v>190</v>
      </c>
      <c r="G498" s="332" t="s">
        <v>191</v>
      </c>
      <c r="H498" s="333"/>
      <c r="I498" s="333"/>
      <c r="J498" s="334"/>
      <c r="K498" s="328">
        <v>0</v>
      </c>
      <c r="L498" s="310">
        <f>J498*K498</f>
        <v>0</v>
      </c>
    </row>
    <row r="499" spans="5:13" ht="15" customHeight="1" thickBot="1">
      <c r="E499" s="297" t="s">
        <v>293</v>
      </c>
      <c r="F499" s="316"/>
      <c r="G499" s="317"/>
      <c r="H499" s="318"/>
      <c r="I499" s="318"/>
      <c r="J499" s="319" t="s">
        <v>192</v>
      </c>
      <c r="K499" s="320"/>
      <c r="L499" s="321">
        <f>L498</f>
        <v>0</v>
      </c>
    </row>
    <row r="500" spans="5:13" ht="15" customHeight="1">
      <c r="E500" s="297" t="s">
        <v>293</v>
      </c>
      <c r="F500" s="344" t="s">
        <v>193</v>
      </c>
      <c r="G500" s="345" t="s">
        <v>194</v>
      </c>
      <c r="H500" s="346"/>
      <c r="I500" s="346"/>
      <c r="J500" s="347"/>
      <c r="K500" s="348">
        <v>0</v>
      </c>
      <c r="L500" s="310">
        <f>SUM(L487:L499)/2</f>
        <v>380132.25</v>
      </c>
    </row>
    <row r="501" spans="5:13" ht="15" customHeight="1" thickBot="1">
      <c r="E501" s="297" t="s">
        <v>293</v>
      </c>
      <c r="F501" s="331" t="s">
        <v>195</v>
      </c>
      <c r="G501" s="332" t="s">
        <v>196</v>
      </c>
      <c r="H501" s="333"/>
      <c r="I501" s="333"/>
      <c r="J501" s="350">
        <v>0.1</v>
      </c>
      <c r="K501" s="335"/>
      <c r="L501" s="330">
        <f>J501*L500</f>
        <v>38013.224999999999</v>
      </c>
    </row>
    <row r="502" spans="5:13" ht="15" customHeight="1" thickBot="1">
      <c r="E502" s="297" t="s">
        <v>293</v>
      </c>
      <c r="F502" s="340" t="s">
        <v>197</v>
      </c>
      <c r="G502" s="341" t="s">
        <v>198</v>
      </c>
      <c r="H502" s="318"/>
      <c r="I502" s="318"/>
      <c r="J502" s="342"/>
      <c r="K502" s="320">
        <v>0</v>
      </c>
      <c r="L502" s="321">
        <f>ROUNDDOWN(L500+L501,0)</f>
        <v>418145</v>
      </c>
    </row>
    <row r="503" spans="5:13" ht="15" customHeight="1">
      <c r="F503" s="298"/>
      <c r="G503" s="298"/>
      <c r="J503" s="343"/>
    </row>
    <row r="504" spans="5:13" ht="15" customHeight="1" thickBot="1">
      <c r="E504" s="297" t="s">
        <v>298</v>
      </c>
      <c r="F504" s="298" t="s">
        <v>299</v>
      </c>
      <c r="J504" s="343"/>
      <c r="M504" s="299">
        <f>L517</f>
        <v>1617330</v>
      </c>
    </row>
    <row r="505" spans="5:13" ht="15" customHeight="1" thickBot="1">
      <c r="E505" s="297" t="s">
        <v>298</v>
      </c>
      <c r="F505" s="340" t="s">
        <v>136</v>
      </c>
      <c r="G505" s="341" t="s">
        <v>162</v>
      </c>
      <c r="H505" s="352" t="s">
        <v>163</v>
      </c>
      <c r="I505" s="352" t="s">
        <v>138</v>
      </c>
      <c r="J505" s="353" t="s">
        <v>164</v>
      </c>
      <c r="K505" s="341" t="s">
        <v>165</v>
      </c>
      <c r="L505" s="354" t="s">
        <v>166</v>
      </c>
    </row>
    <row r="506" spans="5:13" ht="15" customHeight="1">
      <c r="E506" s="297" t="s">
        <v>298</v>
      </c>
      <c r="F506" s="300" t="s">
        <v>167</v>
      </c>
      <c r="G506" s="301" t="s">
        <v>168</v>
      </c>
      <c r="H506" s="302"/>
      <c r="I506" s="302"/>
      <c r="J506" s="351"/>
      <c r="K506" s="328">
        <v>0</v>
      </c>
      <c r="L506" s="310">
        <f>J506*K506</f>
        <v>0</v>
      </c>
    </row>
    <row r="507" spans="5:13" ht="15" customHeight="1">
      <c r="E507" s="297" t="s">
        <v>298</v>
      </c>
      <c r="F507" s="306"/>
      <c r="G507" s="301" t="s">
        <v>169</v>
      </c>
      <c r="H507" s="307" t="s">
        <v>170</v>
      </c>
      <c r="I507" s="307" t="s">
        <v>171</v>
      </c>
      <c r="J507" s="308">
        <v>0.15</v>
      </c>
      <c r="K507" s="309">
        <f>VLOOKUP(G507,Upah,8,FALSE)</f>
        <v>125000</v>
      </c>
      <c r="L507" s="310">
        <f>J507*K507</f>
        <v>18750</v>
      </c>
    </row>
    <row r="508" spans="5:13" ht="15" customHeight="1" thickBot="1">
      <c r="E508" s="297" t="s">
        <v>298</v>
      </c>
      <c r="F508" s="311"/>
      <c r="G508" s="312" t="s">
        <v>176</v>
      </c>
      <c r="H508" s="313" t="s">
        <v>177</v>
      </c>
      <c r="I508" s="313" t="s">
        <v>171</v>
      </c>
      <c r="J508" s="314">
        <v>1.4999999999999999E-2</v>
      </c>
      <c r="K508" s="309">
        <f>VLOOKUP(G508,Upah,8,FALSE)</f>
        <v>170000</v>
      </c>
      <c r="L508" s="310">
        <f>J508*K508</f>
        <v>2550</v>
      </c>
    </row>
    <row r="509" spans="5:13" ht="15" customHeight="1" thickBot="1">
      <c r="E509" s="297" t="s">
        <v>298</v>
      </c>
      <c r="F509" s="316"/>
      <c r="G509" s="317"/>
      <c r="H509" s="318"/>
      <c r="I509" s="318"/>
      <c r="J509" s="319" t="s">
        <v>178</v>
      </c>
      <c r="K509" s="320"/>
      <c r="L509" s="321">
        <f>SUM(L507:L508)</f>
        <v>21300</v>
      </c>
    </row>
    <row r="510" spans="5:13" ht="15" customHeight="1">
      <c r="E510" s="297" t="s">
        <v>298</v>
      </c>
      <c r="F510" s="322" t="s">
        <v>179</v>
      </c>
      <c r="G510" s="323" t="s">
        <v>180</v>
      </c>
      <c r="H510" s="324"/>
      <c r="I510" s="324"/>
      <c r="J510" s="325"/>
      <c r="K510" s="328">
        <v>0</v>
      </c>
      <c r="L510" s="310">
        <f>J510*K510</f>
        <v>0</v>
      </c>
    </row>
    <row r="511" spans="5:13" ht="15" customHeight="1" thickBot="1">
      <c r="E511" s="297" t="s">
        <v>298</v>
      </c>
      <c r="F511" s="311"/>
      <c r="G511" s="312" t="s">
        <v>300</v>
      </c>
      <c r="H511" s="329"/>
      <c r="I511" s="313" t="s">
        <v>44</v>
      </c>
      <c r="J511" s="314">
        <v>6</v>
      </c>
      <c r="K511" s="328">
        <f>VLOOKUP(G511,Bahan,6,FALSE)</f>
        <v>241500</v>
      </c>
      <c r="L511" s="310">
        <f>J511*K511</f>
        <v>1449000</v>
      </c>
    </row>
    <row r="512" spans="5:13" ht="15" customHeight="1" thickBot="1">
      <c r="E512" s="297" t="s">
        <v>298</v>
      </c>
      <c r="F512" s="316"/>
      <c r="G512" s="317"/>
      <c r="H512" s="318"/>
      <c r="I512" s="318"/>
      <c r="J512" s="319" t="s">
        <v>189</v>
      </c>
      <c r="K512" s="320"/>
      <c r="L512" s="321">
        <f>SUM(L511)</f>
        <v>1449000</v>
      </c>
    </row>
    <row r="513" spans="5:13" ht="15" customHeight="1" thickBot="1">
      <c r="E513" s="297" t="s">
        <v>298</v>
      </c>
      <c r="F513" s="331" t="s">
        <v>190</v>
      </c>
      <c r="G513" s="332" t="s">
        <v>191</v>
      </c>
      <c r="H513" s="333"/>
      <c r="I513" s="333"/>
      <c r="J513" s="334"/>
      <c r="K513" s="328">
        <v>0</v>
      </c>
      <c r="L513" s="310">
        <f>J513*K513</f>
        <v>0</v>
      </c>
    </row>
    <row r="514" spans="5:13" ht="15" customHeight="1" thickBot="1">
      <c r="E514" s="297" t="s">
        <v>298</v>
      </c>
      <c r="F514" s="316"/>
      <c r="G514" s="317"/>
      <c r="H514" s="318"/>
      <c r="I514" s="318"/>
      <c r="J514" s="319" t="s">
        <v>192</v>
      </c>
      <c r="K514" s="320"/>
      <c r="L514" s="321">
        <f>L513</f>
        <v>0</v>
      </c>
    </row>
    <row r="515" spans="5:13" ht="15" customHeight="1">
      <c r="E515" s="297" t="s">
        <v>298</v>
      </c>
      <c r="F515" s="344" t="s">
        <v>193</v>
      </c>
      <c r="G515" s="345" t="s">
        <v>194</v>
      </c>
      <c r="H515" s="346"/>
      <c r="I515" s="346"/>
      <c r="J515" s="347"/>
      <c r="K515" s="348">
        <v>0</v>
      </c>
      <c r="L515" s="310">
        <f>SUM(L507:L514)/2</f>
        <v>1470300</v>
      </c>
    </row>
    <row r="516" spans="5:13" ht="15" customHeight="1" thickBot="1">
      <c r="E516" s="297" t="s">
        <v>298</v>
      </c>
      <c r="F516" s="331" t="s">
        <v>195</v>
      </c>
      <c r="G516" s="332" t="s">
        <v>196</v>
      </c>
      <c r="H516" s="333"/>
      <c r="I516" s="333"/>
      <c r="J516" s="350">
        <v>0.1</v>
      </c>
      <c r="K516" s="335"/>
      <c r="L516" s="330">
        <f>J516*L515</f>
        <v>147030</v>
      </c>
    </row>
    <row r="517" spans="5:13" ht="15" customHeight="1" thickBot="1">
      <c r="E517" s="297" t="s">
        <v>298</v>
      </c>
      <c r="F517" s="340" t="s">
        <v>197</v>
      </c>
      <c r="G517" s="341" t="s">
        <v>198</v>
      </c>
      <c r="H517" s="318"/>
      <c r="I517" s="318"/>
      <c r="J517" s="342"/>
      <c r="K517" s="320">
        <v>0</v>
      </c>
      <c r="L517" s="321">
        <f>ROUNDDOWN(L515+L516,0)</f>
        <v>1617330</v>
      </c>
    </row>
    <row r="518" spans="5:13" ht="15" customHeight="1">
      <c r="F518" s="298"/>
      <c r="G518" s="298"/>
      <c r="J518" s="343"/>
    </row>
    <row r="519" spans="5:13" ht="15" customHeight="1" thickBot="1">
      <c r="E519" s="297" t="s">
        <v>301</v>
      </c>
      <c r="F519" s="298" t="s">
        <v>302</v>
      </c>
      <c r="H519" s="359"/>
      <c r="J519" s="343"/>
      <c r="M519" s="299">
        <f>L532</f>
        <v>401852</v>
      </c>
    </row>
    <row r="520" spans="5:13" ht="15" customHeight="1" thickBot="1">
      <c r="E520" s="297" t="s">
        <v>301</v>
      </c>
      <c r="F520" s="340" t="s">
        <v>136</v>
      </c>
      <c r="G520" s="341" t="s">
        <v>162</v>
      </c>
      <c r="H520" s="352" t="s">
        <v>163</v>
      </c>
      <c r="I520" s="352" t="s">
        <v>138</v>
      </c>
      <c r="J520" s="353" t="s">
        <v>164</v>
      </c>
      <c r="K520" s="341" t="s">
        <v>165</v>
      </c>
      <c r="L520" s="354" t="s">
        <v>166</v>
      </c>
    </row>
    <row r="521" spans="5:13" ht="15" customHeight="1">
      <c r="E521" s="297" t="s">
        <v>301</v>
      </c>
      <c r="F521" s="300" t="s">
        <v>167</v>
      </c>
      <c r="G521" s="301" t="s">
        <v>168</v>
      </c>
      <c r="H521" s="302"/>
      <c r="I521" s="302"/>
      <c r="J521" s="351"/>
      <c r="K521" s="328">
        <v>0</v>
      </c>
      <c r="L521" s="310">
        <f>J521*K521</f>
        <v>0</v>
      </c>
    </row>
    <row r="522" spans="5:13" ht="15" customHeight="1">
      <c r="E522" s="297" t="s">
        <v>301</v>
      </c>
      <c r="F522" s="306"/>
      <c r="G522" s="301" t="s">
        <v>169</v>
      </c>
      <c r="H522" s="307" t="s">
        <v>170</v>
      </c>
      <c r="I522" s="307" t="s">
        <v>171</v>
      </c>
      <c r="J522" s="308">
        <v>0.25</v>
      </c>
      <c r="K522" s="309">
        <f>VLOOKUP(G522,Upah,8,FALSE)</f>
        <v>125000</v>
      </c>
      <c r="L522" s="310">
        <f>J522*K522</f>
        <v>31250</v>
      </c>
    </row>
    <row r="523" spans="5:13" ht="15" customHeight="1" thickBot="1">
      <c r="E523" s="297" t="s">
        <v>301</v>
      </c>
      <c r="F523" s="306"/>
      <c r="G523" s="301" t="s">
        <v>176</v>
      </c>
      <c r="H523" s="313" t="s">
        <v>177</v>
      </c>
      <c r="I523" s="307" t="s">
        <v>171</v>
      </c>
      <c r="J523" s="308">
        <v>2.5000000000000001E-2</v>
      </c>
      <c r="K523" s="309">
        <f>VLOOKUP(G523,Upah,8,FALSE)</f>
        <v>170000</v>
      </c>
      <c r="L523" s="310">
        <f>J523*K523</f>
        <v>4250</v>
      </c>
    </row>
    <row r="524" spans="5:13" ht="15" customHeight="1" thickBot="1">
      <c r="E524" s="297" t="s">
        <v>301</v>
      </c>
      <c r="F524" s="316"/>
      <c r="G524" s="317"/>
      <c r="H524" s="318"/>
      <c r="I524" s="318"/>
      <c r="J524" s="319" t="s">
        <v>178</v>
      </c>
      <c r="K524" s="320"/>
      <c r="L524" s="321">
        <f>SUM(L521:L523)</f>
        <v>35500</v>
      </c>
    </row>
    <row r="525" spans="5:13" ht="15" customHeight="1">
      <c r="E525" s="297" t="s">
        <v>301</v>
      </c>
      <c r="F525" s="300" t="s">
        <v>179</v>
      </c>
      <c r="G525" s="301" t="s">
        <v>180</v>
      </c>
      <c r="H525" s="302"/>
      <c r="I525" s="302"/>
      <c r="J525" s="351"/>
      <c r="K525" s="328">
        <v>0</v>
      </c>
      <c r="L525" s="310">
        <f>J525*K525</f>
        <v>0</v>
      </c>
    </row>
    <row r="526" spans="5:13" ht="15" customHeight="1" thickBot="1">
      <c r="E526" s="297" t="s">
        <v>301</v>
      </c>
      <c r="F526" s="306"/>
      <c r="G526" s="301" t="s">
        <v>303</v>
      </c>
      <c r="H526" s="302"/>
      <c r="I526" s="307" t="s">
        <v>44</v>
      </c>
      <c r="J526" s="308">
        <v>1.2</v>
      </c>
      <c r="K526" s="328">
        <f>VLOOKUP(G526,Bahan,6,FALSE)</f>
        <v>274850</v>
      </c>
      <c r="L526" s="310">
        <f>J526*K526</f>
        <v>329820</v>
      </c>
    </row>
    <row r="527" spans="5:13" ht="15" customHeight="1" thickBot="1">
      <c r="E527" s="297" t="s">
        <v>301</v>
      </c>
      <c r="F527" s="316"/>
      <c r="G527" s="317"/>
      <c r="H527" s="318"/>
      <c r="I527" s="318"/>
      <c r="J527" s="319" t="s">
        <v>189</v>
      </c>
      <c r="K527" s="320"/>
      <c r="L527" s="321">
        <f>SUM(L526)</f>
        <v>329820</v>
      </c>
    </row>
    <row r="528" spans="5:13" ht="15" customHeight="1" thickBot="1">
      <c r="E528" s="297" t="s">
        <v>301</v>
      </c>
      <c r="F528" s="300" t="s">
        <v>190</v>
      </c>
      <c r="G528" s="301" t="s">
        <v>191</v>
      </c>
      <c r="H528" s="302"/>
      <c r="I528" s="302"/>
      <c r="J528" s="351"/>
      <c r="K528" s="328">
        <v>0</v>
      </c>
      <c r="L528" s="310">
        <f>J528*K528</f>
        <v>0</v>
      </c>
    </row>
    <row r="529" spans="4:13" ht="15" customHeight="1" thickBot="1">
      <c r="E529" s="297" t="s">
        <v>301</v>
      </c>
      <c r="F529" s="316"/>
      <c r="G529" s="317"/>
      <c r="H529" s="318"/>
      <c r="I529" s="318"/>
      <c r="J529" s="319" t="s">
        <v>192</v>
      </c>
      <c r="K529" s="320"/>
      <c r="L529" s="321">
        <f>L528</f>
        <v>0</v>
      </c>
    </row>
    <row r="530" spans="4:13" ht="15" customHeight="1">
      <c r="E530" s="297" t="s">
        <v>301</v>
      </c>
      <c r="F530" s="344" t="s">
        <v>193</v>
      </c>
      <c r="G530" s="345" t="s">
        <v>194</v>
      </c>
      <c r="H530" s="346"/>
      <c r="I530" s="346"/>
      <c r="J530" s="347"/>
      <c r="K530" s="348">
        <v>0</v>
      </c>
      <c r="L530" s="310">
        <f>SUM(L522:L529)/2</f>
        <v>365320</v>
      </c>
    </row>
    <row r="531" spans="4:13" ht="15" customHeight="1" thickBot="1">
      <c r="E531" s="297" t="s">
        <v>301</v>
      </c>
      <c r="F531" s="331" t="s">
        <v>195</v>
      </c>
      <c r="G531" s="332" t="s">
        <v>196</v>
      </c>
      <c r="H531" s="333"/>
      <c r="I531" s="333"/>
      <c r="J531" s="350">
        <v>0.1</v>
      </c>
      <c r="K531" s="335"/>
      <c r="L531" s="330">
        <f>J531*L530</f>
        <v>36532</v>
      </c>
    </row>
    <row r="532" spans="4:13" ht="15" customHeight="1" thickBot="1">
      <c r="E532" s="297" t="s">
        <v>301</v>
      </c>
      <c r="F532" s="340" t="s">
        <v>197</v>
      </c>
      <c r="G532" s="341" t="s">
        <v>198</v>
      </c>
      <c r="H532" s="318"/>
      <c r="I532" s="318"/>
      <c r="J532" s="342"/>
      <c r="K532" s="320">
        <v>0</v>
      </c>
      <c r="L532" s="321">
        <f>ROUNDDOWN(L530+L531,0)</f>
        <v>401852</v>
      </c>
    </row>
    <row r="533" spans="4:13" ht="15" customHeight="1">
      <c r="F533" s="298"/>
      <c r="G533" s="298"/>
      <c r="J533" s="343"/>
    </row>
    <row r="534" spans="4:13" ht="15" customHeight="1">
      <c r="D534" s="560" t="s">
        <v>304</v>
      </c>
      <c r="E534" s="358" t="s">
        <v>305</v>
      </c>
      <c r="J534" s="343"/>
    </row>
    <row r="535" spans="4:13" ht="15" customHeight="1" thickBot="1">
      <c r="E535" s="356" t="s">
        <v>306</v>
      </c>
      <c r="F535" s="295" t="s">
        <v>307</v>
      </c>
      <c r="J535" s="343"/>
      <c r="M535" s="299">
        <f>L552</f>
        <v>1467001</v>
      </c>
    </row>
    <row r="536" spans="4:13" ht="15" customHeight="1" thickBot="1">
      <c r="E536" s="356" t="s">
        <v>306</v>
      </c>
      <c r="F536" s="340" t="s">
        <v>136</v>
      </c>
      <c r="G536" s="341" t="s">
        <v>162</v>
      </c>
      <c r="H536" s="352" t="s">
        <v>163</v>
      </c>
      <c r="I536" s="352" t="s">
        <v>138</v>
      </c>
      <c r="J536" s="353" t="s">
        <v>164</v>
      </c>
      <c r="K536" s="341" t="s">
        <v>165</v>
      </c>
      <c r="L536" s="354" t="s">
        <v>166</v>
      </c>
    </row>
    <row r="537" spans="4:13" ht="15" customHeight="1">
      <c r="E537" s="356" t="s">
        <v>306</v>
      </c>
      <c r="F537" s="300" t="s">
        <v>167</v>
      </c>
      <c r="G537" s="301" t="s">
        <v>168</v>
      </c>
      <c r="H537" s="302"/>
      <c r="I537" s="302"/>
      <c r="J537" s="351"/>
      <c r="K537" s="328">
        <v>0</v>
      </c>
      <c r="L537" s="310">
        <f>J537*K537</f>
        <v>0</v>
      </c>
    </row>
    <row r="538" spans="4:13" ht="15" customHeight="1">
      <c r="E538" s="356" t="s">
        <v>306</v>
      </c>
      <c r="F538" s="306"/>
      <c r="G538" s="301" t="s">
        <v>169</v>
      </c>
      <c r="H538" s="307" t="s">
        <v>170</v>
      </c>
      <c r="I538" s="307" t="s">
        <v>171</v>
      </c>
      <c r="J538" s="308">
        <v>1.5</v>
      </c>
      <c r="K538" s="309">
        <f>VLOOKUP(G538,Upah,8,FALSE)</f>
        <v>125000</v>
      </c>
      <c r="L538" s="310">
        <f>J538*K538</f>
        <v>187500</v>
      </c>
    </row>
    <row r="539" spans="4:13" ht="15" customHeight="1">
      <c r="E539" s="356" t="s">
        <v>306</v>
      </c>
      <c r="F539" s="306"/>
      <c r="G539" s="301" t="s">
        <v>308</v>
      </c>
      <c r="H539" s="307" t="s">
        <v>217</v>
      </c>
      <c r="I539" s="307" t="s">
        <v>171</v>
      </c>
      <c r="J539" s="308">
        <v>0.75</v>
      </c>
      <c r="K539" s="309">
        <f>VLOOKUP(G539,Upah,8,FALSE)</f>
        <v>150000</v>
      </c>
      <c r="L539" s="310">
        <f>J539*K539</f>
        <v>112500</v>
      </c>
    </row>
    <row r="540" spans="4:13" ht="15" customHeight="1">
      <c r="E540" s="356" t="s">
        <v>306</v>
      </c>
      <c r="F540" s="306"/>
      <c r="G540" s="301" t="s">
        <v>174</v>
      </c>
      <c r="H540" s="307" t="s">
        <v>175</v>
      </c>
      <c r="I540" s="307" t="s">
        <v>171</v>
      </c>
      <c r="J540" s="308">
        <v>7.4999999999999997E-2</v>
      </c>
      <c r="K540" s="309">
        <f>VLOOKUP(G540,Upah,8,FALSE)</f>
        <v>165000</v>
      </c>
      <c r="L540" s="310">
        <f>J540*K540</f>
        <v>12375</v>
      </c>
    </row>
    <row r="541" spans="4:13" ht="15" customHeight="1" thickBot="1">
      <c r="E541" s="356" t="s">
        <v>306</v>
      </c>
      <c r="F541" s="306"/>
      <c r="G541" s="301" t="s">
        <v>176</v>
      </c>
      <c r="H541" s="313" t="s">
        <v>177</v>
      </c>
      <c r="I541" s="307" t="s">
        <v>171</v>
      </c>
      <c r="J541" s="308">
        <v>7.4999999999999997E-2</v>
      </c>
      <c r="K541" s="309">
        <f>VLOOKUP(G541,Upah,8,FALSE)</f>
        <v>170000</v>
      </c>
      <c r="L541" s="310">
        <f>J541*K541</f>
        <v>12750</v>
      </c>
    </row>
    <row r="542" spans="4:13" ht="15" customHeight="1" thickBot="1">
      <c r="E542" s="356" t="s">
        <v>306</v>
      </c>
      <c r="F542" s="316"/>
      <c r="G542" s="317"/>
      <c r="H542" s="318"/>
      <c r="I542" s="318"/>
      <c r="J542" s="319" t="s">
        <v>178</v>
      </c>
      <c r="K542" s="320"/>
      <c r="L542" s="321">
        <f>SUM(L537:L541)</f>
        <v>325125</v>
      </c>
    </row>
    <row r="543" spans="4:13" ht="15" customHeight="1">
      <c r="E543" s="356" t="s">
        <v>306</v>
      </c>
      <c r="F543" s="300" t="s">
        <v>179</v>
      </c>
      <c r="G543" s="301" t="s">
        <v>180</v>
      </c>
      <c r="H543" s="302"/>
      <c r="I543" s="302"/>
      <c r="J543" s="351"/>
      <c r="K543" s="328"/>
      <c r="L543" s="310"/>
    </row>
    <row r="544" spans="4:13" ht="15" customHeight="1">
      <c r="E544" s="356" t="s">
        <v>306</v>
      </c>
      <c r="F544" s="306"/>
      <c r="G544" s="301" t="s">
        <v>247</v>
      </c>
      <c r="H544" s="302"/>
      <c r="I544" s="307" t="s">
        <v>44</v>
      </c>
      <c r="J544" s="308">
        <v>1.2</v>
      </c>
      <c r="K544" s="328">
        <f>VLOOKUP(G544,Bahan,6,FALSE)</f>
        <v>421500</v>
      </c>
      <c r="L544" s="310">
        <f>J544*K544</f>
        <v>505800</v>
      </c>
    </row>
    <row r="545" spans="5:13" ht="15" customHeight="1">
      <c r="E545" s="356" t="s">
        <v>306</v>
      </c>
      <c r="F545" s="306"/>
      <c r="G545" s="301" t="s">
        <v>183</v>
      </c>
      <c r="H545" s="302"/>
      <c r="I545" s="307" t="s">
        <v>45</v>
      </c>
      <c r="J545" s="308">
        <v>202</v>
      </c>
      <c r="K545" s="328">
        <f>VLOOKUP(G545,Bahan,6,FALSE)</f>
        <v>1880</v>
      </c>
      <c r="L545" s="310">
        <f>J545*K545</f>
        <v>379760</v>
      </c>
    </row>
    <row r="546" spans="5:13" ht="15" customHeight="1" thickBot="1">
      <c r="E546" s="356" t="s">
        <v>306</v>
      </c>
      <c r="F546" s="306"/>
      <c r="G546" s="301" t="s">
        <v>296</v>
      </c>
      <c r="H546" s="302"/>
      <c r="I546" s="307" t="s">
        <v>44</v>
      </c>
      <c r="J546" s="308">
        <v>0.48499999999999999</v>
      </c>
      <c r="K546" s="328">
        <f>VLOOKUP(G546,Bahan,6,FALSE)</f>
        <v>253510</v>
      </c>
      <c r="L546" s="310">
        <f>J546*K546</f>
        <v>122952.34999999999</v>
      </c>
    </row>
    <row r="547" spans="5:13" ht="15" customHeight="1" thickBot="1">
      <c r="E547" s="356" t="s">
        <v>306</v>
      </c>
      <c r="F547" s="316"/>
      <c r="G547" s="317"/>
      <c r="H547" s="318"/>
      <c r="I547" s="318"/>
      <c r="J547" s="319" t="s">
        <v>189</v>
      </c>
      <c r="K547" s="320"/>
      <c r="L547" s="321">
        <f>SUM(L544:L546)</f>
        <v>1008512.35</v>
      </c>
    </row>
    <row r="548" spans="5:13" ht="15" customHeight="1" thickBot="1">
      <c r="E548" s="356" t="s">
        <v>306</v>
      </c>
      <c r="F548" s="300" t="s">
        <v>190</v>
      </c>
      <c r="G548" s="301" t="s">
        <v>191</v>
      </c>
      <c r="H548" s="302"/>
      <c r="I548" s="302"/>
      <c r="J548" s="351"/>
      <c r="K548" s="328">
        <v>0</v>
      </c>
      <c r="L548" s="310">
        <f>J548*K548</f>
        <v>0</v>
      </c>
    </row>
    <row r="549" spans="5:13" ht="15" customHeight="1" thickBot="1">
      <c r="E549" s="356" t="s">
        <v>306</v>
      </c>
      <c r="F549" s="316"/>
      <c r="G549" s="317"/>
      <c r="H549" s="318"/>
      <c r="I549" s="318"/>
      <c r="J549" s="319" t="s">
        <v>192</v>
      </c>
      <c r="K549" s="320"/>
      <c r="L549" s="321">
        <f>L548</f>
        <v>0</v>
      </c>
    </row>
    <row r="550" spans="5:13" ht="15" customHeight="1">
      <c r="E550" s="356" t="s">
        <v>306</v>
      </c>
      <c r="F550" s="344" t="s">
        <v>193</v>
      </c>
      <c r="G550" s="345" t="s">
        <v>194</v>
      </c>
      <c r="H550" s="346"/>
      <c r="I550" s="346"/>
      <c r="J550" s="347"/>
      <c r="K550" s="348">
        <v>0</v>
      </c>
      <c r="L550" s="310">
        <f>SUM(L538:L549)/2</f>
        <v>1333637.3500000001</v>
      </c>
    </row>
    <row r="551" spans="5:13" ht="15" customHeight="1" thickBot="1">
      <c r="E551" s="356" t="s">
        <v>306</v>
      </c>
      <c r="F551" s="331" t="s">
        <v>195</v>
      </c>
      <c r="G551" s="332" t="s">
        <v>196</v>
      </c>
      <c r="H551" s="333"/>
      <c r="I551" s="333"/>
      <c r="J551" s="350">
        <v>0.1</v>
      </c>
      <c r="K551" s="335"/>
      <c r="L551" s="330">
        <f>J551*L550</f>
        <v>133363.73500000002</v>
      </c>
    </row>
    <row r="552" spans="5:13" ht="15" customHeight="1" thickBot="1">
      <c r="E552" s="356" t="s">
        <v>306</v>
      </c>
      <c r="F552" s="340" t="s">
        <v>197</v>
      </c>
      <c r="G552" s="341" t="s">
        <v>198</v>
      </c>
      <c r="H552" s="318"/>
      <c r="I552" s="318"/>
      <c r="J552" s="342"/>
      <c r="K552" s="320">
        <v>0</v>
      </c>
      <c r="L552" s="321">
        <f>ROUNDDOWN(L550+L551,0)</f>
        <v>1467001</v>
      </c>
    </row>
    <row r="553" spans="5:13" ht="15" customHeight="1">
      <c r="F553" s="298"/>
      <c r="G553" s="298"/>
      <c r="J553" s="343"/>
    </row>
    <row r="554" spans="5:13" ht="15" customHeight="1" thickBot="1">
      <c r="E554" s="356" t="s">
        <v>309</v>
      </c>
      <c r="F554" s="295" t="s">
        <v>310</v>
      </c>
      <c r="J554" s="343"/>
      <c r="M554" s="299">
        <f>L571</f>
        <v>1396109</v>
      </c>
    </row>
    <row r="555" spans="5:13" ht="15" customHeight="1" thickBot="1">
      <c r="E555" s="356" t="s">
        <v>309</v>
      </c>
      <c r="F555" s="340" t="s">
        <v>136</v>
      </c>
      <c r="G555" s="341" t="s">
        <v>162</v>
      </c>
      <c r="H555" s="352" t="s">
        <v>163</v>
      </c>
      <c r="I555" s="352" t="s">
        <v>138</v>
      </c>
      <c r="J555" s="353" t="s">
        <v>164</v>
      </c>
      <c r="K555" s="341" t="s">
        <v>165</v>
      </c>
      <c r="L555" s="354" t="s">
        <v>166</v>
      </c>
    </row>
    <row r="556" spans="5:13" ht="15" customHeight="1">
      <c r="E556" s="356" t="s">
        <v>309</v>
      </c>
      <c r="F556" s="300" t="s">
        <v>167</v>
      </c>
      <c r="G556" s="301" t="s">
        <v>168</v>
      </c>
      <c r="H556" s="302"/>
      <c r="I556" s="302"/>
      <c r="J556" s="351"/>
      <c r="K556" s="328"/>
      <c r="L556" s="310"/>
    </row>
    <row r="557" spans="5:13" ht="15" customHeight="1">
      <c r="E557" s="356" t="s">
        <v>309</v>
      </c>
      <c r="F557" s="306"/>
      <c r="G557" s="301" t="s">
        <v>169</v>
      </c>
      <c r="H557" s="307" t="s">
        <v>170</v>
      </c>
      <c r="I557" s="307" t="s">
        <v>171</v>
      </c>
      <c r="J557" s="308">
        <v>1.5</v>
      </c>
      <c r="K557" s="309">
        <f>VLOOKUP(G557,Upah,8,FALSE)</f>
        <v>125000</v>
      </c>
      <c r="L557" s="310">
        <f>J557*K557</f>
        <v>187500</v>
      </c>
    </row>
    <row r="558" spans="5:13" ht="15" customHeight="1">
      <c r="E558" s="356" t="s">
        <v>309</v>
      </c>
      <c r="F558" s="306"/>
      <c r="G558" s="301" t="s">
        <v>308</v>
      </c>
      <c r="H558" s="307" t="s">
        <v>217</v>
      </c>
      <c r="I558" s="307" t="s">
        <v>171</v>
      </c>
      <c r="J558" s="308">
        <v>0.75</v>
      </c>
      <c r="K558" s="309">
        <f>VLOOKUP(G558,Upah,8,FALSE)</f>
        <v>150000</v>
      </c>
      <c r="L558" s="310">
        <f>J558*K558</f>
        <v>112500</v>
      </c>
    </row>
    <row r="559" spans="5:13" ht="15" customHeight="1">
      <c r="E559" s="356" t="s">
        <v>309</v>
      </c>
      <c r="F559" s="306"/>
      <c r="G559" s="301" t="s">
        <v>174</v>
      </c>
      <c r="H559" s="307" t="s">
        <v>175</v>
      </c>
      <c r="I559" s="307" t="s">
        <v>171</v>
      </c>
      <c r="J559" s="308">
        <v>7.4999999999999997E-2</v>
      </c>
      <c r="K559" s="309">
        <f>VLOOKUP(G559,Upah,8,FALSE)</f>
        <v>165000</v>
      </c>
      <c r="L559" s="310">
        <f>J559*K559</f>
        <v>12375</v>
      </c>
    </row>
    <row r="560" spans="5:13" ht="15" customHeight="1" thickBot="1">
      <c r="E560" s="356" t="s">
        <v>309</v>
      </c>
      <c r="F560" s="306"/>
      <c r="G560" s="301" t="s">
        <v>176</v>
      </c>
      <c r="H560" s="313" t="s">
        <v>177</v>
      </c>
      <c r="I560" s="307" t="s">
        <v>171</v>
      </c>
      <c r="J560" s="308">
        <v>7.4999999999999997E-2</v>
      </c>
      <c r="K560" s="309">
        <f>VLOOKUP(G560,Upah,8,FALSE)</f>
        <v>170000</v>
      </c>
      <c r="L560" s="310">
        <f>J560*K560</f>
        <v>12750</v>
      </c>
    </row>
    <row r="561" spans="5:13" ht="15" customHeight="1" thickBot="1">
      <c r="E561" s="356" t="s">
        <v>309</v>
      </c>
      <c r="F561" s="316"/>
      <c r="G561" s="317"/>
      <c r="H561" s="318"/>
      <c r="I561" s="318"/>
      <c r="J561" s="319" t="s">
        <v>178</v>
      </c>
      <c r="K561" s="320"/>
      <c r="L561" s="321">
        <f>SUM(L556:L560)</f>
        <v>325125</v>
      </c>
    </row>
    <row r="562" spans="5:13" ht="15" customHeight="1">
      <c r="E562" s="356" t="s">
        <v>309</v>
      </c>
      <c r="F562" s="300" t="s">
        <v>179</v>
      </c>
      <c r="G562" s="301" t="s">
        <v>180</v>
      </c>
      <c r="H562" s="302"/>
      <c r="I562" s="302"/>
      <c r="J562" s="351"/>
      <c r="K562" s="328">
        <v>0</v>
      </c>
      <c r="L562" s="310">
        <f>J562*K562</f>
        <v>0</v>
      </c>
    </row>
    <row r="563" spans="5:13" ht="15" customHeight="1">
      <c r="E563" s="356" t="s">
        <v>309</v>
      </c>
      <c r="F563" s="306"/>
      <c r="G563" s="301" t="s">
        <v>247</v>
      </c>
      <c r="H563" s="302"/>
      <c r="I563" s="307" t="s">
        <v>44</v>
      </c>
      <c r="J563" s="308">
        <v>1.2</v>
      </c>
      <c r="K563" s="328">
        <f>VLOOKUP(G563,Bahan,6,FALSE)</f>
        <v>421500</v>
      </c>
      <c r="L563" s="310">
        <f>J563*K563</f>
        <v>505800</v>
      </c>
    </row>
    <row r="564" spans="5:13" ht="15" customHeight="1">
      <c r="E564" s="356" t="s">
        <v>309</v>
      </c>
      <c r="F564" s="306"/>
      <c r="G564" s="301" t="s">
        <v>183</v>
      </c>
      <c r="H564" s="302"/>
      <c r="I564" s="307" t="s">
        <v>45</v>
      </c>
      <c r="J564" s="308">
        <v>163</v>
      </c>
      <c r="K564" s="328">
        <f>VLOOKUP(G564,Bahan,6,FALSE)</f>
        <v>1880</v>
      </c>
      <c r="L564" s="310">
        <f>J564*K564</f>
        <v>306440</v>
      </c>
    </row>
    <row r="565" spans="5:13" ht="15" customHeight="1" thickBot="1">
      <c r="E565" s="356" t="s">
        <v>309</v>
      </c>
      <c r="F565" s="306"/>
      <c r="G565" s="301" t="s">
        <v>296</v>
      </c>
      <c r="H565" s="302"/>
      <c r="I565" s="307" t="s">
        <v>44</v>
      </c>
      <c r="J565" s="308">
        <v>0.52</v>
      </c>
      <c r="K565" s="328">
        <f>VLOOKUP(G565,Bahan,6,FALSE)</f>
        <v>253510</v>
      </c>
      <c r="L565" s="310">
        <f>J565*K565</f>
        <v>131825.20000000001</v>
      </c>
    </row>
    <row r="566" spans="5:13" ht="15" customHeight="1" thickBot="1">
      <c r="E566" s="356" t="s">
        <v>309</v>
      </c>
      <c r="F566" s="316"/>
      <c r="G566" s="317"/>
      <c r="H566" s="318"/>
      <c r="I566" s="318"/>
      <c r="J566" s="319" t="s">
        <v>189</v>
      </c>
      <c r="K566" s="320"/>
      <c r="L566" s="321">
        <f>SUM(L562:L565)</f>
        <v>944065.2</v>
      </c>
    </row>
    <row r="567" spans="5:13" ht="15" customHeight="1" thickBot="1">
      <c r="E567" s="356" t="s">
        <v>309</v>
      </c>
      <c r="F567" s="300" t="s">
        <v>190</v>
      </c>
      <c r="G567" s="301" t="s">
        <v>191</v>
      </c>
      <c r="H567" s="302"/>
      <c r="I567" s="302"/>
      <c r="J567" s="351"/>
      <c r="K567" s="328">
        <v>0</v>
      </c>
      <c r="L567" s="310">
        <f>J567*K567</f>
        <v>0</v>
      </c>
    </row>
    <row r="568" spans="5:13" ht="15" customHeight="1" thickBot="1">
      <c r="E568" s="356" t="s">
        <v>309</v>
      </c>
      <c r="F568" s="316"/>
      <c r="G568" s="317"/>
      <c r="H568" s="318"/>
      <c r="I568" s="318"/>
      <c r="J568" s="319" t="s">
        <v>192</v>
      </c>
      <c r="K568" s="320"/>
      <c r="L568" s="321">
        <f>L567</f>
        <v>0</v>
      </c>
    </row>
    <row r="569" spans="5:13" ht="15" customHeight="1">
      <c r="E569" s="356" t="s">
        <v>309</v>
      </c>
      <c r="F569" s="344" t="s">
        <v>193</v>
      </c>
      <c r="G569" s="345" t="s">
        <v>194</v>
      </c>
      <c r="H569" s="346"/>
      <c r="I569" s="346"/>
      <c r="J569" s="347"/>
      <c r="K569" s="348">
        <v>0</v>
      </c>
      <c r="L569" s="310">
        <f>SUM(L557:L568)/2</f>
        <v>1269190.2</v>
      </c>
    </row>
    <row r="570" spans="5:13" ht="15" customHeight="1" thickBot="1">
      <c r="E570" s="356" t="s">
        <v>309</v>
      </c>
      <c r="F570" s="331" t="s">
        <v>195</v>
      </c>
      <c r="G570" s="332" t="s">
        <v>196</v>
      </c>
      <c r="H570" s="333"/>
      <c r="I570" s="333"/>
      <c r="J570" s="350">
        <v>0.1</v>
      </c>
      <c r="K570" s="335"/>
      <c r="L570" s="330">
        <f>J570*L569</f>
        <v>126919.02</v>
      </c>
    </row>
    <row r="571" spans="5:13" ht="15" customHeight="1" thickBot="1">
      <c r="E571" s="356" t="s">
        <v>309</v>
      </c>
      <c r="F571" s="340" t="s">
        <v>197</v>
      </c>
      <c r="G571" s="341" t="s">
        <v>198</v>
      </c>
      <c r="H571" s="318"/>
      <c r="I571" s="318"/>
      <c r="J571" s="342"/>
      <c r="K571" s="320">
        <v>0</v>
      </c>
      <c r="L571" s="321">
        <f>ROUNDDOWN(L569+L570,0)</f>
        <v>1396109</v>
      </c>
    </row>
    <row r="572" spans="5:13" ht="15" customHeight="1">
      <c r="F572" s="298"/>
      <c r="G572" s="298"/>
      <c r="J572" s="343"/>
    </row>
    <row r="573" spans="5:13" ht="15" customHeight="1" thickBot="1">
      <c r="E573" s="356" t="s">
        <v>311</v>
      </c>
      <c r="F573" s="298" t="s">
        <v>312</v>
      </c>
      <c r="J573" s="343"/>
      <c r="M573" s="299">
        <f>L590</f>
        <v>1346965</v>
      </c>
    </row>
    <row r="574" spans="5:13" ht="15" customHeight="1" thickBot="1">
      <c r="E574" s="356" t="s">
        <v>311</v>
      </c>
      <c r="F574" s="340" t="s">
        <v>136</v>
      </c>
      <c r="G574" s="341" t="s">
        <v>162</v>
      </c>
      <c r="H574" s="352" t="s">
        <v>163</v>
      </c>
      <c r="I574" s="352" t="s">
        <v>138</v>
      </c>
      <c r="J574" s="353" t="s">
        <v>164</v>
      </c>
      <c r="K574" s="341" t="s">
        <v>165</v>
      </c>
      <c r="L574" s="354" t="s">
        <v>166</v>
      </c>
    </row>
    <row r="575" spans="5:13" ht="15" customHeight="1">
      <c r="E575" s="356" t="s">
        <v>311</v>
      </c>
      <c r="F575" s="300" t="s">
        <v>167</v>
      </c>
      <c r="G575" s="301" t="s">
        <v>168</v>
      </c>
      <c r="H575" s="302"/>
      <c r="I575" s="302"/>
      <c r="J575" s="351"/>
      <c r="K575" s="328"/>
      <c r="L575" s="310"/>
    </row>
    <row r="576" spans="5:13" ht="15" customHeight="1">
      <c r="E576" s="356" t="s">
        <v>311</v>
      </c>
      <c r="F576" s="306"/>
      <c r="G576" s="301" t="s">
        <v>169</v>
      </c>
      <c r="H576" s="307" t="s">
        <v>170</v>
      </c>
      <c r="I576" s="307" t="s">
        <v>171</v>
      </c>
      <c r="J576" s="308">
        <v>1.5</v>
      </c>
      <c r="K576" s="309">
        <f>VLOOKUP(G576,Upah,8,FALSE)</f>
        <v>125000</v>
      </c>
      <c r="L576" s="310">
        <f>J576*K576</f>
        <v>187500</v>
      </c>
    </row>
    <row r="577" spans="5:13" ht="15" customHeight="1">
      <c r="E577" s="356" t="s">
        <v>311</v>
      </c>
      <c r="F577" s="306"/>
      <c r="G577" s="301" t="s">
        <v>308</v>
      </c>
      <c r="H577" s="307" t="s">
        <v>217</v>
      </c>
      <c r="I577" s="307" t="s">
        <v>171</v>
      </c>
      <c r="J577" s="308">
        <v>0.75</v>
      </c>
      <c r="K577" s="309">
        <f>VLOOKUP(G577,Upah,8,FALSE)</f>
        <v>150000</v>
      </c>
      <c r="L577" s="310">
        <f>J577*K577</f>
        <v>112500</v>
      </c>
    </row>
    <row r="578" spans="5:13" ht="15" customHeight="1">
      <c r="E578" s="356" t="s">
        <v>311</v>
      </c>
      <c r="F578" s="306"/>
      <c r="G578" s="301" t="s">
        <v>174</v>
      </c>
      <c r="H578" s="307" t="s">
        <v>175</v>
      </c>
      <c r="I578" s="307" t="s">
        <v>171</v>
      </c>
      <c r="J578" s="308">
        <v>7.4999999999999997E-2</v>
      </c>
      <c r="K578" s="309">
        <f>VLOOKUP(G578,Upah,8,FALSE)</f>
        <v>165000</v>
      </c>
      <c r="L578" s="310">
        <f>J578*K578</f>
        <v>12375</v>
      </c>
    </row>
    <row r="579" spans="5:13" ht="15" customHeight="1" thickBot="1">
      <c r="E579" s="356" t="s">
        <v>311</v>
      </c>
      <c r="F579" s="306"/>
      <c r="G579" s="301" t="s">
        <v>176</v>
      </c>
      <c r="H579" s="313" t="s">
        <v>177</v>
      </c>
      <c r="I579" s="307" t="s">
        <v>171</v>
      </c>
      <c r="J579" s="308">
        <v>7.4999999999999997E-2</v>
      </c>
      <c r="K579" s="309">
        <f>VLOOKUP(G579,Upah,8,FALSE)</f>
        <v>170000</v>
      </c>
      <c r="L579" s="310">
        <f>J579*K579</f>
        <v>12750</v>
      </c>
    </row>
    <row r="580" spans="5:13" ht="15" customHeight="1" thickBot="1">
      <c r="E580" s="356" t="s">
        <v>311</v>
      </c>
      <c r="F580" s="316"/>
      <c r="G580" s="317"/>
      <c r="H580" s="318"/>
      <c r="I580" s="318"/>
      <c r="J580" s="319" t="s">
        <v>178</v>
      </c>
      <c r="K580" s="320"/>
      <c r="L580" s="321">
        <f>SUM(L576:L579)</f>
        <v>325125</v>
      </c>
    </row>
    <row r="581" spans="5:13" ht="15" customHeight="1">
      <c r="E581" s="356" t="s">
        <v>311</v>
      </c>
      <c r="F581" s="300" t="s">
        <v>179</v>
      </c>
      <c r="G581" s="301" t="s">
        <v>180</v>
      </c>
      <c r="H581" s="302"/>
      <c r="I581" s="302"/>
      <c r="J581" s="351"/>
      <c r="K581" s="328">
        <v>0</v>
      </c>
      <c r="L581" s="310">
        <f>J581*K581</f>
        <v>0</v>
      </c>
    </row>
    <row r="582" spans="5:13" ht="15" customHeight="1">
      <c r="E582" s="356" t="s">
        <v>311</v>
      </c>
      <c r="F582" s="306"/>
      <c r="G582" s="301" t="s">
        <v>247</v>
      </c>
      <c r="H582" s="302"/>
      <c r="I582" s="307" t="s">
        <v>44</v>
      </c>
      <c r="J582" s="308">
        <v>1.2</v>
      </c>
      <c r="K582" s="328">
        <f>VLOOKUP(G582,Bahan,6,FALSE)</f>
        <v>421500</v>
      </c>
      <c r="L582" s="310">
        <f>J582*K582</f>
        <v>505800</v>
      </c>
    </row>
    <row r="583" spans="5:13" ht="15" customHeight="1">
      <c r="E583" s="356" t="s">
        <v>311</v>
      </c>
      <c r="F583" s="306"/>
      <c r="G583" s="301" t="s">
        <v>183</v>
      </c>
      <c r="H583" s="302"/>
      <c r="I583" s="307" t="s">
        <v>45</v>
      </c>
      <c r="J583" s="308">
        <v>136</v>
      </c>
      <c r="K583" s="328">
        <f>VLOOKUP(G583,Bahan,6,FALSE)</f>
        <v>1880</v>
      </c>
      <c r="L583" s="310">
        <f>J583*K583</f>
        <v>255680</v>
      </c>
    </row>
    <row r="584" spans="5:13" ht="15" customHeight="1" thickBot="1">
      <c r="E584" s="356" t="s">
        <v>311</v>
      </c>
      <c r="F584" s="306"/>
      <c r="G584" s="301" t="s">
        <v>296</v>
      </c>
      <c r="H584" s="302"/>
      <c r="I584" s="307" t="s">
        <v>44</v>
      </c>
      <c r="J584" s="308">
        <v>0.54400000000000004</v>
      </c>
      <c r="K584" s="328">
        <f>VLOOKUP(G584,Bahan,6,FALSE)</f>
        <v>253510</v>
      </c>
      <c r="L584" s="310">
        <f>J584*K584</f>
        <v>137909.44</v>
      </c>
    </row>
    <row r="585" spans="5:13" ht="15" customHeight="1" thickBot="1">
      <c r="E585" s="356" t="s">
        <v>311</v>
      </c>
      <c r="F585" s="316"/>
      <c r="G585" s="317"/>
      <c r="H585" s="318"/>
      <c r="I585" s="318"/>
      <c r="J585" s="319" t="s">
        <v>189</v>
      </c>
      <c r="K585" s="320"/>
      <c r="L585" s="321">
        <f>SUM(L581:L584)</f>
        <v>899389.43999999994</v>
      </c>
    </row>
    <row r="586" spans="5:13" ht="15" customHeight="1" thickBot="1">
      <c r="E586" s="356" t="s">
        <v>311</v>
      </c>
      <c r="F586" s="300" t="s">
        <v>190</v>
      </c>
      <c r="G586" s="301" t="s">
        <v>191</v>
      </c>
      <c r="H586" s="302"/>
      <c r="I586" s="302"/>
      <c r="J586" s="351"/>
      <c r="K586" s="328">
        <v>0</v>
      </c>
      <c r="L586" s="310">
        <f>J586*K586</f>
        <v>0</v>
      </c>
    </row>
    <row r="587" spans="5:13" ht="15" customHeight="1" thickBot="1">
      <c r="E587" s="356" t="s">
        <v>311</v>
      </c>
      <c r="F587" s="316"/>
      <c r="G587" s="317"/>
      <c r="H587" s="318"/>
      <c r="I587" s="318"/>
      <c r="J587" s="319" t="s">
        <v>192</v>
      </c>
      <c r="K587" s="320"/>
      <c r="L587" s="321">
        <f>L586</f>
        <v>0</v>
      </c>
    </row>
    <row r="588" spans="5:13" ht="15" customHeight="1">
      <c r="E588" s="356" t="s">
        <v>311</v>
      </c>
      <c r="F588" s="344" t="s">
        <v>193</v>
      </c>
      <c r="G588" s="345" t="s">
        <v>194</v>
      </c>
      <c r="H588" s="346"/>
      <c r="I588" s="346"/>
      <c r="J588" s="347"/>
      <c r="K588" s="348">
        <v>0</v>
      </c>
      <c r="L588" s="310">
        <f>SUM(L576:L587)/2</f>
        <v>1224514.44</v>
      </c>
    </row>
    <row r="589" spans="5:13" ht="15" customHeight="1" thickBot="1">
      <c r="E589" s="356" t="s">
        <v>311</v>
      </c>
      <c r="F589" s="331" t="s">
        <v>195</v>
      </c>
      <c r="G589" s="332" t="s">
        <v>196</v>
      </c>
      <c r="H589" s="333"/>
      <c r="I589" s="333"/>
      <c r="J589" s="350">
        <v>0.1</v>
      </c>
      <c r="K589" s="335"/>
      <c r="L589" s="330">
        <f>J589*L588</f>
        <v>122451.444</v>
      </c>
    </row>
    <row r="590" spans="5:13" ht="15" customHeight="1" thickBot="1">
      <c r="E590" s="356" t="s">
        <v>311</v>
      </c>
      <c r="F590" s="340" t="s">
        <v>197</v>
      </c>
      <c r="G590" s="341" t="s">
        <v>198</v>
      </c>
      <c r="H590" s="318"/>
      <c r="I590" s="318"/>
      <c r="J590" s="342"/>
      <c r="K590" s="320">
        <v>0</v>
      </c>
      <c r="L590" s="321">
        <f>ROUNDDOWN(L588+L589,0)</f>
        <v>1346965</v>
      </c>
    </row>
    <row r="591" spans="5:13" ht="15" customHeight="1">
      <c r="F591" s="298"/>
      <c r="G591" s="298"/>
      <c r="J591" s="343"/>
    </row>
    <row r="592" spans="5:13" ht="15" customHeight="1" thickBot="1">
      <c r="E592" s="356" t="s">
        <v>313</v>
      </c>
      <c r="F592" s="298" t="s">
        <v>314</v>
      </c>
      <c r="J592" s="343"/>
      <c r="M592" s="299">
        <f>L609</f>
        <v>1312414</v>
      </c>
    </row>
    <row r="593" spans="5:12" ht="15" customHeight="1" thickBot="1">
      <c r="E593" s="356" t="s">
        <v>313</v>
      </c>
      <c r="F593" s="340" t="s">
        <v>136</v>
      </c>
      <c r="G593" s="341" t="s">
        <v>162</v>
      </c>
      <c r="H593" s="352" t="s">
        <v>163</v>
      </c>
      <c r="I593" s="352" t="s">
        <v>138</v>
      </c>
      <c r="J593" s="353" t="s">
        <v>164</v>
      </c>
      <c r="K593" s="341" t="s">
        <v>165</v>
      </c>
      <c r="L593" s="354" t="s">
        <v>166</v>
      </c>
    </row>
    <row r="594" spans="5:12" ht="15" customHeight="1">
      <c r="E594" s="356" t="s">
        <v>313</v>
      </c>
      <c r="F594" s="300" t="s">
        <v>167</v>
      </c>
      <c r="G594" s="301" t="s">
        <v>168</v>
      </c>
      <c r="H594" s="302"/>
      <c r="I594" s="302"/>
      <c r="J594" s="351"/>
      <c r="K594" s="328"/>
      <c r="L594" s="310"/>
    </row>
    <row r="595" spans="5:12" ht="15" customHeight="1">
      <c r="E595" s="356" t="s">
        <v>313</v>
      </c>
      <c r="F595" s="306"/>
      <c r="G595" s="301" t="s">
        <v>169</v>
      </c>
      <c r="H595" s="307" t="s">
        <v>170</v>
      </c>
      <c r="I595" s="307" t="s">
        <v>171</v>
      </c>
      <c r="J595" s="308">
        <v>1.5</v>
      </c>
      <c r="K595" s="309">
        <f>VLOOKUP(G595,Upah,8,FALSE)</f>
        <v>125000</v>
      </c>
      <c r="L595" s="310">
        <f>J595*K595</f>
        <v>187500</v>
      </c>
    </row>
    <row r="596" spans="5:12" ht="15" customHeight="1">
      <c r="E596" s="356" t="s">
        <v>313</v>
      </c>
      <c r="F596" s="306"/>
      <c r="G596" s="301" t="s">
        <v>308</v>
      </c>
      <c r="H596" s="307" t="s">
        <v>217</v>
      </c>
      <c r="I596" s="307" t="s">
        <v>171</v>
      </c>
      <c r="J596" s="308">
        <v>0.75</v>
      </c>
      <c r="K596" s="309">
        <f>VLOOKUP(G596,Upah,8,FALSE)</f>
        <v>150000</v>
      </c>
      <c r="L596" s="310">
        <f>J596*K596</f>
        <v>112500</v>
      </c>
    </row>
    <row r="597" spans="5:12" ht="15" customHeight="1">
      <c r="E597" s="356" t="s">
        <v>313</v>
      </c>
      <c r="F597" s="306"/>
      <c r="G597" s="301" t="s">
        <v>174</v>
      </c>
      <c r="H597" s="307" t="s">
        <v>175</v>
      </c>
      <c r="I597" s="307" t="s">
        <v>171</v>
      </c>
      <c r="J597" s="308">
        <v>7.4999999999999997E-2</v>
      </c>
      <c r="K597" s="309">
        <f>VLOOKUP(G597,Upah,8,FALSE)</f>
        <v>165000</v>
      </c>
      <c r="L597" s="310">
        <f>J597*K597</f>
        <v>12375</v>
      </c>
    </row>
    <row r="598" spans="5:12" ht="15" customHeight="1" thickBot="1">
      <c r="E598" s="356" t="s">
        <v>313</v>
      </c>
      <c r="F598" s="306"/>
      <c r="G598" s="301" t="s">
        <v>176</v>
      </c>
      <c r="H598" s="313" t="s">
        <v>177</v>
      </c>
      <c r="I598" s="307" t="s">
        <v>171</v>
      </c>
      <c r="J598" s="308">
        <v>7.4999999999999997E-2</v>
      </c>
      <c r="K598" s="309">
        <f>VLOOKUP(G598,Upah,8,FALSE)</f>
        <v>170000</v>
      </c>
      <c r="L598" s="310">
        <f>J598*K598</f>
        <v>12750</v>
      </c>
    </row>
    <row r="599" spans="5:12" ht="15" customHeight="1" thickBot="1">
      <c r="E599" s="356" t="s">
        <v>313</v>
      </c>
      <c r="F599" s="316"/>
      <c r="G599" s="317"/>
      <c r="H599" s="318"/>
      <c r="I599" s="318"/>
      <c r="J599" s="319" t="s">
        <v>178</v>
      </c>
      <c r="K599" s="320"/>
      <c r="L599" s="321">
        <f>SUM(L595:L598)</f>
        <v>325125</v>
      </c>
    </row>
    <row r="600" spans="5:12" ht="15" customHeight="1">
      <c r="E600" s="356" t="s">
        <v>313</v>
      </c>
      <c r="F600" s="300" t="s">
        <v>179</v>
      </c>
      <c r="G600" s="301" t="s">
        <v>180</v>
      </c>
      <c r="H600" s="302"/>
      <c r="I600" s="302"/>
      <c r="J600" s="351"/>
      <c r="K600" s="328">
        <v>0</v>
      </c>
      <c r="L600" s="310">
        <f>J600*K600</f>
        <v>0</v>
      </c>
    </row>
    <row r="601" spans="5:12" ht="15" customHeight="1">
      <c r="E601" s="356" t="s">
        <v>313</v>
      </c>
      <c r="F601" s="306"/>
      <c r="G601" s="301" t="s">
        <v>247</v>
      </c>
      <c r="H601" s="302"/>
      <c r="I601" s="307" t="s">
        <v>44</v>
      </c>
      <c r="J601" s="308">
        <v>1.2</v>
      </c>
      <c r="K601" s="328">
        <f>VLOOKUP(G601,Bahan,6,FALSE)</f>
        <v>421500</v>
      </c>
      <c r="L601" s="310">
        <f>J601*K601</f>
        <v>505800</v>
      </c>
    </row>
    <row r="602" spans="5:12" ht="15" customHeight="1">
      <c r="E602" s="356" t="s">
        <v>313</v>
      </c>
      <c r="F602" s="306"/>
      <c r="G602" s="301" t="s">
        <v>183</v>
      </c>
      <c r="H602" s="302"/>
      <c r="I602" s="307" t="s">
        <v>45</v>
      </c>
      <c r="J602" s="308">
        <v>117</v>
      </c>
      <c r="K602" s="328">
        <f>VLOOKUP(G602,Bahan,6,FALSE)</f>
        <v>1880</v>
      </c>
      <c r="L602" s="310">
        <f>J602*K602</f>
        <v>219960</v>
      </c>
    </row>
    <row r="603" spans="5:12" ht="15" customHeight="1" thickBot="1">
      <c r="E603" s="356" t="s">
        <v>313</v>
      </c>
      <c r="F603" s="306"/>
      <c r="G603" s="301" t="s">
        <v>296</v>
      </c>
      <c r="H603" s="302"/>
      <c r="I603" s="307" t="s">
        <v>44</v>
      </c>
      <c r="J603" s="308">
        <v>0.56100000000000005</v>
      </c>
      <c r="K603" s="328">
        <f>VLOOKUP(G603,Bahan,6,FALSE)</f>
        <v>253510</v>
      </c>
      <c r="L603" s="310">
        <f>J603*K603</f>
        <v>142219.11000000002</v>
      </c>
    </row>
    <row r="604" spans="5:12" ht="15" customHeight="1" thickBot="1">
      <c r="E604" s="356" t="s">
        <v>313</v>
      </c>
      <c r="F604" s="316"/>
      <c r="G604" s="317"/>
      <c r="H604" s="318"/>
      <c r="I604" s="318"/>
      <c r="J604" s="319" t="s">
        <v>189</v>
      </c>
      <c r="K604" s="320"/>
      <c r="L604" s="321">
        <f>SUM(L600:L603)</f>
        <v>867979.11</v>
      </c>
    </row>
    <row r="605" spans="5:12" ht="15" customHeight="1" thickBot="1">
      <c r="E605" s="356" t="s">
        <v>313</v>
      </c>
      <c r="F605" s="300" t="s">
        <v>190</v>
      </c>
      <c r="G605" s="301" t="s">
        <v>191</v>
      </c>
      <c r="H605" s="302"/>
      <c r="I605" s="302"/>
      <c r="J605" s="351"/>
      <c r="K605" s="328">
        <v>0</v>
      </c>
      <c r="L605" s="310">
        <f>J605*K605</f>
        <v>0</v>
      </c>
    </row>
    <row r="606" spans="5:12" ht="15" customHeight="1" thickBot="1">
      <c r="E606" s="356" t="s">
        <v>313</v>
      </c>
      <c r="F606" s="316"/>
      <c r="G606" s="317"/>
      <c r="H606" s="318"/>
      <c r="I606" s="318"/>
      <c r="J606" s="319" t="s">
        <v>192</v>
      </c>
      <c r="K606" s="320"/>
      <c r="L606" s="321">
        <f>L605</f>
        <v>0</v>
      </c>
    </row>
    <row r="607" spans="5:12" ht="15" customHeight="1">
      <c r="E607" s="356" t="s">
        <v>313</v>
      </c>
      <c r="F607" s="344" t="s">
        <v>193</v>
      </c>
      <c r="G607" s="345" t="s">
        <v>194</v>
      </c>
      <c r="H607" s="346"/>
      <c r="I607" s="346"/>
      <c r="J607" s="347"/>
      <c r="K607" s="348">
        <v>0</v>
      </c>
      <c r="L607" s="310">
        <f>SUM(L595:L606)/2</f>
        <v>1193104.1100000001</v>
      </c>
    </row>
    <row r="608" spans="5:12" ht="15" customHeight="1" thickBot="1">
      <c r="E608" s="356" t="s">
        <v>313</v>
      </c>
      <c r="F608" s="331" t="s">
        <v>195</v>
      </c>
      <c r="G608" s="332" t="s">
        <v>196</v>
      </c>
      <c r="H608" s="333"/>
      <c r="I608" s="333"/>
      <c r="J608" s="350">
        <v>0.1</v>
      </c>
      <c r="K608" s="335"/>
      <c r="L608" s="330">
        <f>J608*L607</f>
        <v>119310.41100000002</v>
      </c>
    </row>
    <row r="609" spans="5:13" ht="15" customHeight="1" thickBot="1">
      <c r="E609" s="356" t="s">
        <v>313</v>
      </c>
      <c r="F609" s="340" t="s">
        <v>197</v>
      </c>
      <c r="G609" s="341" t="s">
        <v>198</v>
      </c>
      <c r="H609" s="318"/>
      <c r="I609" s="318"/>
      <c r="J609" s="342"/>
      <c r="K609" s="320">
        <v>0</v>
      </c>
      <c r="L609" s="321">
        <f>ROUNDDOWN(L607+L608,0)</f>
        <v>1312414</v>
      </c>
    </row>
    <row r="610" spans="5:13" ht="15" customHeight="1">
      <c r="F610" s="298"/>
      <c r="G610" s="298"/>
      <c r="J610" s="343"/>
    </row>
    <row r="611" spans="5:13" ht="15" customHeight="1" thickBot="1">
      <c r="E611" s="356" t="s">
        <v>315</v>
      </c>
      <c r="F611" s="298" t="s">
        <v>316</v>
      </c>
      <c r="J611" s="343"/>
      <c r="M611" s="299">
        <f>L628</f>
        <v>1265060</v>
      </c>
    </row>
    <row r="612" spans="5:13" ht="15" customHeight="1" thickBot="1">
      <c r="E612" s="356" t="s">
        <v>315</v>
      </c>
      <c r="F612" s="340" t="s">
        <v>136</v>
      </c>
      <c r="G612" s="341" t="s">
        <v>162</v>
      </c>
      <c r="H612" s="352" t="s">
        <v>163</v>
      </c>
      <c r="I612" s="352" t="s">
        <v>138</v>
      </c>
      <c r="J612" s="353" t="s">
        <v>164</v>
      </c>
      <c r="K612" s="341" t="s">
        <v>165</v>
      </c>
      <c r="L612" s="354" t="s">
        <v>166</v>
      </c>
    </row>
    <row r="613" spans="5:13" ht="15" customHeight="1">
      <c r="E613" s="356" t="s">
        <v>315</v>
      </c>
      <c r="F613" s="300" t="s">
        <v>167</v>
      </c>
      <c r="G613" s="301" t="s">
        <v>168</v>
      </c>
      <c r="H613" s="302"/>
      <c r="I613" s="302"/>
      <c r="J613" s="351"/>
      <c r="K613" s="328"/>
      <c r="L613" s="310"/>
    </row>
    <row r="614" spans="5:13" ht="15" customHeight="1">
      <c r="E614" s="356" t="s">
        <v>315</v>
      </c>
      <c r="F614" s="306"/>
      <c r="G614" s="301" t="s">
        <v>169</v>
      </c>
      <c r="H614" s="307" t="s">
        <v>170</v>
      </c>
      <c r="I614" s="307" t="s">
        <v>171</v>
      </c>
      <c r="J614" s="308">
        <v>1.5</v>
      </c>
      <c r="K614" s="309">
        <f>VLOOKUP(G614,Upah,8,FALSE)</f>
        <v>125000</v>
      </c>
      <c r="L614" s="310">
        <f>J614*K614</f>
        <v>187500</v>
      </c>
    </row>
    <row r="615" spans="5:13" ht="15" customHeight="1">
      <c r="E615" s="356" t="s">
        <v>315</v>
      </c>
      <c r="F615" s="306"/>
      <c r="G615" s="301" t="s">
        <v>308</v>
      </c>
      <c r="H615" s="307" t="s">
        <v>217</v>
      </c>
      <c r="I615" s="307" t="s">
        <v>171</v>
      </c>
      <c r="J615" s="308">
        <v>0.75</v>
      </c>
      <c r="K615" s="309">
        <f>VLOOKUP(G615,Upah,8,FALSE)</f>
        <v>150000</v>
      </c>
      <c r="L615" s="310">
        <f>J615*K615</f>
        <v>112500</v>
      </c>
    </row>
    <row r="616" spans="5:13" ht="15" customHeight="1">
      <c r="E616" s="356" t="s">
        <v>315</v>
      </c>
      <c r="F616" s="306"/>
      <c r="G616" s="301" t="s">
        <v>174</v>
      </c>
      <c r="H616" s="307" t="s">
        <v>175</v>
      </c>
      <c r="I616" s="307" t="s">
        <v>171</v>
      </c>
      <c r="J616" s="308">
        <v>7.4999999999999997E-2</v>
      </c>
      <c r="K616" s="309">
        <f>VLOOKUP(G616,Upah,8,FALSE)</f>
        <v>165000</v>
      </c>
      <c r="L616" s="310">
        <f>J616*K616</f>
        <v>12375</v>
      </c>
    </row>
    <row r="617" spans="5:13" ht="15" customHeight="1" thickBot="1">
      <c r="E617" s="356" t="s">
        <v>315</v>
      </c>
      <c r="F617" s="306"/>
      <c r="G617" s="301" t="s">
        <v>176</v>
      </c>
      <c r="H617" s="313" t="s">
        <v>177</v>
      </c>
      <c r="I617" s="307" t="s">
        <v>171</v>
      </c>
      <c r="J617" s="308">
        <v>7.4999999999999997E-2</v>
      </c>
      <c r="K617" s="309">
        <f>VLOOKUP(G617,Upah,8,FALSE)</f>
        <v>170000</v>
      </c>
      <c r="L617" s="310">
        <f>J617*K617</f>
        <v>12750</v>
      </c>
    </row>
    <row r="618" spans="5:13" ht="15" customHeight="1" thickBot="1">
      <c r="E618" s="356" t="s">
        <v>315</v>
      </c>
      <c r="F618" s="316"/>
      <c r="G618" s="317"/>
      <c r="H618" s="318"/>
      <c r="I618" s="318"/>
      <c r="J618" s="319" t="s">
        <v>178</v>
      </c>
      <c r="K618" s="320"/>
      <c r="L618" s="321">
        <f>SUM(L614:L617)</f>
        <v>325125</v>
      </c>
    </row>
    <row r="619" spans="5:13" ht="15" customHeight="1">
      <c r="E619" s="356" t="s">
        <v>315</v>
      </c>
      <c r="F619" s="300" t="s">
        <v>179</v>
      </c>
      <c r="G619" s="301" t="s">
        <v>180</v>
      </c>
      <c r="H619" s="302"/>
      <c r="I619" s="302"/>
      <c r="J619" s="351"/>
      <c r="K619" s="328">
        <v>0</v>
      </c>
      <c r="L619" s="310">
        <f>J619*K619</f>
        <v>0</v>
      </c>
    </row>
    <row r="620" spans="5:13" ht="15" customHeight="1">
      <c r="E620" s="356" t="s">
        <v>315</v>
      </c>
      <c r="F620" s="306"/>
      <c r="G620" s="301" t="s">
        <v>247</v>
      </c>
      <c r="H620" s="302"/>
      <c r="I620" s="307" t="s">
        <v>44</v>
      </c>
      <c r="J620" s="308">
        <v>1.2</v>
      </c>
      <c r="K620" s="328">
        <f>VLOOKUP(G620,Bahan,6,FALSE)</f>
        <v>421500</v>
      </c>
      <c r="L620" s="310">
        <f>J620*K620</f>
        <v>505800</v>
      </c>
    </row>
    <row r="621" spans="5:13" ht="15" customHeight="1">
      <c r="E621" s="356" t="s">
        <v>315</v>
      </c>
      <c r="F621" s="306"/>
      <c r="G621" s="301" t="s">
        <v>183</v>
      </c>
      <c r="H621" s="302"/>
      <c r="I621" s="307" t="s">
        <v>45</v>
      </c>
      <c r="J621" s="308">
        <v>91</v>
      </c>
      <c r="K621" s="328">
        <f>VLOOKUP(G621,Bahan,6,FALSE)</f>
        <v>1880</v>
      </c>
      <c r="L621" s="310">
        <f>J621*K621</f>
        <v>171080</v>
      </c>
    </row>
    <row r="622" spans="5:13" ht="15" customHeight="1" thickBot="1">
      <c r="E622" s="356" t="s">
        <v>315</v>
      </c>
      <c r="F622" s="306"/>
      <c r="G622" s="301" t="s">
        <v>296</v>
      </c>
      <c r="H622" s="302"/>
      <c r="I622" s="307" t="s">
        <v>44</v>
      </c>
      <c r="J622" s="308">
        <v>0.58399999999999996</v>
      </c>
      <c r="K622" s="328">
        <f>VLOOKUP(G622,Bahan,6,FALSE)</f>
        <v>253510</v>
      </c>
      <c r="L622" s="310">
        <f>J622*K622</f>
        <v>148049.84</v>
      </c>
    </row>
    <row r="623" spans="5:13" ht="15" customHeight="1" thickBot="1">
      <c r="E623" s="356" t="s">
        <v>315</v>
      </c>
      <c r="F623" s="316"/>
      <c r="G623" s="317"/>
      <c r="H623" s="318"/>
      <c r="I623" s="318"/>
      <c r="J623" s="319" t="s">
        <v>189</v>
      </c>
      <c r="K623" s="320"/>
      <c r="L623" s="321">
        <f>SUM(L619:L622)</f>
        <v>824929.84</v>
      </c>
    </row>
    <row r="624" spans="5:13" ht="15" customHeight="1" thickBot="1">
      <c r="E624" s="356" t="s">
        <v>315</v>
      </c>
      <c r="F624" s="300" t="s">
        <v>190</v>
      </c>
      <c r="G624" s="301" t="s">
        <v>191</v>
      </c>
      <c r="H624" s="302"/>
      <c r="I624" s="302"/>
      <c r="J624" s="351"/>
      <c r="K624" s="328">
        <v>0</v>
      </c>
      <c r="L624" s="310">
        <f>J624*K624</f>
        <v>0</v>
      </c>
    </row>
    <row r="625" spans="5:13" ht="15" customHeight="1" thickBot="1">
      <c r="E625" s="356" t="s">
        <v>315</v>
      </c>
      <c r="F625" s="316"/>
      <c r="G625" s="317"/>
      <c r="H625" s="318"/>
      <c r="I625" s="318"/>
      <c r="J625" s="319" t="s">
        <v>192</v>
      </c>
      <c r="K625" s="320"/>
      <c r="L625" s="321">
        <f>L624</f>
        <v>0</v>
      </c>
    </row>
    <row r="626" spans="5:13" ht="15" customHeight="1">
      <c r="E626" s="356" t="s">
        <v>315</v>
      </c>
      <c r="F626" s="344" t="s">
        <v>193</v>
      </c>
      <c r="G626" s="345" t="s">
        <v>194</v>
      </c>
      <c r="H626" s="346"/>
      <c r="I626" s="346"/>
      <c r="J626" s="347"/>
      <c r="K626" s="348">
        <v>0</v>
      </c>
      <c r="L626" s="310">
        <f>SUM(L614:L625)/2</f>
        <v>1150054.8400000001</v>
      </c>
    </row>
    <row r="627" spans="5:13" ht="15" customHeight="1" thickBot="1">
      <c r="E627" s="356" t="s">
        <v>315</v>
      </c>
      <c r="F627" s="331" t="s">
        <v>195</v>
      </c>
      <c r="G627" s="332" t="s">
        <v>196</v>
      </c>
      <c r="H627" s="333"/>
      <c r="I627" s="333"/>
      <c r="J627" s="350">
        <v>0.1</v>
      </c>
      <c r="K627" s="335"/>
      <c r="L627" s="330">
        <f>J627*L626</f>
        <v>115005.48400000001</v>
      </c>
    </row>
    <row r="628" spans="5:13" ht="15" customHeight="1" thickBot="1">
      <c r="E628" s="356" t="s">
        <v>315</v>
      </c>
      <c r="F628" s="340" t="s">
        <v>197</v>
      </c>
      <c r="G628" s="341" t="s">
        <v>198</v>
      </c>
      <c r="H628" s="318"/>
      <c r="I628" s="318"/>
      <c r="J628" s="342"/>
      <c r="K628" s="320">
        <v>0</v>
      </c>
      <c r="L628" s="321">
        <f>ROUNDDOWN(L626+L627,0)</f>
        <v>1265060</v>
      </c>
    </row>
    <row r="629" spans="5:13" ht="15" customHeight="1">
      <c r="F629" s="298"/>
      <c r="G629" s="298"/>
      <c r="J629" s="343"/>
    </row>
    <row r="630" spans="5:13" ht="15" customHeight="1" thickBot="1">
      <c r="E630" s="356" t="s">
        <v>317</v>
      </c>
      <c r="F630" s="298" t="s">
        <v>318</v>
      </c>
      <c r="J630" s="343"/>
      <c r="M630" s="299">
        <f>L648</f>
        <v>1444343</v>
      </c>
    </row>
    <row r="631" spans="5:13" ht="15" customHeight="1" thickBot="1">
      <c r="E631" s="356" t="s">
        <v>317</v>
      </c>
      <c r="F631" s="340" t="s">
        <v>136</v>
      </c>
      <c r="G631" s="341" t="s">
        <v>162</v>
      </c>
      <c r="H631" s="352" t="s">
        <v>163</v>
      </c>
      <c r="I631" s="352" t="s">
        <v>138</v>
      </c>
      <c r="J631" s="353" t="s">
        <v>164</v>
      </c>
      <c r="K631" s="341" t="s">
        <v>165</v>
      </c>
      <c r="L631" s="354" t="s">
        <v>166</v>
      </c>
    </row>
    <row r="632" spans="5:13" ht="15" customHeight="1">
      <c r="E632" s="356" t="s">
        <v>317</v>
      </c>
      <c r="F632" s="300" t="s">
        <v>167</v>
      </c>
      <c r="G632" s="301" t="s">
        <v>168</v>
      </c>
      <c r="H632" s="302"/>
      <c r="I632" s="302"/>
      <c r="J632" s="351"/>
      <c r="K632" s="328"/>
      <c r="L632" s="310"/>
    </row>
    <row r="633" spans="5:13" ht="15" customHeight="1">
      <c r="E633" s="356" t="s">
        <v>317</v>
      </c>
      <c r="F633" s="306"/>
      <c r="G633" s="301" t="s">
        <v>169</v>
      </c>
      <c r="H633" s="307" t="s">
        <v>170</v>
      </c>
      <c r="I633" s="307" t="s">
        <v>171</v>
      </c>
      <c r="J633" s="308">
        <v>1.5</v>
      </c>
      <c r="K633" s="309">
        <f>VLOOKUP(G633,Upah,8,FALSE)</f>
        <v>125000</v>
      </c>
      <c r="L633" s="310">
        <f>J633*K633</f>
        <v>187500</v>
      </c>
    </row>
    <row r="634" spans="5:13" ht="15" customHeight="1">
      <c r="E634" s="356" t="s">
        <v>317</v>
      </c>
      <c r="F634" s="306"/>
      <c r="G634" s="301" t="s">
        <v>308</v>
      </c>
      <c r="H634" s="307" t="s">
        <v>217</v>
      </c>
      <c r="I634" s="307" t="s">
        <v>171</v>
      </c>
      <c r="J634" s="308">
        <v>0.75</v>
      </c>
      <c r="K634" s="309">
        <f>VLOOKUP(G634,Upah,8,FALSE)</f>
        <v>150000</v>
      </c>
      <c r="L634" s="310">
        <f>J634*K634</f>
        <v>112500</v>
      </c>
    </row>
    <row r="635" spans="5:13" ht="15" customHeight="1">
      <c r="E635" s="356" t="s">
        <v>317</v>
      </c>
      <c r="F635" s="306"/>
      <c r="G635" s="301" t="s">
        <v>174</v>
      </c>
      <c r="H635" s="307" t="s">
        <v>175</v>
      </c>
      <c r="I635" s="307" t="s">
        <v>171</v>
      </c>
      <c r="J635" s="308">
        <v>7.4999999999999997E-2</v>
      </c>
      <c r="K635" s="309">
        <f>VLOOKUP(G635,Upah,8,FALSE)</f>
        <v>165000</v>
      </c>
      <c r="L635" s="310">
        <f>J635*K635</f>
        <v>12375</v>
      </c>
    </row>
    <row r="636" spans="5:13" ht="15" customHeight="1" thickBot="1">
      <c r="E636" s="356" t="s">
        <v>317</v>
      </c>
      <c r="F636" s="306"/>
      <c r="G636" s="301" t="s">
        <v>176</v>
      </c>
      <c r="H636" s="313" t="s">
        <v>177</v>
      </c>
      <c r="I636" s="307" t="s">
        <v>171</v>
      </c>
      <c r="J636" s="308">
        <v>7.4999999999999997E-2</v>
      </c>
      <c r="K636" s="309">
        <f>VLOOKUP(G636,Upah,8,FALSE)</f>
        <v>170000</v>
      </c>
      <c r="L636" s="310">
        <f>J636*K636</f>
        <v>12750</v>
      </c>
    </row>
    <row r="637" spans="5:13" ht="15" customHeight="1" thickBot="1">
      <c r="E637" s="356" t="s">
        <v>317</v>
      </c>
      <c r="F637" s="316"/>
      <c r="G637" s="317"/>
      <c r="H637" s="318"/>
      <c r="I637" s="318"/>
      <c r="J637" s="319" t="s">
        <v>178</v>
      </c>
      <c r="K637" s="320"/>
      <c r="L637" s="321">
        <f>SUM(L633:L636)</f>
        <v>325125</v>
      </c>
    </row>
    <row r="638" spans="5:13" ht="15" customHeight="1">
      <c r="E638" s="356" t="s">
        <v>317</v>
      </c>
      <c r="F638" s="300" t="s">
        <v>179</v>
      </c>
      <c r="G638" s="301" t="s">
        <v>180</v>
      </c>
      <c r="H638" s="302"/>
      <c r="I638" s="302"/>
      <c r="J638" s="351"/>
      <c r="K638" s="328"/>
      <c r="L638" s="310"/>
    </row>
    <row r="639" spans="5:13" ht="15" customHeight="1">
      <c r="E639" s="356" t="s">
        <v>317</v>
      </c>
      <c r="F639" s="306"/>
      <c r="G639" s="301" t="s">
        <v>247</v>
      </c>
      <c r="H639" s="302"/>
      <c r="I639" s="307" t="s">
        <v>44</v>
      </c>
      <c r="J639" s="308">
        <v>1.2</v>
      </c>
      <c r="K639" s="328">
        <f>VLOOKUP(G639,Bahan,6,FALSE)</f>
        <v>421500</v>
      </c>
      <c r="L639" s="310">
        <f>J639*K639</f>
        <v>505800</v>
      </c>
    </row>
    <row r="640" spans="5:13" ht="15" customHeight="1">
      <c r="E640" s="356" t="s">
        <v>317</v>
      </c>
      <c r="F640" s="306"/>
      <c r="G640" s="301" t="s">
        <v>295</v>
      </c>
      <c r="H640" s="302"/>
      <c r="I640" s="307" t="s">
        <v>44</v>
      </c>
      <c r="J640" s="308">
        <v>0.17</v>
      </c>
      <c r="K640" s="328">
        <f>VLOOKUP(G640,Bahan,6,FALSE)</f>
        <v>448950</v>
      </c>
      <c r="L640" s="310">
        <f>J640*K640</f>
        <v>76321.5</v>
      </c>
    </row>
    <row r="641" spans="5:13" ht="15" customHeight="1">
      <c r="E641" s="356" t="s">
        <v>317</v>
      </c>
      <c r="F641" s="306"/>
      <c r="G641" s="301" t="s">
        <v>183</v>
      </c>
      <c r="H641" s="302"/>
      <c r="I641" s="307" t="s">
        <v>45</v>
      </c>
      <c r="J641" s="308">
        <v>170</v>
      </c>
      <c r="K641" s="328">
        <f>VLOOKUP(G641,Bahan,6,FALSE)</f>
        <v>1880</v>
      </c>
      <c r="L641" s="310">
        <f>J641*K641</f>
        <v>319600</v>
      </c>
    </row>
    <row r="642" spans="5:13" ht="15" customHeight="1" thickBot="1">
      <c r="E642" s="356" t="s">
        <v>317</v>
      </c>
      <c r="F642" s="306"/>
      <c r="G642" s="301" t="s">
        <v>296</v>
      </c>
      <c r="H642" s="302"/>
      <c r="I642" s="307" t="s">
        <v>44</v>
      </c>
      <c r="J642" s="308">
        <v>0.34</v>
      </c>
      <c r="K642" s="328">
        <f>VLOOKUP(G642,Bahan,6,FALSE)</f>
        <v>253510</v>
      </c>
      <c r="L642" s="310">
        <f>J642*K642</f>
        <v>86193.400000000009</v>
      </c>
    </row>
    <row r="643" spans="5:13" ht="15" customHeight="1" thickBot="1">
      <c r="E643" s="356" t="s">
        <v>317</v>
      </c>
      <c r="F643" s="316"/>
      <c r="G643" s="317"/>
      <c r="H643" s="318"/>
      <c r="I643" s="318"/>
      <c r="J643" s="319" t="s">
        <v>189</v>
      </c>
      <c r="K643" s="320"/>
      <c r="L643" s="321">
        <f>SUM(L638:L642)</f>
        <v>987914.9</v>
      </c>
    </row>
    <row r="644" spans="5:13" ht="15" customHeight="1" thickBot="1">
      <c r="E644" s="356" t="s">
        <v>317</v>
      </c>
      <c r="F644" s="300" t="s">
        <v>190</v>
      </c>
      <c r="G644" s="301" t="s">
        <v>191</v>
      </c>
      <c r="H644" s="302"/>
      <c r="I644" s="302"/>
      <c r="J644" s="351"/>
      <c r="K644" s="328">
        <v>0</v>
      </c>
      <c r="L644" s="310">
        <f>J644*K644</f>
        <v>0</v>
      </c>
    </row>
    <row r="645" spans="5:13" ht="15" customHeight="1" thickBot="1">
      <c r="E645" s="356" t="s">
        <v>317</v>
      </c>
      <c r="F645" s="316"/>
      <c r="G645" s="317"/>
      <c r="H645" s="318"/>
      <c r="I645" s="318"/>
      <c r="J645" s="319" t="s">
        <v>192</v>
      </c>
      <c r="K645" s="320"/>
      <c r="L645" s="321">
        <f>L644</f>
        <v>0</v>
      </c>
    </row>
    <row r="646" spans="5:13" ht="15" customHeight="1">
      <c r="E646" s="356" t="s">
        <v>317</v>
      </c>
      <c r="F646" s="344" t="s">
        <v>193</v>
      </c>
      <c r="G646" s="345" t="s">
        <v>194</v>
      </c>
      <c r="H646" s="346"/>
      <c r="I646" s="346"/>
      <c r="J646" s="347"/>
      <c r="K646" s="348">
        <v>0</v>
      </c>
      <c r="L646" s="310">
        <f>SUM(L633:L645)/2</f>
        <v>1313039.8999999999</v>
      </c>
    </row>
    <row r="647" spans="5:13" ht="15" customHeight="1" thickBot="1">
      <c r="E647" s="356" t="s">
        <v>317</v>
      </c>
      <c r="F647" s="331" t="s">
        <v>195</v>
      </c>
      <c r="G647" s="332" t="s">
        <v>196</v>
      </c>
      <c r="H647" s="333"/>
      <c r="I647" s="333"/>
      <c r="J647" s="350">
        <v>0.1</v>
      </c>
      <c r="K647" s="335"/>
      <c r="L647" s="330">
        <f>J647*L646</f>
        <v>131303.99</v>
      </c>
    </row>
    <row r="648" spans="5:13" ht="15" customHeight="1" thickBot="1">
      <c r="E648" s="356" t="s">
        <v>317</v>
      </c>
      <c r="F648" s="340" t="s">
        <v>197</v>
      </c>
      <c r="G648" s="341" t="s">
        <v>198</v>
      </c>
      <c r="H648" s="318"/>
      <c r="I648" s="318"/>
      <c r="J648" s="342"/>
      <c r="K648" s="320">
        <v>0</v>
      </c>
      <c r="L648" s="321">
        <f>ROUNDDOWN(L646+L647,0)</f>
        <v>1444343</v>
      </c>
    </row>
    <row r="649" spans="5:13" ht="15" customHeight="1">
      <c r="F649" s="298"/>
      <c r="G649" s="298"/>
      <c r="J649" s="343"/>
    </row>
    <row r="650" spans="5:13" ht="15" customHeight="1" thickBot="1">
      <c r="E650" s="356" t="s">
        <v>319</v>
      </c>
      <c r="F650" s="295" t="s">
        <v>320</v>
      </c>
      <c r="J650" s="343"/>
      <c r="M650" s="299">
        <f>L668</f>
        <v>1249960</v>
      </c>
    </row>
    <row r="651" spans="5:13" ht="15" customHeight="1" thickBot="1">
      <c r="E651" s="356" t="s">
        <v>319</v>
      </c>
      <c r="F651" s="340" t="s">
        <v>136</v>
      </c>
      <c r="G651" s="341" t="s">
        <v>162</v>
      </c>
      <c r="H651" s="352" t="s">
        <v>163</v>
      </c>
      <c r="I651" s="352" t="s">
        <v>138</v>
      </c>
      <c r="J651" s="353" t="s">
        <v>164</v>
      </c>
      <c r="K651" s="341" t="s">
        <v>165</v>
      </c>
      <c r="L651" s="354" t="s">
        <v>166</v>
      </c>
    </row>
    <row r="652" spans="5:13" ht="15" customHeight="1">
      <c r="E652" s="356" t="s">
        <v>319</v>
      </c>
      <c r="F652" s="300" t="s">
        <v>167</v>
      </c>
      <c r="G652" s="301" t="s">
        <v>168</v>
      </c>
      <c r="H652" s="302"/>
      <c r="I652" s="302"/>
      <c r="J652" s="351"/>
      <c r="K652" s="328"/>
      <c r="L652" s="310"/>
    </row>
    <row r="653" spans="5:13" ht="15" customHeight="1">
      <c r="E653" s="356" t="s">
        <v>319</v>
      </c>
      <c r="F653" s="306"/>
      <c r="G653" s="301" t="s">
        <v>169</v>
      </c>
      <c r="H653" s="307" t="s">
        <v>170</v>
      </c>
      <c r="I653" s="307" t="s">
        <v>171</v>
      </c>
      <c r="J653" s="308">
        <v>1.5</v>
      </c>
      <c r="K653" s="309">
        <f>VLOOKUP(G653,Upah,8,FALSE)</f>
        <v>125000</v>
      </c>
      <c r="L653" s="310">
        <f>J653*K653</f>
        <v>187500</v>
      </c>
    </row>
    <row r="654" spans="5:13" ht="15" customHeight="1">
      <c r="E654" s="356" t="s">
        <v>319</v>
      </c>
      <c r="F654" s="306"/>
      <c r="G654" s="301" t="s">
        <v>308</v>
      </c>
      <c r="H654" s="307" t="s">
        <v>217</v>
      </c>
      <c r="I654" s="307" t="s">
        <v>171</v>
      </c>
      <c r="J654" s="308">
        <v>0.75</v>
      </c>
      <c r="K654" s="309">
        <f>VLOOKUP(G654,Upah,8,FALSE)</f>
        <v>150000</v>
      </c>
      <c r="L654" s="310">
        <f>J654*K654</f>
        <v>112500</v>
      </c>
    </row>
    <row r="655" spans="5:13" ht="15" customHeight="1">
      <c r="E655" s="356" t="s">
        <v>319</v>
      </c>
      <c r="F655" s="306"/>
      <c r="G655" s="301" t="s">
        <v>174</v>
      </c>
      <c r="H655" s="307" t="s">
        <v>175</v>
      </c>
      <c r="I655" s="307" t="s">
        <v>171</v>
      </c>
      <c r="J655" s="308">
        <v>7.4999999999999997E-2</v>
      </c>
      <c r="K655" s="309">
        <f>VLOOKUP(G655,Upah,8,FALSE)</f>
        <v>165000</v>
      </c>
      <c r="L655" s="310">
        <f>J655*K655</f>
        <v>12375</v>
      </c>
    </row>
    <row r="656" spans="5:13" ht="15" customHeight="1" thickBot="1">
      <c r="E656" s="356" t="s">
        <v>319</v>
      </c>
      <c r="F656" s="306"/>
      <c r="G656" s="301" t="s">
        <v>176</v>
      </c>
      <c r="H656" s="313" t="s">
        <v>177</v>
      </c>
      <c r="I656" s="307" t="s">
        <v>171</v>
      </c>
      <c r="J656" s="308">
        <v>7.4999999999999997E-2</v>
      </c>
      <c r="K656" s="309">
        <f>VLOOKUP(G656,Upah,8,FALSE)</f>
        <v>170000</v>
      </c>
      <c r="L656" s="310">
        <f>J656*K656</f>
        <v>12750</v>
      </c>
    </row>
    <row r="657" spans="5:13" ht="15" customHeight="1" thickBot="1">
      <c r="E657" s="356" t="s">
        <v>319</v>
      </c>
      <c r="F657" s="316"/>
      <c r="G657" s="317"/>
      <c r="H657" s="318"/>
      <c r="I657" s="318"/>
      <c r="J657" s="319" t="s">
        <v>178</v>
      </c>
      <c r="K657" s="320"/>
      <c r="L657" s="321">
        <f>SUM(L653:L656)</f>
        <v>325125</v>
      </c>
    </row>
    <row r="658" spans="5:13" ht="15" customHeight="1">
      <c r="E658" s="356" t="s">
        <v>319</v>
      </c>
      <c r="F658" s="300" t="s">
        <v>179</v>
      </c>
      <c r="G658" s="301" t="s">
        <v>180</v>
      </c>
      <c r="H658" s="302"/>
      <c r="I658" s="302"/>
      <c r="J658" s="351"/>
      <c r="K658" s="328"/>
      <c r="L658" s="310"/>
    </row>
    <row r="659" spans="5:13" ht="15" customHeight="1">
      <c r="E659" s="356" t="s">
        <v>319</v>
      </c>
      <c r="F659" s="306"/>
      <c r="G659" s="301" t="s">
        <v>247</v>
      </c>
      <c r="H659" s="302"/>
      <c r="I659" s="307" t="s">
        <v>44</v>
      </c>
      <c r="J659" s="308">
        <v>1.2</v>
      </c>
      <c r="K659" s="328">
        <f>VLOOKUP(G659,Bahan,6,FALSE)</f>
        <v>421500</v>
      </c>
      <c r="L659" s="310">
        <f>J659*K659</f>
        <v>505800</v>
      </c>
    </row>
    <row r="660" spans="5:13" ht="15" customHeight="1">
      <c r="E660" s="356" t="s">
        <v>319</v>
      </c>
      <c r="F660" s="306"/>
      <c r="G660" s="301" t="s">
        <v>183</v>
      </c>
      <c r="H660" s="302"/>
      <c r="I660" s="307" t="s">
        <v>45</v>
      </c>
      <c r="J660" s="308">
        <v>61</v>
      </c>
      <c r="K660" s="328">
        <f>VLOOKUP(G660,Bahan,6,FALSE)</f>
        <v>1880</v>
      </c>
      <c r="L660" s="310">
        <f>J660*K660</f>
        <v>114680</v>
      </c>
    </row>
    <row r="661" spans="5:13" ht="15" customHeight="1">
      <c r="E661" s="356" t="s">
        <v>319</v>
      </c>
      <c r="F661" s="306"/>
      <c r="G661" s="301" t="s">
        <v>295</v>
      </c>
      <c r="H661" s="302"/>
      <c r="I661" s="307" t="s">
        <v>44</v>
      </c>
      <c r="J661" s="308">
        <v>0.14699999999999999</v>
      </c>
      <c r="K661" s="328">
        <f>VLOOKUP(G661,Bahan,6,FALSE)</f>
        <v>448950</v>
      </c>
      <c r="L661" s="310">
        <f>J661*K661</f>
        <v>65995.649999999994</v>
      </c>
    </row>
    <row r="662" spans="5:13" ht="15" customHeight="1" thickBot="1">
      <c r="E662" s="356" t="s">
        <v>319</v>
      </c>
      <c r="F662" s="306"/>
      <c r="G662" s="301" t="s">
        <v>296</v>
      </c>
      <c r="H662" s="302"/>
      <c r="I662" s="307" t="s">
        <v>44</v>
      </c>
      <c r="J662" s="308">
        <v>0.49199999999999999</v>
      </c>
      <c r="K662" s="328">
        <f>VLOOKUP(G662,Bahan,6,FALSE)</f>
        <v>253510</v>
      </c>
      <c r="L662" s="310">
        <f>J662*K662</f>
        <v>124726.92</v>
      </c>
    </row>
    <row r="663" spans="5:13" ht="15" customHeight="1" thickBot="1">
      <c r="E663" s="356" t="s">
        <v>319</v>
      </c>
      <c r="F663" s="316"/>
      <c r="G663" s="317"/>
      <c r="H663" s="318"/>
      <c r="I663" s="318"/>
      <c r="J663" s="319" t="s">
        <v>189</v>
      </c>
      <c r="K663" s="320"/>
      <c r="L663" s="321">
        <f>SUM(L659:L662)</f>
        <v>811202.57000000007</v>
      </c>
    </row>
    <row r="664" spans="5:13" ht="15" customHeight="1" thickBot="1">
      <c r="E664" s="356" t="s">
        <v>319</v>
      </c>
      <c r="F664" s="300" t="s">
        <v>190</v>
      </c>
      <c r="G664" s="301" t="s">
        <v>191</v>
      </c>
      <c r="H664" s="302"/>
      <c r="I664" s="302"/>
      <c r="J664" s="351"/>
      <c r="K664" s="328">
        <v>0</v>
      </c>
      <c r="L664" s="310">
        <f>J664*K664</f>
        <v>0</v>
      </c>
    </row>
    <row r="665" spans="5:13" ht="15" customHeight="1" thickBot="1">
      <c r="E665" s="356" t="s">
        <v>319</v>
      </c>
      <c r="F665" s="316"/>
      <c r="G665" s="317"/>
      <c r="H665" s="318"/>
      <c r="I665" s="318"/>
      <c r="J665" s="319" t="s">
        <v>192</v>
      </c>
      <c r="K665" s="320"/>
      <c r="L665" s="321">
        <f>L664</f>
        <v>0</v>
      </c>
    </row>
    <row r="666" spans="5:13" ht="15" customHeight="1">
      <c r="E666" s="356" t="s">
        <v>319</v>
      </c>
      <c r="F666" s="344" t="s">
        <v>193</v>
      </c>
      <c r="G666" s="345" t="s">
        <v>194</v>
      </c>
      <c r="H666" s="346"/>
      <c r="I666" s="346"/>
      <c r="J666" s="347"/>
      <c r="K666" s="348">
        <v>0</v>
      </c>
      <c r="L666" s="310">
        <f>SUM(L652:L665)/2</f>
        <v>1136327.5699999998</v>
      </c>
    </row>
    <row r="667" spans="5:13" ht="15" customHeight="1" thickBot="1">
      <c r="E667" s="356" t="s">
        <v>319</v>
      </c>
      <c r="F667" s="331" t="s">
        <v>195</v>
      </c>
      <c r="G667" s="332" t="s">
        <v>196</v>
      </c>
      <c r="H667" s="333"/>
      <c r="I667" s="333"/>
      <c r="J667" s="350">
        <v>0.1</v>
      </c>
      <c r="K667" s="335"/>
      <c r="L667" s="330">
        <f>J667*L666</f>
        <v>113632.75699999998</v>
      </c>
    </row>
    <row r="668" spans="5:13" ht="15" customHeight="1" thickBot="1">
      <c r="E668" s="356" t="s">
        <v>319</v>
      </c>
      <c r="F668" s="340" t="s">
        <v>197</v>
      </c>
      <c r="G668" s="341" t="s">
        <v>198</v>
      </c>
      <c r="H668" s="318"/>
      <c r="I668" s="318"/>
      <c r="J668" s="342"/>
      <c r="K668" s="320">
        <v>0</v>
      </c>
      <c r="L668" s="321">
        <f>ROUNDDOWN(L666+L667,0)</f>
        <v>1249960</v>
      </c>
    </row>
    <row r="669" spans="5:13" ht="15" customHeight="1">
      <c r="F669" s="298"/>
      <c r="G669" s="298"/>
      <c r="J669" s="343"/>
    </row>
    <row r="670" spans="5:13" ht="15" customHeight="1" thickBot="1">
      <c r="E670" s="356" t="s">
        <v>321</v>
      </c>
      <c r="F670" s="295" t="s">
        <v>322</v>
      </c>
      <c r="J670" s="343"/>
      <c r="M670" s="299">
        <f>L688</f>
        <v>1209343</v>
      </c>
    </row>
    <row r="671" spans="5:13" ht="15" customHeight="1" thickBot="1">
      <c r="E671" s="356" t="s">
        <v>321</v>
      </c>
      <c r="F671" s="340" t="s">
        <v>136</v>
      </c>
      <c r="G671" s="341" t="s">
        <v>162</v>
      </c>
      <c r="H671" s="352" t="s">
        <v>163</v>
      </c>
      <c r="I671" s="352" t="s">
        <v>138</v>
      </c>
      <c r="J671" s="353" t="s">
        <v>164</v>
      </c>
      <c r="K671" s="341" t="s">
        <v>165</v>
      </c>
      <c r="L671" s="354" t="s">
        <v>166</v>
      </c>
    </row>
    <row r="672" spans="5:13" ht="15" customHeight="1">
      <c r="E672" s="356" t="s">
        <v>321</v>
      </c>
      <c r="F672" s="300" t="s">
        <v>167</v>
      </c>
      <c r="G672" s="301" t="s">
        <v>168</v>
      </c>
      <c r="H672" s="302"/>
      <c r="I672" s="302"/>
      <c r="J672" s="351"/>
      <c r="K672" s="328"/>
      <c r="L672" s="310"/>
    </row>
    <row r="673" spans="5:12" ht="15" customHeight="1">
      <c r="E673" s="356" t="s">
        <v>321</v>
      </c>
      <c r="F673" s="306"/>
      <c r="G673" s="301" t="s">
        <v>169</v>
      </c>
      <c r="H673" s="307" t="s">
        <v>170</v>
      </c>
      <c r="I673" s="307" t="s">
        <v>171</v>
      </c>
      <c r="J673" s="308">
        <v>1.5</v>
      </c>
      <c r="K673" s="309">
        <f>VLOOKUP(G673,Upah,8,FALSE)</f>
        <v>125000</v>
      </c>
      <c r="L673" s="310">
        <f>J673*K673</f>
        <v>187500</v>
      </c>
    </row>
    <row r="674" spans="5:12" ht="15" customHeight="1">
      <c r="E674" s="356" t="s">
        <v>321</v>
      </c>
      <c r="F674" s="306"/>
      <c r="G674" s="301" t="s">
        <v>308</v>
      </c>
      <c r="H674" s="307" t="s">
        <v>217</v>
      </c>
      <c r="I674" s="307" t="s">
        <v>171</v>
      </c>
      <c r="J674" s="308">
        <v>0.75</v>
      </c>
      <c r="K674" s="309">
        <f>VLOOKUP(G674,Upah,8,FALSE)</f>
        <v>150000</v>
      </c>
      <c r="L674" s="310">
        <f>J674*K674</f>
        <v>112500</v>
      </c>
    </row>
    <row r="675" spans="5:12" ht="15" customHeight="1">
      <c r="E675" s="356" t="s">
        <v>321</v>
      </c>
      <c r="F675" s="306"/>
      <c r="G675" s="301" t="s">
        <v>174</v>
      </c>
      <c r="H675" s="307" t="s">
        <v>175</v>
      </c>
      <c r="I675" s="307" t="s">
        <v>171</v>
      </c>
      <c r="J675" s="308">
        <v>7.4999999999999997E-2</v>
      </c>
      <c r="K675" s="309">
        <f>VLOOKUP(G675,Upah,8,FALSE)</f>
        <v>165000</v>
      </c>
      <c r="L675" s="310">
        <f>J675*K675</f>
        <v>12375</v>
      </c>
    </row>
    <row r="676" spans="5:12" ht="15" customHeight="1" thickBot="1">
      <c r="E676" s="356" t="s">
        <v>321</v>
      </c>
      <c r="F676" s="306"/>
      <c r="G676" s="301" t="s">
        <v>176</v>
      </c>
      <c r="H676" s="313" t="s">
        <v>177</v>
      </c>
      <c r="I676" s="307" t="s">
        <v>171</v>
      </c>
      <c r="J676" s="308">
        <v>7.4999999999999997E-2</v>
      </c>
      <c r="K676" s="309">
        <f>VLOOKUP(G676,Upah,8,FALSE)</f>
        <v>170000</v>
      </c>
      <c r="L676" s="310">
        <f>J676*K676</f>
        <v>12750</v>
      </c>
    </row>
    <row r="677" spans="5:12" ht="15" customHeight="1" thickBot="1">
      <c r="E677" s="356" t="s">
        <v>321</v>
      </c>
      <c r="F677" s="316"/>
      <c r="G677" s="317"/>
      <c r="H677" s="318"/>
      <c r="I677" s="318"/>
      <c r="J677" s="319" t="s">
        <v>178</v>
      </c>
      <c r="K677" s="320"/>
      <c r="L677" s="321">
        <f>SUM(L673:L676)</f>
        <v>325125</v>
      </c>
    </row>
    <row r="678" spans="5:12" ht="15" customHeight="1">
      <c r="E678" s="356" t="s">
        <v>321</v>
      </c>
      <c r="F678" s="300" t="s">
        <v>179</v>
      </c>
      <c r="G678" s="301" t="s">
        <v>180</v>
      </c>
      <c r="H678" s="302"/>
      <c r="I678" s="302"/>
      <c r="J678" s="351"/>
      <c r="K678" s="328"/>
      <c r="L678" s="310"/>
    </row>
    <row r="679" spans="5:12" ht="15" customHeight="1">
      <c r="E679" s="356" t="s">
        <v>321</v>
      </c>
      <c r="F679" s="306"/>
      <c r="G679" s="301" t="s">
        <v>247</v>
      </c>
      <c r="H679" s="302"/>
      <c r="I679" s="307" t="s">
        <v>44</v>
      </c>
      <c r="J679" s="308">
        <v>1.2</v>
      </c>
      <c r="K679" s="328">
        <f>VLOOKUP(G679,Bahan,6,FALSE)</f>
        <v>421500</v>
      </c>
      <c r="L679" s="310">
        <f>J679*K679</f>
        <v>505800</v>
      </c>
    </row>
    <row r="680" spans="5:12" ht="15" customHeight="1">
      <c r="E680" s="356" t="s">
        <v>321</v>
      </c>
      <c r="F680" s="306"/>
      <c r="G680" s="301" t="s">
        <v>183</v>
      </c>
      <c r="H680" s="302"/>
      <c r="I680" s="307" t="s">
        <v>45</v>
      </c>
      <c r="J680" s="308">
        <v>41</v>
      </c>
      <c r="K680" s="328">
        <f>VLOOKUP(G680,Bahan,6,FALSE)</f>
        <v>1880</v>
      </c>
      <c r="L680" s="310">
        <f>J680*K680</f>
        <v>77080</v>
      </c>
    </row>
    <row r="681" spans="5:12" ht="15" customHeight="1">
      <c r="E681" s="356" t="s">
        <v>321</v>
      </c>
      <c r="F681" s="306"/>
      <c r="G681" s="301" t="s">
        <v>295</v>
      </c>
      <c r="H681" s="302"/>
      <c r="I681" s="307" t="s">
        <v>44</v>
      </c>
      <c r="J681" s="308">
        <v>0.13100000000000001</v>
      </c>
      <c r="K681" s="328">
        <f>VLOOKUP(G681,Bahan,6,FALSE)</f>
        <v>448950</v>
      </c>
      <c r="L681" s="310">
        <f>J681*K681</f>
        <v>58812.450000000004</v>
      </c>
    </row>
    <row r="682" spans="5:12" ht="15" customHeight="1" thickBot="1">
      <c r="E682" s="356" t="s">
        <v>321</v>
      </c>
      <c r="F682" s="306"/>
      <c r="G682" s="301" t="s">
        <v>296</v>
      </c>
      <c r="H682" s="302"/>
      <c r="I682" s="307" t="s">
        <v>44</v>
      </c>
      <c r="J682" s="308">
        <v>0.52300000000000002</v>
      </c>
      <c r="K682" s="328">
        <f>VLOOKUP(G682,Bahan,6,FALSE)</f>
        <v>253510</v>
      </c>
      <c r="L682" s="310">
        <f>J682*K682</f>
        <v>132585.73000000001</v>
      </c>
    </row>
    <row r="683" spans="5:12" ht="15" customHeight="1" thickBot="1">
      <c r="E683" s="356" t="s">
        <v>321</v>
      </c>
      <c r="F683" s="316"/>
      <c r="G683" s="317"/>
      <c r="H683" s="318"/>
      <c r="I683" s="318"/>
      <c r="J683" s="319" t="s">
        <v>189</v>
      </c>
      <c r="K683" s="320"/>
      <c r="L683" s="321">
        <f>SUM(L679:L682)</f>
        <v>774278.17999999993</v>
      </c>
    </row>
    <row r="684" spans="5:12" ht="15" customHeight="1" thickBot="1">
      <c r="E684" s="356" t="s">
        <v>321</v>
      </c>
      <c r="F684" s="300" t="s">
        <v>190</v>
      </c>
      <c r="G684" s="301" t="s">
        <v>191</v>
      </c>
      <c r="H684" s="302"/>
      <c r="I684" s="302"/>
      <c r="J684" s="351"/>
      <c r="K684" s="328">
        <v>0</v>
      </c>
      <c r="L684" s="310">
        <f>J684*K684</f>
        <v>0</v>
      </c>
    </row>
    <row r="685" spans="5:12" ht="15" customHeight="1" thickBot="1">
      <c r="E685" s="356" t="s">
        <v>321</v>
      </c>
      <c r="F685" s="316"/>
      <c r="G685" s="317"/>
      <c r="H685" s="318"/>
      <c r="I685" s="318"/>
      <c r="J685" s="319" t="s">
        <v>192</v>
      </c>
      <c r="K685" s="320"/>
      <c r="L685" s="321">
        <f>L684</f>
        <v>0</v>
      </c>
    </row>
    <row r="686" spans="5:12" ht="15" customHeight="1">
      <c r="E686" s="356" t="s">
        <v>321</v>
      </c>
      <c r="F686" s="344" t="s">
        <v>193</v>
      </c>
      <c r="G686" s="345" t="s">
        <v>194</v>
      </c>
      <c r="H686" s="346"/>
      <c r="I686" s="346"/>
      <c r="J686" s="347"/>
      <c r="K686" s="348">
        <v>0</v>
      </c>
      <c r="L686" s="310">
        <f>SUM(L672:L685)/2</f>
        <v>1099403.18</v>
      </c>
    </row>
    <row r="687" spans="5:12" ht="15" customHeight="1" thickBot="1">
      <c r="E687" s="356" t="s">
        <v>321</v>
      </c>
      <c r="F687" s="331" t="s">
        <v>195</v>
      </c>
      <c r="G687" s="332" t="s">
        <v>196</v>
      </c>
      <c r="H687" s="333"/>
      <c r="I687" s="333"/>
      <c r="J687" s="350">
        <v>0.1</v>
      </c>
      <c r="K687" s="335"/>
      <c r="L687" s="330">
        <f>J687*L686</f>
        <v>109940.318</v>
      </c>
    </row>
    <row r="688" spans="5:12" ht="15" customHeight="1" thickBot="1">
      <c r="E688" s="356" t="s">
        <v>321</v>
      </c>
      <c r="F688" s="340" t="s">
        <v>197</v>
      </c>
      <c r="G688" s="341" t="s">
        <v>198</v>
      </c>
      <c r="H688" s="318"/>
      <c r="I688" s="318"/>
      <c r="J688" s="342"/>
      <c r="K688" s="320">
        <v>0</v>
      </c>
      <c r="L688" s="321">
        <f>ROUNDDOWN(L686+L687,0)</f>
        <v>1209343</v>
      </c>
    </row>
    <row r="689" spans="5:13" ht="15" customHeight="1">
      <c r="F689" s="298"/>
      <c r="G689" s="298"/>
      <c r="J689" s="343"/>
    </row>
    <row r="690" spans="5:13" ht="15" customHeight="1" thickBot="1">
      <c r="E690" s="356" t="s">
        <v>323</v>
      </c>
      <c r="F690" s="295" t="s">
        <v>324</v>
      </c>
      <c r="J690" s="343"/>
      <c r="M690" s="299">
        <f>L706</f>
        <v>885381</v>
      </c>
    </row>
    <row r="691" spans="5:13" ht="15" customHeight="1" thickBot="1">
      <c r="E691" s="356" t="s">
        <v>323</v>
      </c>
      <c r="F691" s="340" t="s">
        <v>136</v>
      </c>
      <c r="G691" s="341" t="s">
        <v>162</v>
      </c>
      <c r="H691" s="352" t="s">
        <v>163</v>
      </c>
      <c r="I691" s="352" t="s">
        <v>138</v>
      </c>
      <c r="J691" s="353" t="s">
        <v>164</v>
      </c>
      <c r="K691" s="341" t="s">
        <v>165</v>
      </c>
      <c r="L691" s="354" t="s">
        <v>166</v>
      </c>
    </row>
    <row r="692" spans="5:13" ht="15" customHeight="1">
      <c r="E692" s="356" t="s">
        <v>323</v>
      </c>
      <c r="F692" s="300" t="s">
        <v>167</v>
      </c>
      <c r="G692" s="301" t="s">
        <v>168</v>
      </c>
      <c r="H692" s="302"/>
      <c r="I692" s="302"/>
      <c r="J692" s="351"/>
      <c r="K692" s="328"/>
      <c r="L692" s="310"/>
    </row>
    <row r="693" spans="5:13" ht="15" customHeight="1">
      <c r="E693" s="356" t="s">
        <v>323</v>
      </c>
      <c r="F693" s="306"/>
      <c r="G693" s="301" t="s">
        <v>169</v>
      </c>
      <c r="H693" s="307" t="s">
        <v>170</v>
      </c>
      <c r="I693" s="307" t="s">
        <v>171</v>
      </c>
      <c r="J693" s="308">
        <v>0.78</v>
      </c>
      <c r="K693" s="309">
        <f>VLOOKUP(G693,Upah,8,FALSE)</f>
        <v>125000</v>
      </c>
      <c r="L693" s="310">
        <f>J693*K693</f>
        <v>97500</v>
      </c>
    </row>
    <row r="694" spans="5:13" ht="15" customHeight="1">
      <c r="E694" s="356" t="s">
        <v>323</v>
      </c>
      <c r="F694" s="306"/>
      <c r="G694" s="301" t="s">
        <v>308</v>
      </c>
      <c r="H694" s="307" t="s">
        <v>217</v>
      </c>
      <c r="I694" s="307" t="s">
        <v>171</v>
      </c>
      <c r="J694" s="308">
        <v>0.39</v>
      </c>
      <c r="K694" s="309">
        <f>VLOOKUP(G694,Upah,8,FALSE)</f>
        <v>150000</v>
      </c>
      <c r="L694" s="310">
        <f>J694*K694</f>
        <v>58500</v>
      </c>
    </row>
    <row r="695" spans="5:13" ht="15" customHeight="1">
      <c r="E695" s="356" t="s">
        <v>323</v>
      </c>
      <c r="F695" s="306"/>
      <c r="G695" s="301" t="s">
        <v>174</v>
      </c>
      <c r="H695" s="307" t="s">
        <v>175</v>
      </c>
      <c r="I695" s="307" t="s">
        <v>171</v>
      </c>
      <c r="J695" s="308">
        <v>3.9E-2</v>
      </c>
      <c r="K695" s="309">
        <f>VLOOKUP(G695,Upah,8,FALSE)</f>
        <v>165000</v>
      </c>
      <c r="L695" s="310">
        <f>J695*K695</f>
        <v>6435</v>
      </c>
    </row>
    <row r="696" spans="5:13" ht="15" customHeight="1" thickBot="1">
      <c r="E696" s="356" t="s">
        <v>323</v>
      </c>
      <c r="F696" s="306"/>
      <c r="G696" s="301" t="s">
        <v>176</v>
      </c>
      <c r="H696" s="313" t="s">
        <v>177</v>
      </c>
      <c r="I696" s="307" t="s">
        <v>171</v>
      </c>
      <c r="J696" s="308">
        <v>3.9E-2</v>
      </c>
      <c r="K696" s="309">
        <f>VLOOKUP(G696,Upah,8,FALSE)</f>
        <v>170000</v>
      </c>
      <c r="L696" s="310">
        <f>J696*K696</f>
        <v>6630</v>
      </c>
    </row>
    <row r="697" spans="5:13" ht="15" customHeight="1" thickBot="1">
      <c r="E697" s="356" t="s">
        <v>323</v>
      </c>
      <c r="F697" s="316"/>
      <c r="G697" s="317"/>
      <c r="H697" s="318"/>
      <c r="I697" s="318"/>
      <c r="J697" s="319" t="s">
        <v>178</v>
      </c>
      <c r="K697" s="320"/>
      <c r="L697" s="321">
        <f>SUM(L693:L696)</f>
        <v>169065</v>
      </c>
    </row>
    <row r="698" spans="5:13" ht="15" customHeight="1">
      <c r="E698" s="356" t="s">
        <v>323</v>
      </c>
      <c r="F698" s="300" t="s">
        <v>179</v>
      </c>
      <c r="G698" s="301" t="s">
        <v>180</v>
      </c>
      <c r="H698" s="302"/>
      <c r="I698" s="302"/>
      <c r="J698" s="351"/>
      <c r="K698" s="328"/>
      <c r="L698" s="310"/>
    </row>
    <row r="699" spans="5:13" ht="15" customHeight="1">
      <c r="E699" s="356" t="s">
        <v>323</v>
      </c>
      <c r="F699" s="306"/>
      <c r="G699" s="301" t="s">
        <v>247</v>
      </c>
      <c r="H699" s="302"/>
      <c r="I699" s="307" t="s">
        <v>44</v>
      </c>
      <c r="J699" s="308">
        <v>1.2</v>
      </c>
      <c r="K699" s="328">
        <f>VLOOKUP(G699,Bahan,6,FALSE)</f>
        <v>421500</v>
      </c>
      <c r="L699" s="310">
        <f>J699*K699</f>
        <v>505800</v>
      </c>
    </row>
    <row r="700" spans="5:13" ht="15" customHeight="1" thickBot="1">
      <c r="E700" s="356" t="s">
        <v>323</v>
      </c>
      <c r="F700" s="306"/>
      <c r="G700" s="301" t="s">
        <v>291</v>
      </c>
      <c r="H700" s="302"/>
      <c r="I700" s="307" t="s">
        <v>44</v>
      </c>
      <c r="J700" s="308">
        <v>0.432</v>
      </c>
      <c r="K700" s="328">
        <f>VLOOKUP(G700,Bahan,6,FALSE)</f>
        <v>300990</v>
      </c>
      <c r="L700" s="310">
        <f>J700*K700</f>
        <v>130027.68</v>
      </c>
    </row>
    <row r="701" spans="5:13" ht="15" customHeight="1" thickBot="1">
      <c r="E701" s="356" t="s">
        <v>323</v>
      </c>
      <c r="F701" s="316"/>
      <c r="G701" s="317"/>
      <c r="H701" s="318"/>
      <c r="I701" s="318"/>
      <c r="J701" s="319" t="s">
        <v>189</v>
      </c>
      <c r="K701" s="320"/>
      <c r="L701" s="321">
        <f>SUM(L699:L700)</f>
        <v>635827.67999999993</v>
      </c>
    </row>
    <row r="702" spans="5:13" ht="15" customHeight="1" thickBot="1">
      <c r="E702" s="356" t="s">
        <v>323</v>
      </c>
      <c r="F702" s="300" t="s">
        <v>190</v>
      </c>
      <c r="G702" s="301" t="s">
        <v>191</v>
      </c>
      <c r="H702" s="302"/>
      <c r="I702" s="302"/>
      <c r="J702" s="351"/>
      <c r="K702" s="328">
        <v>0</v>
      </c>
      <c r="L702" s="310">
        <f>J702*K702</f>
        <v>0</v>
      </c>
    </row>
    <row r="703" spans="5:13" ht="15" customHeight="1" thickBot="1">
      <c r="E703" s="356" t="s">
        <v>323</v>
      </c>
      <c r="F703" s="316"/>
      <c r="G703" s="317"/>
      <c r="H703" s="318"/>
      <c r="I703" s="318"/>
      <c r="J703" s="319" t="s">
        <v>192</v>
      </c>
      <c r="K703" s="320"/>
      <c r="L703" s="321">
        <f>L702</f>
        <v>0</v>
      </c>
    </row>
    <row r="704" spans="5:13" ht="15" customHeight="1">
      <c r="E704" s="356" t="s">
        <v>323</v>
      </c>
      <c r="F704" s="344" t="s">
        <v>193</v>
      </c>
      <c r="G704" s="345" t="s">
        <v>194</v>
      </c>
      <c r="H704" s="346"/>
      <c r="I704" s="346"/>
      <c r="J704" s="347"/>
      <c r="K704" s="348">
        <v>0</v>
      </c>
      <c r="L704" s="310">
        <f>SUM(L693:L703)/2</f>
        <v>804892.67999999993</v>
      </c>
    </row>
    <row r="705" spans="5:13" ht="15" customHeight="1" thickBot="1">
      <c r="E705" s="356" t="s">
        <v>323</v>
      </c>
      <c r="F705" s="331" t="s">
        <v>195</v>
      </c>
      <c r="G705" s="332" t="s">
        <v>196</v>
      </c>
      <c r="H705" s="333"/>
      <c r="I705" s="333"/>
      <c r="J705" s="350">
        <v>0.1</v>
      </c>
      <c r="K705" s="335"/>
      <c r="L705" s="330">
        <f>J705*L704</f>
        <v>80489.267999999996</v>
      </c>
    </row>
    <row r="706" spans="5:13" ht="15" customHeight="1" thickBot="1">
      <c r="E706" s="356" t="s">
        <v>323</v>
      </c>
      <c r="F706" s="340" t="s">
        <v>197</v>
      </c>
      <c r="G706" s="341" t="s">
        <v>198</v>
      </c>
      <c r="H706" s="318"/>
      <c r="I706" s="318"/>
      <c r="J706" s="342"/>
      <c r="K706" s="320">
        <v>0</v>
      </c>
      <c r="L706" s="321">
        <f>ROUNDDOWN(L704+L705,0)</f>
        <v>885381</v>
      </c>
    </row>
    <row r="707" spans="5:13" ht="15" customHeight="1">
      <c r="F707" s="298"/>
      <c r="G707" s="298"/>
      <c r="J707" s="343"/>
    </row>
    <row r="708" spans="5:13" ht="15" customHeight="1" thickBot="1">
      <c r="E708" s="356" t="s">
        <v>325</v>
      </c>
      <c r="F708" s="298" t="s">
        <v>326</v>
      </c>
      <c r="J708" s="343"/>
      <c r="M708" s="299">
        <f>L728</f>
        <v>3552398</v>
      </c>
    </row>
    <row r="709" spans="5:13" ht="15" customHeight="1" thickBot="1">
      <c r="E709" s="356" t="s">
        <v>325</v>
      </c>
      <c r="F709" s="340" t="s">
        <v>136</v>
      </c>
      <c r="G709" s="341" t="s">
        <v>162</v>
      </c>
      <c r="H709" s="352" t="s">
        <v>163</v>
      </c>
      <c r="I709" s="352" t="s">
        <v>138</v>
      </c>
      <c r="J709" s="353" t="s">
        <v>164</v>
      </c>
      <c r="K709" s="341" t="s">
        <v>165</v>
      </c>
      <c r="L709" s="354" t="s">
        <v>166</v>
      </c>
    </row>
    <row r="710" spans="5:13" ht="15" customHeight="1">
      <c r="E710" s="356" t="s">
        <v>325</v>
      </c>
      <c r="F710" s="300" t="s">
        <v>167</v>
      </c>
      <c r="G710" s="301" t="s">
        <v>168</v>
      </c>
      <c r="H710" s="302"/>
      <c r="I710" s="302"/>
      <c r="J710" s="351"/>
      <c r="K710" s="328"/>
      <c r="L710" s="310"/>
    </row>
    <row r="711" spans="5:13" ht="15" customHeight="1">
      <c r="E711" s="356" t="s">
        <v>325</v>
      </c>
      <c r="F711" s="306"/>
      <c r="G711" s="301" t="s">
        <v>169</v>
      </c>
      <c r="H711" s="307" t="s">
        <v>170</v>
      </c>
      <c r="I711" s="307" t="s">
        <v>171</v>
      </c>
      <c r="J711" s="308">
        <v>3.4</v>
      </c>
      <c r="K711" s="309">
        <f>VLOOKUP(G711,Upah,8,FALSE)</f>
        <v>125000</v>
      </c>
      <c r="L711" s="310">
        <f>J711*K711</f>
        <v>425000</v>
      </c>
    </row>
    <row r="712" spans="5:13" ht="15" customHeight="1">
      <c r="E712" s="356" t="s">
        <v>325</v>
      </c>
      <c r="F712" s="306"/>
      <c r="G712" s="301" t="s">
        <v>308</v>
      </c>
      <c r="H712" s="307" t="s">
        <v>217</v>
      </c>
      <c r="I712" s="307" t="s">
        <v>171</v>
      </c>
      <c r="J712" s="308">
        <v>0.85</v>
      </c>
      <c r="K712" s="309">
        <f>VLOOKUP(G712,Upah,8,FALSE)</f>
        <v>150000</v>
      </c>
      <c r="L712" s="310">
        <f>J712*K712</f>
        <v>127500</v>
      </c>
    </row>
    <row r="713" spans="5:13" ht="15" customHeight="1">
      <c r="E713" s="356" t="s">
        <v>325</v>
      </c>
      <c r="F713" s="306"/>
      <c r="G713" s="301" t="s">
        <v>174</v>
      </c>
      <c r="H713" s="307" t="s">
        <v>175</v>
      </c>
      <c r="I713" s="307" t="s">
        <v>171</v>
      </c>
      <c r="J713" s="308">
        <v>8.5000000000000006E-2</v>
      </c>
      <c r="K713" s="309">
        <f>VLOOKUP(G713,Upah,8,FALSE)</f>
        <v>165000</v>
      </c>
      <c r="L713" s="310">
        <f>J713*K713</f>
        <v>14025.000000000002</v>
      </c>
    </row>
    <row r="714" spans="5:13" ht="15" customHeight="1" thickBot="1">
      <c r="E714" s="356" t="s">
        <v>325</v>
      </c>
      <c r="F714" s="306"/>
      <c r="G714" s="301" t="s">
        <v>176</v>
      </c>
      <c r="H714" s="313" t="s">
        <v>177</v>
      </c>
      <c r="I714" s="307" t="s">
        <v>171</v>
      </c>
      <c r="J714" s="308">
        <v>0.17</v>
      </c>
      <c r="K714" s="309">
        <f>VLOOKUP(G714,Upah,8,FALSE)</f>
        <v>170000</v>
      </c>
      <c r="L714" s="310">
        <f>J714*K714</f>
        <v>28900.000000000004</v>
      </c>
    </row>
    <row r="715" spans="5:13" ht="15" customHeight="1" thickBot="1">
      <c r="E715" s="356" t="s">
        <v>325</v>
      </c>
      <c r="F715" s="316"/>
      <c r="G715" s="317"/>
      <c r="H715" s="318"/>
      <c r="I715" s="318"/>
      <c r="J715" s="319" t="s">
        <v>178</v>
      </c>
      <c r="K715" s="320"/>
      <c r="L715" s="321">
        <f>SUM(L711:L714)</f>
        <v>595425</v>
      </c>
    </row>
    <row r="716" spans="5:13" ht="15" customHeight="1">
      <c r="E716" s="356" t="s">
        <v>325</v>
      </c>
      <c r="F716" s="300" t="s">
        <v>179</v>
      </c>
      <c r="G716" s="301" t="s">
        <v>180</v>
      </c>
      <c r="H716" s="302"/>
      <c r="I716" s="302"/>
      <c r="J716" s="351"/>
      <c r="K716" s="328"/>
      <c r="L716" s="310"/>
    </row>
    <row r="717" spans="5:13" ht="15" customHeight="1">
      <c r="E717" s="356" t="s">
        <v>325</v>
      </c>
      <c r="F717" s="306"/>
      <c r="G717" s="301" t="s">
        <v>247</v>
      </c>
      <c r="H717" s="302"/>
      <c r="I717" s="307" t="s">
        <v>44</v>
      </c>
      <c r="J717" s="308">
        <v>0.48</v>
      </c>
      <c r="K717" s="328">
        <f t="shared" ref="K717:K722" si="13">VLOOKUP(G717,Bahan,6,FALSE)</f>
        <v>421500</v>
      </c>
      <c r="L717" s="310">
        <f t="shared" ref="L717:L722" si="14">J717*K717</f>
        <v>202320</v>
      </c>
    </row>
    <row r="718" spans="5:13" ht="15" customHeight="1">
      <c r="E718" s="356" t="s">
        <v>325</v>
      </c>
      <c r="F718" s="306"/>
      <c r="G718" s="301" t="s">
        <v>183</v>
      </c>
      <c r="H718" s="302"/>
      <c r="I718" s="307" t="s">
        <v>45</v>
      </c>
      <c r="J718" s="308">
        <v>194</v>
      </c>
      <c r="K718" s="328">
        <f t="shared" si="13"/>
        <v>1880</v>
      </c>
      <c r="L718" s="310">
        <f t="shared" si="14"/>
        <v>364720</v>
      </c>
    </row>
    <row r="719" spans="5:13" ht="15" customHeight="1">
      <c r="E719" s="356" t="s">
        <v>325</v>
      </c>
      <c r="F719" s="306"/>
      <c r="G719" s="301" t="s">
        <v>1705</v>
      </c>
      <c r="H719" s="302"/>
      <c r="I719" s="307" t="s">
        <v>44</v>
      </c>
      <c r="J719" s="308">
        <v>0.312</v>
      </c>
      <c r="K719" s="328">
        <f t="shared" si="13"/>
        <v>350000</v>
      </c>
      <c r="L719" s="310">
        <f t="shared" si="14"/>
        <v>109200</v>
      </c>
    </row>
    <row r="720" spans="5:13" ht="15" customHeight="1">
      <c r="E720" s="356" t="s">
        <v>325</v>
      </c>
      <c r="F720" s="306"/>
      <c r="G720" s="301" t="s">
        <v>1703</v>
      </c>
      <c r="H720" s="302"/>
      <c r="I720" s="307" t="s">
        <v>44</v>
      </c>
      <c r="J720" s="308">
        <v>0.46800000000000003</v>
      </c>
      <c r="K720" s="328">
        <f t="shared" si="13"/>
        <v>600000</v>
      </c>
      <c r="L720" s="310">
        <f t="shared" si="14"/>
        <v>280800</v>
      </c>
    </row>
    <row r="721" spans="5:13" ht="15" customHeight="1">
      <c r="E721" s="356" t="s">
        <v>325</v>
      </c>
      <c r="F721" s="306"/>
      <c r="G721" s="301" t="s">
        <v>327</v>
      </c>
      <c r="H721" s="302"/>
      <c r="I721" s="307" t="s">
        <v>45</v>
      </c>
      <c r="J721" s="308">
        <v>126</v>
      </c>
      <c r="K721" s="328">
        <f t="shared" si="13"/>
        <v>12920</v>
      </c>
      <c r="L721" s="310">
        <f t="shared" si="14"/>
        <v>1627920</v>
      </c>
    </row>
    <row r="722" spans="5:13" ht="15" customHeight="1" thickBot="1">
      <c r="E722" s="356" t="s">
        <v>325</v>
      </c>
      <c r="F722" s="306"/>
      <c r="G722" s="301" t="s">
        <v>328</v>
      </c>
      <c r="H722" s="302"/>
      <c r="I722" s="307" t="s">
        <v>45</v>
      </c>
      <c r="J722" s="308">
        <v>1.8</v>
      </c>
      <c r="K722" s="328">
        <f t="shared" si="13"/>
        <v>27260</v>
      </c>
      <c r="L722" s="310">
        <f t="shared" si="14"/>
        <v>49068</v>
      </c>
    </row>
    <row r="723" spans="5:13" ht="15" customHeight="1" thickBot="1">
      <c r="E723" s="356" t="s">
        <v>325</v>
      </c>
      <c r="F723" s="316"/>
      <c r="G723" s="317"/>
      <c r="H723" s="318"/>
      <c r="I723" s="318"/>
      <c r="J723" s="319" t="s">
        <v>189</v>
      </c>
      <c r="K723" s="320"/>
      <c r="L723" s="321">
        <f>SUM(L717:L722)</f>
        <v>2634028</v>
      </c>
    </row>
    <row r="724" spans="5:13" ht="15" customHeight="1" thickBot="1">
      <c r="E724" s="356" t="s">
        <v>325</v>
      </c>
      <c r="F724" s="300" t="s">
        <v>190</v>
      </c>
      <c r="G724" s="301" t="s">
        <v>191</v>
      </c>
      <c r="H724" s="302"/>
      <c r="I724" s="302"/>
      <c r="J724" s="351"/>
      <c r="K724" s="328">
        <v>0</v>
      </c>
      <c r="L724" s="310">
        <f>J724*K724</f>
        <v>0</v>
      </c>
    </row>
    <row r="725" spans="5:13" ht="15" customHeight="1" thickBot="1">
      <c r="E725" s="356" t="s">
        <v>325</v>
      </c>
      <c r="F725" s="316"/>
      <c r="G725" s="317"/>
      <c r="H725" s="318"/>
      <c r="I725" s="318"/>
      <c r="J725" s="319" t="s">
        <v>192</v>
      </c>
      <c r="K725" s="320"/>
      <c r="L725" s="321">
        <f>L724</f>
        <v>0</v>
      </c>
    </row>
    <row r="726" spans="5:13" ht="15" customHeight="1">
      <c r="E726" s="356" t="s">
        <v>325</v>
      </c>
      <c r="F726" s="344" t="s">
        <v>193</v>
      </c>
      <c r="G726" s="345" t="s">
        <v>194</v>
      </c>
      <c r="H726" s="346"/>
      <c r="I726" s="346"/>
      <c r="J726" s="347"/>
      <c r="K726" s="348">
        <v>0</v>
      </c>
      <c r="L726" s="310">
        <f>SUM(L711:L725)/2</f>
        <v>3229453</v>
      </c>
    </row>
    <row r="727" spans="5:13" ht="15" customHeight="1" thickBot="1">
      <c r="E727" s="356" t="s">
        <v>325</v>
      </c>
      <c r="F727" s="331" t="s">
        <v>195</v>
      </c>
      <c r="G727" s="332" t="s">
        <v>196</v>
      </c>
      <c r="H727" s="333"/>
      <c r="I727" s="333"/>
      <c r="J727" s="350">
        <v>0.1</v>
      </c>
      <c r="K727" s="335"/>
      <c r="L727" s="330">
        <f>J727*L726</f>
        <v>322945.30000000005</v>
      </c>
    </row>
    <row r="728" spans="5:13" ht="15" customHeight="1" thickBot="1">
      <c r="E728" s="356" t="s">
        <v>325</v>
      </c>
      <c r="F728" s="340" t="s">
        <v>197</v>
      </c>
      <c r="G728" s="341" t="s">
        <v>198</v>
      </c>
      <c r="H728" s="318"/>
      <c r="I728" s="318"/>
      <c r="J728" s="342"/>
      <c r="K728" s="320">
        <v>0</v>
      </c>
      <c r="L728" s="321">
        <f>ROUNDDOWN(L726+L727,0)</f>
        <v>3552398</v>
      </c>
    </row>
    <row r="729" spans="5:13" ht="15" customHeight="1">
      <c r="F729" s="298"/>
      <c r="G729" s="298"/>
      <c r="J729" s="343"/>
    </row>
    <row r="730" spans="5:13" ht="15" customHeight="1" thickBot="1">
      <c r="E730" s="356" t="s">
        <v>329</v>
      </c>
      <c r="F730" s="295" t="s">
        <v>330</v>
      </c>
      <c r="J730" s="343"/>
      <c r="M730" s="299">
        <f>L748</f>
        <v>1537607</v>
      </c>
    </row>
    <row r="731" spans="5:13" ht="15" customHeight="1" thickBot="1">
      <c r="E731" s="356" t="s">
        <v>329</v>
      </c>
      <c r="F731" s="340" t="s">
        <v>136</v>
      </c>
      <c r="G731" s="341" t="s">
        <v>162</v>
      </c>
      <c r="H731" s="352" t="s">
        <v>163</v>
      </c>
      <c r="I731" s="352" t="s">
        <v>138</v>
      </c>
      <c r="J731" s="353" t="s">
        <v>164</v>
      </c>
      <c r="K731" s="341" t="s">
        <v>165</v>
      </c>
      <c r="L731" s="354" t="s">
        <v>166</v>
      </c>
    </row>
    <row r="732" spans="5:13" ht="15" customHeight="1">
      <c r="E732" s="356" t="s">
        <v>329</v>
      </c>
      <c r="F732" s="300" t="s">
        <v>167</v>
      </c>
      <c r="G732" s="301" t="s">
        <v>168</v>
      </c>
      <c r="H732" s="302"/>
      <c r="I732" s="302"/>
      <c r="J732" s="351"/>
      <c r="K732" s="328"/>
      <c r="L732" s="310"/>
    </row>
    <row r="733" spans="5:13" ht="15" customHeight="1">
      <c r="E733" s="356" t="s">
        <v>329</v>
      </c>
      <c r="F733" s="306"/>
      <c r="G733" s="301" t="s">
        <v>169</v>
      </c>
      <c r="H733" s="307" t="s">
        <v>170</v>
      </c>
      <c r="I733" s="307" t="s">
        <v>171</v>
      </c>
      <c r="J733" s="308">
        <v>2.4</v>
      </c>
      <c r="K733" s="309">
        <f>VLOOKUP(G733,Upah,8,FALSE)</f>
        <v>125000</v>
      </c>
      <c r="L733" s="310">
        <f>J733*K733</f>
        <v>300000</v>
      </c>
    </row>
    <row r="734" spans="5:13" ht="15" customHeight="1">
      <c r="E734" s="356" t="s">
        <v>329</v>
      </c>
      <c r="F734" s="306"/>
      <c r="G734" s="301" t="s">
        <v>308</v>
      </c>
      <c r="H734" s="307" t="s">
        <v>217</v>
      </c>
      <c r="I734" s="307" t="s">
        <v>171</v>
      </c>
      <c r="J734" s="308">
        <v>0.8</v>
      </c>
      <c r="K734" s="309">
        <f>VLOOKUP(G734,Upah,8,FALSE)</f>
        <v>150000</v>
      </c>
      <c r="L734" s="310">
        <f>J734*K734</f>
        <v>120000</v>
      </c>
    </row>
    <row r="735" spans="5:13" ht="15" customHeight="1">
      <c r="E735" s="356" t="s">
        <v>329</v>
      </c>
      <c r="F735" s="306"/>
      <c r="G735" s="301" t="s">
        <v>174</v>
      </c>
      <c r="H735" s="307" t="s">
        <v>175</v>
      </c>
      <c r="I735" s="307" t="s">
        <v>171</v>
      </c>
      <c r="J735" s="308">
        <v>0.08</v>
      </c>
      <c r="K735" s="309">
        <f>VLOOKUP(G735,Upah,8,FALSE)</f>
        <v>165000</v>
      </c>
      <c r="L735" s="310">
        <f>J735*K735</f>
        <v>13200</v>
      </c>
    </row>
    <row r="736" spans="5:13" ht="15" customHeight="1" thickBot="1">
      <c r="E736" s="356" t="s">
        <v>329</v>
      </c>
      <c r="F736" s="306"/>
      <c r="G736" s="301" t="s">
        <v>176</v>
      </c>
      <c r="H736" s="313" t="s">
        <v>177</v>
      </c>
      <c r="I736" s="307" t="s">
        <v>171</v>
      </c>
      <c r="J736" s="308">
        <v>0.11899999999999999</v>
      </c>
      <c r="K736" s="309">
        <f>VLOOKUP(G736,Upah,8,FALSE)</f>
        <v>170000</v>
      </c>
      <c r="L736" s="310">
        <f>J736*K736</f>
        <v>20230</v>
      </c>
    </row>
    <row r="737" spans="4:13" ht="15" customHeight="1" thickBot="1">
      <c r="E737" s="356" t="s">
        <v>329</v>
      </c>
      <c r="F737" s="316"/>
      <c r="G737" s="317"/>
      <c r="H737" s="318"/>
      <c r="I737" s="318"/>
      <c r="J737" s="319" t="s">
        <v>178</v>
      </c>
      <c r="K737" s="320"/>
      <c r="L737" s="321">
        <f>SUM(L733:L736)</f>
        <v>453430</v>
      </c>
    </row>
    <row r="738" spans="4:13" ht="15" customHeight="1">
      <c r="E738" s="356" t="s">
        <v>329</v>
      </c>
      <c r="F738" s="300" t="s">
        <v>179</v>
      </c>
      <c r="G738" s="301" t="s">
        <v>180</v>
      </c>
      <c r="H738" s="302"/>
      <c r="I738" s="302"/>
      <c r="J738" s="351"/>
      <c r="K738" s="328"/>
      <c r="L738" s="310"/>
    </row>
    <row r="739" spans="4:13" ht="15" customHeight="1">
      <c r="E739" s="356" t="s">
        <v>329</v>
      </c>
      <c r="F739" s="306"/>
      <c r="G739" s="301" t="s">
        <v>247</v>
      </c>
      <c r="H739" s="302"/>
      <c r="I739" s="307" t="s">
        <v>44</v>
      </c>
      <c r="J739" s="308">
        <v>0.45</v>
      </c>
      <c r="K739" s="328">
        <f>VLOOKUP(G739,Bahan,6,FALSE)</f>
        <v>421500</v>
      </c>
      <c r="L739" s="310">
        <f>J739*K739</f>
        <v>189675</v>
      </c>
    </row>
    <row r="740" spans="4:13" ht="15" customHeight="1">
      <c r="E740" s="356" t="s">
        <v>329</v>
      </c>
      <c r="F740" s="306"/>
      <c r="G740" s="301" t="s">
        <v>183</v>
      </c>
      <c r="H740" s="302"/>
      <c r="I740" s="307" t="s">
        <v>45</v>
      </c>
      <c r="J740" s="308">
        <v>194</v>
      </c>
      <c r="K740" s="328">
        <f>VLOOKUP(G740,Bahan,6,FALSE)</f>
        <v>1880</v>
      </c>
      <c r="L740" s="310">
        <f>J740*K740</f>
        <v>364720</v>
      </c>
    </row>
    <row r="741" spans="4:13" ht="15" customHeight="1">
      <c r="E741" s="356" t="s">
        <v>329</v>
      </c>
      <c r="F741" s="306"/>
      <c r="G741" s="301" t="s">
        <v>1705</v>
      </c>
      <c r="H741" s="302"/>
      <c r="I741" s="307" t="s">
        <v>44</v>
      </c>
      <c r="J741" s="308">
        <v>0.312</v>
      </c>
      <c r="K741" s="328">
        <f>VLOOKUP(G741,Bahan,6,FALSE)</f>
        <v>350000</v>
      </c>
      <c r="L741" s="310">
        <f>J741*K741</f>
        <v>109200</v>
      </c>
    </row>
    <row r="742" spans="4:13" ht="15" customHeight="1" thickBot="1">
      <c r="E742" s="356" t="s">
        <v>329</v>
      </c>
      <c r="F742" s="306"/>
      <c r="G742" s="301" t="s">
        <v>1703</v>
      </c>
      <c r="H742" s="302"/>
      <c r="I742" s="307" t="s">
        <v>44</v>
      </c>
      <c r="J742" s="308">
        <v>0.46800000000000003</v>
      </c>
      <c r="K742" s="328">
        <f>VLOOKUP(G742,Bahan,6,FALSE)</f>
        <v>600000</v>
      </c>
      <c r="L742" s="310">
        <f>J742*K742</f>
        <v>280800</v>
      </c>
    </row>
    <row r="743" spans="4:13" ht="15" customHeight="1" thickBot="1">
      <c r="E743" s="356" t="s">
        <v>329</v>
      </c>
      <c r="F743" s="316"/>
      <c r="G743" s="317"/>
      <c r="H743" s="318"/>
      <c r="I743" s="318"/>
      <c r="J743" s="319" t="s">
        <v>189</v>
      </c>
      <c r="K743" s="320"/>
      <c r="L743" s="321">
        <f>SUM(L739:L742)</f>
        <v>944395</v>
      </c>
    </row>
    <row r="744" spans="4:13" ht="15" customHeight="1" thickBot="1">
      <c r="E744" s="356" t="s">
        <v>329</v>
      </c>
      <c r="F744" s="300" t="s">
        <v>190</v>
      </c>
      <c r="G744" s="301" t="s">
        <v>191</v>
      </c>
      <c r="H744" s="302"/>
      <c r="I744" s="302"/>
      <c r="J744" s="351"/>
      <c r="K744" s="328">
        <v>0</v>
      </c>
      <c r="L744" s="310">
        <f>J744*K744</f>
        <v>0</v>
      </c>
    </row>
    <row r="745" spans="4:13" ht="15" customHeight="1" thickBot="1">
      <c r="E745" s="356" t="s">
        <v>329</v>
      </c>
      <c r="F745" s="316"/>
      <c r="G745" s="317"/>
      <c r="H745" s="318"/>
      <c r="I745" s="318"/>
      <c r="J745" s="319" t="s">
        <v>192</v>
      </c>
      <c r="K745" s="320"/>
      <c r="L745" s="321">
        <f>L744</f>
        <v>0</v>
      </c>
    </row>
    <row r="746" spans="4:13" ht="15" customHeight="1">
      <c r="E746" s="356" t="s">
        <v>329</v>
      </c>
      <c r="F746" s="344" t="s">
        <v>193</v>
      </c>
      <c r="G746" s="345" t="s">
        <v>194</v>
      </c>
      <c r="H746" s="346"/>
      <c r="I746" s="346"/>
      <c r="J746" s="347"/>
      <c r="K746" s="348">
        <v>0</v>
      </c>
      <c r="L746" s="310">
        <f>SUM(L732:L745)/2</f>
        <v>1397825</v>
      </c>
    </row>
    <row r="747" spans="4:13" ht="15" customHeight="1" thickBot="1">
      <c r="E747" s="356" t="s">
        <v>329</v>
      </c>
      <c r="F747" s="331" t="s">
        <v>195</v>
      </c>
      <c r="G747" s="332" t="s">
        <v>196</v>
      </c>
      <c r="H747" s="333"/>
      <c r="I747" s="333"/>
      <c r="J747" s="350">
        <v>0.1</v>
      </c>
      <c r="K747" s="335"/>
      <c r="L747" s="330">
        <f>J747*L746</f>
        <v>139782.5</v>
      </c>
    </row>
    <row r="748" spans="4:13" ht="15" customHeight="1" thickBot="1">
      <c r="E748" s="356" t="s">
        <v>329</v>
      </c>
      <c r="F748" s="340" t="s">
        <v>197</v>
      </c>
      <c r="G748" s="341" t="s">
        <v>198</v>
      </c>
      <c r="H748" s="318"/>
      <c r="I748" s="318"/>
      <c r="J748" s="342"/>
      <c r="K748" s="320">
        <v>0</v>
      </c>
      <c r="L748" s="321">
        <f>ROUNDDOWN(L746+L747,0)</f>
        <v>1537607</v>
      </c>
    </row>
    <row r="749" spans="4:13" ht="15" customHeight="1">
      <c r="F749" s="298"/>
      <c r="G749" s="298"/>
      <c r="J749" s="343"/>
    </row>
    <row r="750" spans="4:13" ht="15" customHeight="1">
      <c r="D750" s="560" t="s">
        <v>331</v>
      </c>
      <c r="E750" s="358" t="s">
        <v>332</v>
      </c>
      <c r="J750" s="343"/>
    </row>
    <row r="751" spans="4:13" ht="15" customHeight="1" thickBot="1">
      <c r="E751" s="356" t="s">
        <v>333</v>
      </c>
      <c r="F751" s="295" t="s">
        <v>334</v>
      </c>
      <c r="J751" s="343"/>
      <c r="M751" s="299">
        <f>L769</f>
        <v>1548761</v>
      </c>
    </row>
    <row r="752" spans="4:13" ht="15" customHeight="1" thickBot="1">
      <c r="F752" s="340" t="s">
        <v>136</v>
      </c>
      <c r="G752" s="341" t="s">
        <v>162</v>
      </c>
      <c r="H752" s="352" t="s">
        <v>163</v>
      </c>
      <c r="I752" s="352" t="s">
        <v>138</v>
      </c>
      <c r="J752" s="353" t="s">
        <v>164</v>
      </c>
      <c r="K752" s="341" t="s">
        <v>165</v>
      </c>
      <c r="L752" s="354" t="s">
        <v>166</v>
      </c>
    </row>
    <row r="753" spans="6:12" ht="15" customHeight="1">
      <c r="F753" s="300" t="s">
        <v>167</v>
      </c>
      <c r="G753" s="301" t="s">
        <v>168</v>
      </c>
      <c r="H753" s="302"/>
      <c r="I753" s="302"/>
      <c r="J753" s="351"/>
      <c r="K753" s="328"/>
      <c r="L753" s="310"/>
    </row>
    <row r="754" spans="6:12" ht="15" customHeight="1">
      <c r="F754" s="306"/>
      <c r="G754" s="301" t="s">
        <v>169</v>
      </c>
      <c r="H754" s="307" t="s">
        <v>170</v>
      </c>
      <c r="I754" s="307" t="s">
        <v>171</v>
      </c>
      <c r="J754" s="308">
        <v>1.65</v>
      </c>
      <c r="K754" s="309">
        <f>VLOOKUP(G754,Upah,8,FALSE)</f>
        <v>125000</v>
      </c>
      <c r="L754" s="310">
        <f>J754*K754</f>
        <v>206250</v>
      </c>
    </row>
    <row r="755" spans="6:12" ht="15" customHeight="1">
      <c r="F755" s="306"/>
      <c r="G755" s="301" t="s">
        <v>308</v>
      </c>
      <c r="H755" s="307" t="s">
        <v>217</v>
      </c>
      <c r="I755" s="307" t="s">
        <v>171</v>
      </c>
      <c r="J755" s="308">
        <v>0.27500000000000002</v>
      </c>
      <c r="K755" s="309">
        <f>VLOOKUP(G755,Upah,8,FALSE)</f>
        <v>150000</v>
      </c>
      <c r="L755" s="310">
        <f>J755*K755</f>
        <v>41250</v>
      </c>
    </row>
    <row r="756" spans="6:12" ht="15" customHeight="1">
      <c r="F756" s="306"/>
      <c r="G756" s="301" t="s">
        <v>174</v>
      </c>
      <c r="H756" s="307" t="s">
        <v>175</v>
      </c>
      <c r="I756" s="307" t="s">
        <v>171</v>
      </c>
      <c r="J756" s="308">
        <v>2.8000000000000001E-2</v>
      </c>
      <c r="K756" s="309">
        <f>VLOOKUP(G756,Upah,8,FALSE)</f>
        <v>165000</v>
      </c>
      <c r="L756" s="310">
        <f>J756*K756</f>
        <v>4620</v>
      </c>
    </row>
    <row r="757" spans="6:12" ht="15" customHeight="1" thickBot="1">
      <c r="F757" s="306"/>
      <c r="G757" s="301" t="s">
        <v>176</v>
      </c>
      <c r="H757" s="313" t="s">
        <v>177</v>
      </c>
      <c r="I757" s="307" t="s">
        <v>171</v>
      </c>
      <c r="J757" s="308">
        <v>8.3000000000000004E-2</v>
      </c>
      <c r="K757" s="309">
        <f>VLOOKUP(G757,Upah,8,FALSE)</f>
        <v>170000</v>
      </c>
      <c r="L757" s="310">
        <f>J757*K757</f>
        <v>14110</v>
      </c>
    </row>
    <row r="758" spans="6:12" ht="15" customHeight="1" thickBot="1">
      <c r="F758" s="316"/>
      <c r="G758" s="317"/>
      <c r="H758" s="318"/>
      <c r="I758" s="318"/>
      <c r="J758" s="319" t="s">
        <v>178</v>
      </c>
      <c r="K758" s="320"/>
      <c r="L758" s="321">
        <f>SUM(L754:L757)</f>
        <v>266230</v>
      </c>
    </row>
    <row r="759" spans="6:12" ht="15" customHeight="1">
      <c r="F759" s="300" t="s">
        <v>179</v>
      </c>
      <c r="G759" s="301" t="s">
        <v>180</v>
      </c>
      <c r="H759" s="302"/>
      <c r="I759" s="302"/>
      <c r="J759" s="351"/>
      <c r="K759" s="328"/>
      <c r="L759" s="310"/>
    </row>
    <row r="760" spans="6:12" ht="15" customHeight="1">
      <c r="F760" s="306"/>
      <c r="G760" s="301" t="s">
        <v>183</v>
      </c>
      <c r="H760" s="302"/>
      <c r="I760" s="307" t="s">
        <v>38</v>
      </c>
      <c r="J760" s="308">
        <v>247</v>
      </c>
      <c r="K760" s="328">
        <f>VLOOKUP(G760,Bahan,6,FALSE)</f>
        <v>1880</v>
      </c>
      <c r="L760" s="310">
        <f>J760*K760</f>
        <v>464360</v>
      </c>
    </row>
    <row r="761" spans="6:12" ht="15" customHeight="1">
      <c r="F761" s="306"/>
      <c r="G761" s="301" t="s">
        <v>1706</v>
      </c>
      <c r="H761" s="302"/>
      <c r="I761" s="307" t="s">
        <v>38</v>
      </c>
      <c r="J761" s="308">
        <v>869</v>
      </c>
      <c r="K761" s="328">
        <f>VLOOKUP(G761,Bahan,6,FALSE)</f>
        <v>250</v>
      </c>
      <c r="L761" s="310">
        <f>J761*K761</f>
        <v>217250</v>
      </c>
    </row>
    <row r="762" spans="6:12" ht="15" customHeight="1">
      <c r="F762" s="306"/>
      <c r="G762" s="301" t="s">
        <v>1701</v>
      </c>
      <c r="H762" s="302"/>
      <c r="I762" s="307" t="s">
        <v>38</v>
      </c>
      <c r="J762" s="308">
        <v>999</v>
      </c>
      <c r="K762" s="328">
        <f>VLOOKUP(G762,Bahan,6,FALSE)</f>
        <v>444.44444444444446</v>
      </c>
      <c r="L762" s="310">
        <f>J762*K762</f>
        <v>444000</v>
      </c>
    </row>
    <row r="763" spans="6:12" ht="15" customHeight="1" thickBot="1">
      <c r="F763" s="306"/>
      <c r="G763" s="301" t="s">
        <v>335</v>
      </c>
      <c r="H763" s="302"/>
      <c r="I763" s="307" t="s">
        <v>188</v>
      </c>
      <c r="J763" s="308">
        <v>215</v>
      </c>
      <c r="K763" s="328">
        <f>VLOOKUP(G763,Bahan,6,FALSE)</f>
        <v>75</v>
      </c>
      <c r="L763" s="310">
        <f>J763*K763</f>
        <v>16125</v>
      </c>
    </row>
    <row r="764" spans="6:12" ht="15" customHeight="1" thickBot="1">
      <c r="F764" s="316"/>
      <c r="G764" s="317"/>
      <c r="H764" s="318"/>
      <c r="I764" s="318"/>
      <c r="J764" s="319" t="s">
        <v>189</v>
      </c>
      <c r="K764" s="320"/>
      <c r="L764" s="321">
        <f>SUM(L760:L763)</f>
        <v>1141735</v>
      </c>
    </row>
    <row r="765" spans="6:12" ht="15" customHeight="1" thickBot="1">
      <c r="F765" s="300" t="s">
        <v>190</v>
      </c>
      <c r="G765" s="301" t="s">
        <v>191</v>
      </c>
      <c r="H765" s="302"/>
      <c r="I765" s="302"/>
      <c r="J765" s="351"/>
      <c r="K765" s="328">
        <v>0</v>
      </c>
      <c r="L765" s="310">
        <f>J765*K765</f>
        <v>0</v>
      </c>
    </row>
    <row r="766" spans="6:12" ht="15" customHeight="1" thickBot="1">
      <c r="F766" s="316"/>
      <c r="G766" s="317"/>
      <c r="H766" s="318"/>
      <c r="I766" s="318"/>
      <c r="J766" s="319" t="s">
        <v>192</v>
      </c>
      <c r="K766" s="320"/>
      <c r="L766" s="321">
        <f>L765</f>
        <v>0</v>
      </c>
    </row>
    <row r="767" spans="6:12" ht="15" customHeight="1">
      <c r="F767" s="344" t="s">
        <v>193</v>
      </c>
      <c r="G767" s="345" t="s">
        <v>194</v>
      </c>
      <c r="H767" s="346"/>
      <c r="I767" s="346"/>
      <c r="J767" s="347"/>
      <c r="K767" s="348">
        <v>0</v>
      </c>
      <c r="L767" s="310">
        <f>SUM(L752:L766)/2</f>
        <v>1407965</v>
      </c>
    </row>
    <row r="768" spans="6:12" ht="15" customHeight="1" thickBot="1">
      <c r="F768" s="331" t="s">
        <v>195</v>
      </c>
      <c r="G768" s="332" t="s">
        <v>196</v>
      </c>
      <c r="H768" s="333"/>
      <c r="I768" s="333"/>
      <c r="J768" s="350">
        <v>0.1</v>
      </c>
      <c r="K768" s="335"/>
      <c r="L768" s="330">
        <f>J768*L767</f>
        <v>140796.5</v>
      </c>
    </row>
    <row r="769" spans="5:13" ht="15" customHeight="1" thickBot="1">
      <c r="F769" s="340" t="s">
        <v>197</v>
      </c>
      <c r="G769" s="341" t="s">
        <v>198</v>
      </c>
      <c r="H769" s="318"/>
      <c r="I769" s="318"/>
      <c r="J769" s="342"/>
      <c r="K769" s="320">
        <v>0</v>
      </c>
      <c r="L769" s="321">
        <f>ROUNDDOWN(L767+L768,0)</f>
        <v>1548761</v>
      </c>
    </row>
    <row r="770" spans="5:13" ht="15" customHeight="1">
      <c r="F770" s="298"/>
      <c r="G770" s="298"/>
      <c r="J770" s="343"/>
    </row>
    <row r="771" spans="5:13" ht="15" customHeight="1" thickBot="1">
      <c r="E771" s="356" t="s">
        <v>336</v>
      </c>
      <c r="F771" s="295" t="s">
        <v>337</v>
      </c>
      <c r="J771" s="343"/>
      <c r="M771" s="299">
        <f>L789</f>
        <v>1603814</v>
      </c>
    </row>
    <row r="772" spans="5:13" ht="15" customHeight="1" thickBot="1">
      <c r="F772" s="340" t="s">
        <v>136</v>
      </c>
      <c r="G772" s="341" t="s">
        <v>162</v>
      </c>
      <c r="H772" s="352" t="s">
        <v>163</v>
      </c>
      <c r="I772" s="352" t="s">
        <v>138</v>
      </c>
      <c r="J772" s="353" t="s">
        <v>164</v>
      </c>
      <c r="K772" s="341" t="s">
        <v>165</v>
      </c>
      <c r="L772" s="354" t="s">
        <v>166</v>
      </c>
    </row>
    <row r="773" spans="5:13" ht="15" customHeight="1">
      <c r="F773" s="300" t="s">
        <v>167</v>
      </c>
      <c r="G773" s="301" t="s">
        <v>168</v>
      </c>
      <c r="H773" s="302"/>
      <c r="I773" s="302"/>
      <c r="J773" s="351"/>
      <c r="K773" s="328"/>
      <c r="L773" s="310"/>
    </row>
    <row r="774" spans="5:13" ht="15" customHeight="1">
      <c r="F774" s="306"/>
      <c r="G774" s="301" t="s">
        <v>169</v>
      </c>
      <c r="H774" s="307" t="s">
        <v>170</v>
      </c>
      <c r="I774" s="307" t="s">
        <v>171</v>
      </c>
      <c r="J774" s="308">
        <v>1.65</v>
      </c>
      <c r="K774" s="309">
        <f>VLOOKUP(G774,Upah,8,FALSE)</f>
        <v>125000</v>
      </c>
      <c r="L774" s="310">
        <f>J774*K774</f>
        <v>206250</v>
      </c>
    </row>
    <row r="775" spans="5:13" ht="15" customHeight="1">
      <c r="F775" s="306"/>
      <c r="G775" s="301" t="s">
        <v>308</v>
      </c>
      <c r="H775" s="307" t="s">
        <v>217</v>
      </c>
      <c r="I775" s="307" t="s">
        <v>171</v>
      </c>
      <c r="J775" s="308">
        <v>0.27500000000000002</v>
      </c>
      <c r="K775" s="309">
        <f>VLOOKUP(G775,Upah,8,FALSE)</f>
        <v>150000</v>
      </c>
      <c r="L775" s="310">
        <f>J775*K775</f>
        <v>41250</v>
      </c>
    </row>
    <row r="776" spans="5:13" ht="15" customHeight="1">
      <c r="F776" s="306"/>
      <c r="G776" s="301" t="s">
        <v>174</v>
      </c>
      <c r="H776" s="307" t="s">
        <v>175</v>
      </c>
      <c r="I776" s="307" t="s">
        <v>171</v>
      </c>
      <c r="J776" s="308">
        <v>2.8000000000000001E-2</v>
      </c>
      <c r="K776" s="309">
        <f>VLOOKUP(G776,Upah,8,FALSE)</f>
        <v>165000</v>
      </c>
      <c r="L776" s="310">
        <f>J776*K776</f>
        <v>4620</v>
      </c>
    </row>
    <row r="777" spans="5:13" ht="15" customHeight="1" thickBot="1">
      <c r="F777" s="306"/>
      <c r="G777" s="301" t="s">
        <v>176</v>
      </c>
      <c r="H777" s="313" t="s">
        <v>177</v>
      </c>
      <c r="I777" s="307" t="s">
        <v>171</v>
      </c>
      <c r="J777" s="308">
        <v>8.3000000000000004E-2</v>
      </c>
      <c r="K777" s="309">
        <f>VLOOKUP(G777,Upah,8,FALSE)</f>
        <v>170000</v>
      </c>
      <c r="L777" s="310">
        <f>J777*K777</f>
        <v>14110</v>
      </c>
    </row>
    <row r="778" spans="5:13" ht="15" customHeight="1" thickBot="1">
      <c r="F778" s="316"/>
      <c r="G778" s="317"/>
      <c r="H778" s="318"/>
      <c r="I778" s="318"/>
      <c r="J778" s="319" t="s">
        <v>178</v>
      </c>
      <c r="K778" s="320"/>
      <c r="L778" s="321">
        <f>SUM(L774:L777)</f>
        <v>266230</v>
      </c>
    </row>
    <row r="779" spans="5:13" ht="15" customHeight="1">
      <c r="F779" s="300" t="s">
        <v>179</v>
      </c>
      <c r="G779" s="301" t="s">
        <v>180</v>
      </c>
      <c r="H779" s="302"/>
      <c r="I779" s="302"/>
      <c r="J779" s="351"/>
      <c r="K779" s="328"/>
      <c r="L779" s="310"/>
    </row>
    <row r="780" spans="5:13" ht="15" customHeight="1">
      <c r="F780" s="306"/>
      <c r="G780" s="301" t="s">
        <v>183</v>
      </c>
      <c r="H780" s="302"/>
      <c r="I780" s="307" t="s">
        <v>38</v>
      </c>
      <c r="J780" s="308">
        <v>276</v>
      </c>
      <c r="K780" s="328">
        <f>VLOOKUP(G780,Bahan,6,FALSE)</f>
        <v>1880</v>
      </c>
      <c r="L780" s="310">
        <f>J780*K780</f>
        <v>518880</v>
      </c>
    </row>
    <row r="781" spans="5:13" ht="15" customHeight="1">
      <c r="F781" s="306"/>
      <c r="G781" s="301" t="s">
        <v>1706</v>
      </c>
      <c r="H781" s="302"/>
      <c r="I781" s="307" t="s">
        <v>38</v>
      </c>
      <c r="J781" s="308">
        <v>828</v>
      </c>
      <c r="K781" s="328">
        <f>VLOOKUP(G781,Bahan,6,FALSE)</f>
        <v>250</v>
      </c>
      <c r="L781" s="310">
        <f>J781*K781</f>
        <v>207000</v>
      </c>
    </row>
    <row r="782" spans="5:13" ht="15" customHeight="1">
      <c r="F782" s="306"/>
      <c r="G782" s="301" t="s">
        <v>1701</v>
      </c>
      <c r="H782" s="302"/>
      <c r="I782" s="307" t="s">
        <v>38</v>
      </c>
      <c r="J782" s="308">
        <v>1012</v>
      </c>
      <c r="K782" s="328">
        <f>VLOOKUP(G782,Bahan,6,FALSE)</f>
        <v>444.44444444444446</v>
      </c>
      <c r="L782" s="310">
        <f>J782*K782</f>
        <v>449777.77777777781</v>
      </c>
    </row>
    <row r="783" spans="5:13" ht="15" customHeight="1" thickBot="1">
      <c r="F783" s="306"/>
      <c r="G783" s="301" t="s">
        <v>335</v>
      </c>
      <c r="H783" s="302"/>
      <c r="I783" s="307" t="s">
        <v>188</v>
      </c>
      <c r="J783" s="308">
        <v>215</v>
      </c>
      <c r="K783" s="328">
        <f>VLOOKUP(G783,Bahan,6,FALSE)</f>
        <v>75</v>
      </c>
      <c r="L783" s="310">
        <f>J783*K783</f>
        <v>16125</v>
      </c>
    </row>
    <row r="784" spans="5:13" ht="15" customHeight="1" thickBot="1">
      <c r="F784" s="316"/>
      <c r="G784" s="317"/>
      <c r="H784" s="318"/>
      <c r="I784" s="318"/>
      <c r="J784" s="319" t="s">
        <v>189</v>
      </c>
      <c r="K784" s="320"/>
      <c r="L784" s="321">
        <f>SUM(L780:L783)</f>
        <v>1191782.7777777778</v>
      </c>
    </row>
    <row r="785" spans="5:13" ht="15" customHeight="1" thickBot="1">
      <c r="F785" s="300" t="s">
        <v>190</v>
      </c>
      <c r="G785" s="301" t="s">
        <v>191</v>
      </c>
      <c r="H785" s="302"/>
      <c r="I785" s="302"/>
      <c r="J785" s="351"/>
      <c r="K785" s="328">
        <v>0</v>
      </c>
      <c r="L785" s="310">
        <f>J785*K785</f>
        <v>0</v>
      </c>
    </row>
    <row r="786" spans="5:13" ht="15" customHeight="1" thickBot="1">
      <c r="F786" s="316"/>
      <c r="G786" s="317"/>
      <c r="H786" s="318"/>
      <c r="I786" s="318"/>
      <c r="J786" s="319" t="s">
        <v>192</v>
      </c>
      <c r="K786" s="320"/>
      <c r="L786" s="321">
        <f>L785</f>
        <v>0</v>
      </c>
    </row>
    <row r="787" spans="5:13" ht="15" customHeight="1">
      <c r="F787" s="344" t="s">
        <v>193</v>
      </c>
      <c r="G787" s="345" t="s">
        <v>194</v>
      </c>
      <c r="H787" s="346"/>
      <c r="I787" s="346"/>
      <c r="J787" s="347"/>
      <c r="K787" s="348">
        <v>0</v>
      </c>
      <c r="L787" s="310">
        <f>SUM(L773:L786)/2</f>
        <v>1458012.7777777778</v>
      </c>
    </row>
    <row r="788" spans="5:13" ht="15" customHeight="1" thickBot="1">
      <c r="F788" s="331" t="s">
        <v>195</v>
      </c>
      <c r="G788" s="332" t="s">
        <v>196</v>
      </c>
      <c r="H788" s="333"/>
      <c r="I788" s="333"/>
      <c r="J788" s="350">
        <v>0.1</v>
      </c>
      <c r="K788" s="335"/>
      <c r="L788" s="330">
        <f>J788*L787</f>
        <v>145801.27777777778</v>
      </c>
    </row>
    <row r="789" spans="5:13" ht="15" customHeight="1" thickBot="1">
      <c r="F789" s="340" t="s">
        <v>197</v>
      </c>
      <c r="G789" s="341" t="s">
        <v>198</v>
      </c>
      <c r="H789" s="318"/>
      <c r="I789" s="318"/>
      <c r="J789" s="342"/>
      <c r="K789" s="320">
        <v>0</v>
      </c>
      <c r="L789" s="321">
        <f>ROUNDDOWN(L787+L788,0)</f>
        <v>1603814</v>
      </c>
    </row>
    <row r="790" spans="5:13" ht="15" customHeight="1">
      <c r="F790" s="298"/>
      <c r="G790" s="298"/>
      <c r="J790" s="343"/>
    </row>
    <row r="791" spans="5:13" ht="15" customHeight="1" thickBot="1">
      <c r="E791" s="356" t="s">
        <v>338</v>
      </c>
      <c r="F791" s="295" t="s">
        <v>339</v>
      </c>
      <c r="J791" s="343"/>
      <c r="M791" s="299">
        <f>L809</f>
        <v>1645847</v>
      </c>
    </row>
    <row r="792" spans="5:13" ht="15" customHeight="1" thickBot="1">
      <c r="F792" s="340" t="s">
        <v>136</v>
      </c>
      <c r="G792" s="341" t="s">
        <v>162</v>
      </c>
      <c r="H792" s="352" t="s">
        <v>163</v>
      </c>
      <c r="I792" s="352" t="s">
        <v>138</v>
      </c>
      <c r="J792" s="353" t="s">
        <v>164</v>
      </c>
      <c r="K792" s="341" t="s">
        <v>165</v>
      </c>
      <c r="L792" s="354" t="s">
        <v>166</v>
      </c>
    </row>
    <row r="793" spans="5:13" ht="15" customHeight="1">
      <c r="F793" s="300" t="s">
        <v>167</v>
      </c>
      <c r="G793" s="301" t="s">
        <v>168</v>
      </c>
      <c r="H793" s="302"/>
      <c r="I793" s="302"/>
      <c r="J793" s="351"/>
      <c r="K793" s="328"/>
      <c r="L793" s="310"/>
    </row>
    <row r="794" spans="5:13" ht="15" customHeight="1">
      <c r="F794" s="306"/>
      <c r="G794" s="301" t="s">
        <v>169</v>
      </c>
      <c r="H794" s="307" t="s">
        <v>170</v>
      </c>
      <c r="I794" s="307" t="s">
        <v>171</v>
      </c>
      <c r="J794" s="308">
        <v>1.65</v>
      </c>
      <c r="K794" s="309">
        <f>VLOOKUP(G794,Upah,8,FALSE)</f>
        <v>125000</v>
      </c>
      <c r="L794" s="310">
        <f>J794*K794</f>
        <v>206250</v>
      </c>
    </row>
    <row r="795" spans="5:13" ht="15" customHeight="1">
      <c r="F795" s="306"/>
      <c r="G795" s="301" t="s">
        <v>308</v>
      </c>
      <c r="H795" s="307" t="s">
        <v>217</v>
      </c>
      <c r="I795" s="307" t="s">
        <v>171</v>
      </c>
      <c r="J795" s="308">
        <v>0.27500000000000002</v>
      </c>
      <c r="K795" s="309">
        <f>VLOOKUP(G795,Upah,8,FALSE)</f>
        <v>150000</v>
      </c>
      <c r="L795" s="310">
        <f>J795*K795</f>
        <v>41250</v>
      </c>
    </row>
    <row r="796" spans="5:13" ht="15" customHeight="1">
      <c r="F796" s="306"/>
      <c r="G796" s="301" t="s">
        <v>174</v>
      </c>
      <c r="H796" s="307" t="s">
        <v>175</v>
      </c>
      <c r="I796" s="307" t="s">
        <v>171</v>
      </c>
      <c r="J796" s="308">
        <v>2.8000000000000001E-2</v>
      </c>
      <c r="K796" s="309">
        <f>VLOOKUP(G796,Upah,8,FALSE)</f>
        <v>165000</v>
      </c>
      <c r="L796" s="310">
        <f>J796*K796</f>
        <v>4620</v>
      </c>
    </row>
    <row r="797" spans="5:13" ht="15" customHeight="1" thickBot="1">
      <c r="F797" s="306"/>
      <c r="G797" s="301" t="s">
        <v>176</v>
      </c>
      <c r="H797" s="313" t="s">
        <v>177</v>
      </c>
      <c r="I797" s="307" t="s">
        <v>171</v>
      </c>
      <c r="J797" s="308">
        <v>8.3000000000000004E-2</v>
      </c>
      <c r="K797" s="309">
        <f>VLOOKUP(G797,Upah,8,FALSE)</f>
        <v>170000</v>
      </c>
      <c r="L797" s="310">
        <f>J797*K797</f>
        <v>14110</v>
      </c>
    </row>
    <row r="798" spans="5:13" ht="15" customHeight="1" thickBot="1">
      <c r="F798" s="316"/>
      <c r="G798" s="317"/>
      <c r="H798" s="318"/>
      <c r="I798" s="318"/>
      <c r="J798" s="319" t="s">
        <v>178</v>
      </c>
      <c r="K798" s="320"/>
      <c r="L798" s="321">
        <f>SUM(L794:L797)</f>
        <v>266230</v>
      </c>
    </row>
    <row r="799" spans="5:13" ht="15" customHeight="1">
      <c r="F799" s="300" t="s">
        <v>179</v>
      </c>
      <c r="G799" s="301" t="s">
        <v>180</v>
      </c>
      <c r="H799" s="302"/>
      <c r="I799" s="302"/>
      <c r="J799" s="351"/>
      <c r="K799" s="328"/>
      <c r="L799" s="310"/>
    </row>
    <row r="800" spans="5:13" ht="15" customHeight="1">
      <c r="F800" s="306"/>
      <c r="G800" s="301" t="s">
        <v>183</v>
      </c>
      <c r="H800" s="302"/>
      <c r="I800" s="307" t="s">
        <v>38</v>
      </c>
      <c r="J800" s="308">
        <v>299</v>
      </c>
      <c r="K800" s="328">
        <f>VLOOKUP(G800,Bahan,6,FALSE)</f>
        <v>1880</v>
      </c>
      <c r="L800" s="310">
        <f>J800*K800</f>
        <v>562120</v>
      </c>
    </row>
    <row r="801" spans="5:13" ht="15" customHeight="1">
      <c r="F801" s="306"/>
      <c r="G801" s="301" t="s">
        <v>1706</v>
      </c>
      <c r="H801" s="302"/>
      <c r="I801" s="307" t="s">
        <v>38</v>
      </c>
      <c r="J801" s="308">
        <v>799</v>
      </c>
      <c r="K801" s="328">
        <f>VLOOKUP(G801,Bahan,6,FALSE)</f>
        <v>250</v>
      </c>
      <c r="L801" s="310">
        <f>J801*K801</f>
        <v>199750</v>
      </c>
    </row>
    <row r="802" spans="5:13" ht="15" customHeight="1">
      <c r="F802" s="306"/>
      <c r="G802" s="301" t="s">
        <v>1701</v>
      </c>
      <c r="H802" s="302"/>
      <c r="I802" s="307" t="s">
        <v>38</v>
      </c>
      <c r="J802" s="308">
        <v>1017</v>
      </c>
      <c r="K802" s="328">
        <f>VLOOKUP(G802,Bahan,6,FALSE)</f>
        <v>444.44444444444446</v>
      </c>
      <c r="L802" s="310">
        <f>J802*K802</f>
        <v>452000</v>
      </c>
    </row>
    <row r="803" spans="5:13" ht="15" customHeight="1" thickBot="1">
      <c r="F803" s="306"/>
      <c r="G803" s="301" t="s">
        <v>335</v>
      </c>
      <c r="H803" s="302"/>
      <c r="I803" s="307" t="s">
        <v>188</v>
      </c>
      <c r="J803" s="308">
        <v>215</v>
      </c>
      <c r="K803" s="328">
        <f>VLOOKUP(G803,Bahan,6,FALSE)</f>
        <v>75</v>
      </c>
      <c r="L803" s="310">
        <f>J803*K803</f>
        <v>16125</v>
      </c>
    </row>
    <row r="804" spans="5:13" ht="15" customHeight="1" thickBot="1">
      <c r="F804" s="316"/>
      <c r="G804" s="317"/>
      <c r="H804" s="318"/>
      <c r="I804" s="318"/>
      <c r="J804" s="319" t="s">
        <v>189</v>
      </c>
      <c r="K804" s="320"/>
      <c r="L804" s="321">
        <f>SUM(L800:L803)</f>
        <v>1229995</v>
      </c>
    </row>
    <row r="805" spans="5:13" ht="15" customHeight="1" thickBot="1">
      <c r="F805" s="300" t="s">
        <v>190</v>
      </c>
      <c r="G805" s="301" t="s">
        <v>191</v>
      </c>
      <c r="H805" s="302"/>
      <c r="I805" s="302"/>
      <c r="J805" s="351"/>
      <c r="K805" s="328">
        <v>0</v>
      </c>
      <c r="L805" s="310">
        <f>J805*K805</f>
        <v>0</v>
      </c>
    </row>
    <row r="806" spans="5:13" ht="15" customHeight="1" thickBot="1">
      <c r="F806" s="316"/>
      <c r="G806" s="317"/>
      <c r="H806" s="318"/>
      <c r="I806" s="318"/>
      <c r="J806" s="319" t="s">
        <v>192</v>
      </c>
      <c r="K806" s="320"/>
      <c r="L806" s="321">
        <f>L805</f>
        <v>0</v>
      </c>
    </row>
    <row r="807" spans="5:13" ht="15" customHeight="1">
      <c r="F807" s="344" t="s">
        <v>193</v>
      </c>
      <c r="G807" s="345" t="s">
        <v>194</v>
      </c>
      <c r="H807" s="346"/>
      <c r="I807" s="346"/>
      <c r="J807" s="347"/>
      <c r="K807" s="348">
        <v>0</v>
      </c>
      <c r="L807" s="310">
        <f>SUM(L792:L806)/2</f>
        <v>1496225</v>
      </c>
    </row>
    <row r="808" spans="5:13" ht="15" customHeight="1" thickBot="1">
      <c r="F808" s="331" t="s">
        <v>195</v>
      </c>
      <c r="G808" s="332" t="s">
        <v>196</v>
      </c>
      <c r="H808" s="333"/>
      <c r="I808" s="333"/>
      <c r="J808" s="350">
        <v>0.1</v>
      </c>
      <c r="K808" s="335"/>
      <c r="L808" s="330">
        <f>J808*L807</f>
        <v>149622.5</v>
      </c>
    </row>
    <row r="809" spans="5:13" ht="15" customHeight="1" thickBot="1">
      <c r="F809" s="340" t="s">
        <v>197</v>
      </c>
      <c r="G809" s="341" t="s">
        <v>198</v>
      </c>
      <c r="H809" s="318"/>
      <c r="I809" s="318"/>
      <c r="J809" s="342"/>
      <c r="K809" s="320">
        <v>0</v>
      </c>
      <c r="L809" s="321">
        <f>ROUNDDOWN(L807+L808,0)</f>
        <v>1645847</v>
      </c>
    </row>
    <row r="810" spans="5:13" ht="15" customHeight="1">
      <c r="G810" s="298" t="s">
        <v>340</v>
      </c>
      <c r="J810" s="343"/>
    </row>
    <row r="811" spans="5:13" ht="15" customHeight="1">
      <c r="G811" s="298" t="s">
        <v>341</v>
      </c>
      <c r="J811" s="343"/>
    </row>
    <row r="812" spans="5:13" ht="15" customHeight="1">
      <c r="G812" s="298"/>
      <c r="J812" s="343"/>
    </row>
    <row r="813" spans="5:13" ht="15" customHeight="1" thickBot="1">
      <c r="E813" s="356" t="s">
        <v>342</v>
      </c>
      <c r="F813" s="295" t="s">
        <v>343</v>
      </c>
      <c r="J813" s="343"/>
      <c r="M813" s="299">
        <f>L831</f>
        <v>1452653</v>
      </c>
    </row>
    <row r="814" spans="5:13" ht="15" customHeight="1" thickBot="1">
      <c r="F814" s="340" t="s">
        <v>136</v>
      </c>
      <c r="G814" s="341" t="s">
        <v>162</v>
      </c>
      <c r="H814" s="352" t="s">
        <v>163</v>
      </c>
      <c r="I814" s="352" t="s">
        <v>138</v>
      </c>
      <c r="J814" s="353" t="s">
        <v>164</v>
      </c>
      <c r="K814" s="341" t="s">
        <v>165</v>
      </c>
      <c r="L814" s="354" t="s">
        <v>166</v>
      </c>
    </row>
    <row r="815" spans="5:13" ht="15" customHeight="1">
      <c r="F815" s="300" t="s">
        <v>167</v>
      </c>
      <c r="G815" s="301" t="s">
        <v>168</v>
      </c>
      <c r="H815" s="302"/>
      <c r="I815" s="302"/>
      <c r="J815" s="351"/>
      <c r="K815" s="328"/>
      <c r="L815" s="310"/>
    </row>
    <row r="816" spans="5:13" ht="15" customHeight="1">
      <c r="F816" s="306"/>
      <c r="G816" s="301" t="s">
        <v>169</v>
      </c>
      <c r="H816" s="307" t="s">
        <v>170</v>
      </c>
      <c r="I816" s="307" t="s">
        <v>171</v>
      </c>
      <c r="J816" s="308">
        <v>1.2</v>
      </c>
      <c r="K816" s="309">
        <f>VLOOKUP(G816,Upah,8,FALSE)</f>
        <v>125000</v>
      </c>
      <c r="L816" s="310">
        <f>J816*K816</f>
        <v>150000</v>
      </c>
    </row>
    <row r="817" spans="6:12" ht="15" customHeight="1">
      <c r="F817" s="306"/>
      <c r="G817" s="301" t="s">
        <v>308</v>
      </c>
      <c r="H817" s="307" t="s">
        <v>217</v>
      </c>
      <c r="I817" s="307" t="s">
        <v>171</v>
      </c>
      <c r="J817" s="308">
        <v>0.2</v>
      </c>
      <c r="K817" s="309">
        <f>VLOOKUP(G817,Upah,8,FALSE)</f>
        <v>150000</v>
      </c>
      <c r="L817" s="310">
        <f>J817*K817</f>
        <v>30000</v>
      </c>
    </row>
    <row r="818" spans="6:12" ht="15" customHeight="1">
      <c r="F818" s="306"/>
      <c r="G818" s="301" t="s">
        <v>174</v>
      </c>
      <c r="H818" s="307" t="s">
        <v>175</v>
      </c>
      <c r="I818" s="307" t="s">
        <v>171</v>
      </c>
      <c r="J818" s="308">
        <v>0.02</v>
      </c>
      <c r="K818" s="309">
        <f>VLOOKUP(G818,Upah,8,FALSE)</f>
        <v>165000</v>
      </c>
      <c r="L818" s="310">
        <f>J818*K818</f>
        <v>3300</v>
      </c>
    </row>
    <row r="819" spans="6:12" ht="15" customHeight="1" thickBot="1">
      <c r="F819" s="306"/>
      <c r="G819" s="301" t="s">
        <v>176</v>
      </c>
      <c r="H819" s="313" t="s">
        <v>177</v>
      </c>
      <c r="I819" s="307" t="s">
        <v>171</v>
      </c>
      <c r="J819" s="308">
        <v>0.06</v>
      </c>
      <c r="K819" s="309">
        <f>VLOOKUP(G819,Upah,8,FALSE)</f>
        <v>170000</v>
      </c>
      <c r="L819" s="310">
        <f>J819*K819</f>
        <v>10200</v>
      </c>
    </row>
    <row r="820" spans="6:12" ht="15" customHeight="1" thickBot="1">
      <c r="F820" s="316"/>
      <c r="G820" s="317"/>
      <c r="H820" s="318"/>
      <c r="I820" s="318"/>
      <c r="J820" s="319" t="s">
        <v>178</v>
      </c>
      <c r="K820" s="320"/>
      <c r="L820" s="321">
        <f>SUM(L816:L819)</f>
        <v>193500</v>
      </c>
    </row>
    <row r="821" spans="6:12" ht="15" customHeight="1">
      <c r="F821" s="300" t="s">
        <v>179</v>
      </c>
      <c r="G821" s="301" t="s">
        <v>180</v>
      </c>
      <c r="H821" s="302"/>
      <c r="I821" s="302"/>
      <c r="J821" s="351"/>
      <c r="K821" s="328"/>
      <c r="L821" s="310"/>
    </row>
    <row r="822" spans="6:12" ht="15" customHeight="1">
      <c r="F822" s="306"/>
      <c r="G822" s="301" t="s">
        <v>183</v>
      </c>
      <c r="H822" s="302"/>
      <c r="I822" s="307" t="s">
        <v>38</v>
      </c>
      <c r="J822" s="308">
        <v>230</v>
      </c>
      <c r="K822" s="328">
        <f>VLOOKUP(G822,Bahan,6,FALSE)</f>
        <v>1880</v>
      </c>
      <c r="L822" s="310">
        <f>J822*K822</f>
        <v>432400</v>
      </c>
    </row>
    <row r="823" spans="6:12" ht="15" customHeight="1">
      <c r="F823" s="306"/>
      <c r="G823" s="301" t="s">
        <v>1706</v>
      </c>
      <c r="H823" s="302"/>
      <c r="I823" s="307" t="s">
        <v>38</v>
      </c>
      <c r="J823" s="308">
        <v>893</v>
      </c>
      <c r="K823" s="328">
        <f>VLOOKUP(G823,Bahan,6,FALSE)</f>
        <v>250</v>
      </c>
      <c r="L823" s="310">
        <f>J823*K823</f>
        <v>223250</v>
      </c>
    </row>
    <row r="824" spans="6:12" ht="15" customHeight="1">
      <c r="F824" s="306"/>
      <c r="G824" s="301" t="s">
        <v>1701</v>
      </c>
      <c r="H824" s="302"/>
      <c r="I824" s="307" t="s">
        <v>38</v>
      </c>
      <c r="J824" s="308">
        <v>1027</v>
      </c>
      <c r="K824" s="328">
        <f>VLOOKUP(G824,Bahan,6,FALSE)</f>
        <v>444.44444444444446</v>
      </c>
      <c r="L824" s="310">
        <f>J824*K824</f>
        <v>456444.44444444444</v>
      </c>
    </row>
    <row r="825" spans="6:12" ht="15" customHeight="1" thickBot="1">
      <c r="F825" s="306"/>
      <c r="G825" s="301" t="s">
        <v>335</v>
      </c>
      <c r="H825" s="302"/>
      <c r="I825" s="307" t="s">
        <v>188</v>
      </c>
      <c r="J825" s="308">
        <v>200</v>
      </c>
      <c r="K825" s="328">
        <f>VLOOKUP(G825,Bahan,6,FALSE)</f>
        <v>75</v>
      </c>
      <c r="L825" s="310">
        <f>J825*K825</f>
        <v>15000</v>
      </c>
    </row>
    <row r="826" spans="6:12" ht="15" customHeight="1" thickBot="1">
      <c r="F826" s="316"/>
      <c r="G826" s="317"/>
      <c r="H826" s="318"/>
      <c r="I826" s="318"/>
      <c r="J826" s="319" t="s">
        <v>189</v>
      </c>
      <c r="K826" s="320"/>
      <c r="L826" s="321">
        <f>SUM(L822:L825)</f>
        <v>1127094.4444444445</v>
      </c>
    </row>
    <row r="827" spans="6:12" ht="15" customHeight="1" thickBot="1">
      <c r="F827" s="300" t="s">
        <v>190</v>
      </c>
      <c r="G827" s="301" t="s">
        <v>191</v>
      </c>
      <c r="H827" s="302"/>
      <c r="I827" s="302"/>
      <c r="J827" s="351"/>
      <c r="K827" s="328">
        <v>0</v>
      </c>
      <c r="L827" s="310">
        <f>J827*K827</f>
        <v>0</v>
      </c>
    </row>
    <row r="828" spans="6:12" ht="15" customHeight="1" thickBot="1">
      <c r="F828" s="316"/>
      <c r="G828" s="317"/>
      <c r="H828" s="318"/>
      <c r="I828" s="318"/>
      <c r="J828" s="319" t="s">
        <v>192</v>
      </c>
      <c r="K828" s="320"/>
      <c r="L828" s="321">
        <f>L827</f>
        <v>0</v>
      </c>
    </row>
    <row r="829" spans="6:12" ht="15" customHeight="1">
      <c r="F829" s="344" t="s">
        <v>193</v>
      </c>
      <c r="G829" s="345" t="s">
        <v>194</v>
      </c>
      <c r="H829" s="346"/>
      <c r="I829" s="346"/>
      <c r="J829" s="347"/>
      <c r="K829" s="348">
        <v>0</v>
      </c>
      <c r="L829" s="310">
        <f>SUM(L816:L828)/2</f>
        <v>1320594.4444444445</v>
      </c>
    </row>
    <row r="830" spans="6:12" ht="15" customHeight="1" thickBot="1">
      <c r="F830" s="331" t="s">
        <v>195</v>
      </c>
      <c r="G830" s="332" t="s">
        <v>196</v>
      </c>
      <c r="H830" s="333"/>
      <c r="I830" s="333"/>
      <c r="J830" s="350">
        <v>0.1</v>
      </c>
      <c r="K830" s="335"/>
      <c r="L830" s="330">
        <f>J830*L829</f>
        <v>132059.44444444447</v>
      </c>
    </row>
    <row r="831" spans="6:12" ht="15" customHeight="1" thickBot="1">
      <c r="F831" s="340" t="s">
        <v>197</v>
      </c>
      <c r="G831" s="341" t="s">
        <v>198</v>
      </c>
      <c r="H831" s="318"/>
      <c r="I831" s="318"/>
      <c r="J831" s="342"/>
      <c r="K831" s="320">
        <v>0</v>
      </c>
      <c r="L831" s="321">
        <f>ROUNDDOWN(L829+L830,0)</f>
        <v>1452653</v>
      </c>
    </row>
    <row r="832" spans="6:12" ht="15" customHeight="1">
      <c r="F832" s="298"/>
      <c r="G832" s="298"/>
      <c r="J832" s="343"/>
    </row>
    <row r="833" spans="5:13" ht="15" customHeight="1" thickBot="1">
      <c r="E833" s="356" t="s">
        <v>344</v>
      </c>
      <c r="F833" s="295" t="s">
        <v>345</v>
      </c>
      <c r="J833" s="343"/>
      <c r="M833" s="299">
        <f>L851</f>
        <v>1696825</v>
      </c>
    </row>
    <row r="834" spans="5:13" ht="15" customHeight="1" thickBot="1">
      <c r="F834" s="340" t="s">
        <v>136</v>
      </c>
      <c r="G834" s="341" t="s">
        <v>162</v>
      </c>
      <c r="H834" s="352" t="s">
        <v>163</v>
      </c>
      <c r="I834" s="352" t="s">
        <v>138</v>
      </c>
      <c r="J834" s="353" t="s">
        <v>164</v>
      </c>
      <c r="K834" s="341" t="s">
        <v>165</v>
      </c>
      <c r="L834" s="354" t="s">
        <v>166</v>
      </c>
    </row>
    <row r="835" spans="5:13" ht="15" customHeight="1">
      <c r="F835" s="300" t="s">
        <v>167</v>
      </c>
      <c r="G835" s="301" t="s">
        <v>168</v>
      </c>
      <c r="H835" s="302"/>
      <c r="I835" s="302"/>
      <c r="J835" s="351"/>
      <c r="K835" s="328"/>
      <c r="L835" s="310"/>
    </row>
    <row r="836" spans="5:13" ht="15" customHeight="1">
      <c r="F836" s="306"/>
      <c r="G836" s="301" t="s">
        <v>169</v>
      </c>
      <c r="H836" s="307" t="s">
        <v>170</v>
      </c>
      <c r="I836" s="307" t="s">
        <v>171</v>
      </c>
      <c r="J836" s="308">
        <v>1.65</v>
      </c>
      <c r="K836" s="309">
        <f>VLOOKUP(G836,Upah,8,FALSE)</f>
        <v>125000</v>
      </c>
      <c r="L836" s="310">
        <f>J836*K836</f>
        <v>206250</v>
      </c>
    </row>
    <row r="837" spans="5:13" ht="15" customHeight="1">
      <c r="F837" s="306"/>
      <c r="G837" s="301" t="s">
        <v>308</v>
      </c>
      <c r="H837" s="307" t="s">
        <v>217</v>
      </c>
      <c r="I837" s="307" t="s">
        <v>171</v>
      </c>
      <c r="J837" s="308">
        <v>0.27500000000000002</v>
      </c>
      <c r="K837" s="309">
        <f>VLOOKUP(G837,Upah,8,FALSE)</f>
        <v>150000</v>
      </c>
      <c r="L837" s="310">
        <f>J837*K837</f>
        <v>41250</v>
      </c>
    </row>
    <row r="838" spans="5:13" ht="15" customHeight="1">
      <c r="F838" s="306"/>
      <c r="G838" s="301" t="s">
        <v>174</v>
      </c>
      <c r="H838" s="307" t="s">
        <v>175</v>
      </c>
      <c r="I838" s="307" t="s">
        <v>171</v>
      </c>
      <c r="J838" s="308">
        <v>2.8000000000000001E-2</v>
      </c>
      <c r="K838" s="309">
        <f>VLOOKUP(G838,Upah,8,FALSE)</f>
        <v>165000</v>
      </c>
      <c r="L838" s="310">
        <f>J838*K838</f>
        <v>4620</v>
      </c>
    </row>
    <row r="839" spans="5:13" ht="15" customHeight="1" thickBot="1">
      <c r="F839" s="306"/>
      <c r="G839" s="301" t="s">
        <v>176</v>
      </c>
      <c r="H839" s="313" t="s">
        <v>177</v>
      </c>
      <c r="I839" s="307" t="s">
        <v>171</v>
      </c>
      <c r="J839" s="308">
        <v>8.3000000000000004E-2</v>
      </c>
      <c r="K839" s="309">
        <f>VLOOKUP(G839,Upah,8,FALSE)</f>
        <v>170000</v>
      </c>
      <c r="L839" s="310">
        <f>J839*K839</f>
        <v>14110</v>
      </c>
    </row>
    <row r="840" spans="5:13" ht="15" customHeight="1" thickBot="1">
      <c r="F840" s="316"/>
      <c r="G840" s="317"/>
      <c r="H840" s="318"/>
      <c r="I840" s="318"/>
      <c r="J840" s="319" t="s">
        <v>178</v>
      </c>
      <c r="K840" s="320"/>
      <c r="L840" s="321">
        <f>SUM(L836:L839)</f>
        <v>266230</v>
      </c>
    </row>
    <row r="841" spans="5:13" ht="15" customHeight="1">
      <c r="F841" s="300" t="s">
        <v>179</v>
      </c>
      <c r="G841" s="301" t="s">
        <v>180</v>
      </c>
      <c r="H841" s="302"/>
      <c r="I841" s="302"/>
      <c r="J841" s="351"/>
      <c r="K841" s="328"/>
      <c r="L841" s="310"/>
    </row>
    <row r="842" spans="5:13" ht="15" customHeight="1">
      <c r="F842" s="306"/>
      <c r="G842" s="301" t="s">
        <v>183</v>
      </c>
      <c r="H842" s="302"/>
      <c r="I842" s="307" t="s">
        <v>38</v>
      </c>
      <c r="J842" s="308">
        <v>326</v>
      </c>
      <c r="K842" s="328">
        <f>VLOOKUP(G842,Bahan,6,FALSE)</f>
        <v>1880</v>
      </c>
      <c r="L842" s="310">
        <f>J842*K842</f>
        <v>612880</v>
      </c>
    </row>
    <row r="843" spans="5:13" ht="15" customHeight="1">
      <c r="F843" s="306"/>
      <c r="G843" s="301" t="s">
        <v>1706</v>
      </c>
      <c r="H843" s="302"/>
      <c r="I843" s="307" t="s">
        <v>38</v>
      </c>
      <c r="J843" s="308">
        <v>760</v>
      </c>
      <c r="K843" s="328">
        <f>VLOOKUP(G843,Bahan,6,FALSE)</f>
        <v>250</v>
      </c>
      <c r="L843" s="310">
        <f>J843*K843</f>
        <v>190000</v>
      </c>
    </row>
    <row r="844" spans="5:13" ht="15" customHeight="1">
      <c r="F844" s="306"/>
      <c r="G844" s="301" t="s">
        <v>1701</v>
      </c>
      <c r="H844" s="302"/>
      <c r="I844" s="307" t="s">
        <v>38</v>
      </c>
      <c r="J844" s="308">
        <v>1029</v>
      </c>
      <c r="K844" s="328">
        <f>VLOOKUP(G844,Bahan,6,FALSE)</f>
        <v>444.44444444444446</v>
      </c>
      <c r="L844" s="310">
        <f>J844*K844</f>
        <v>457333.33333333337</v>
      </c>
    </row>
    <row r="845" spans="5:13" ht="15" customHeight="1" thickBot="1">
      <c r="F845" s="306"/>
      <c r="G845" s="301" t="s">
        <v>335</v>
      </c>
      <c r="H845" s="302"/>
      <c r="I845" s="307" t="s">
        <v>188</v>
      </c>
      <c r="J845" s="308">
        <v>215</v>
      </c>
      <c r="K845" s="328">
        <f>VLOOKUP(G845,Bahan,6,FALSE)</f>
        <v>75</v>
      </c>
      <c r="L845" s="310">
        <f>J845*K845</f>
        <v>16125</v>
      </c>
    </row>
    <row r="846" spans="5:13" ht="15" customHeight="1" thickBot="1">
      <c r="F846" s="316"/>
      <c r="G846" s="317"/>
      <c r="H846" s="318"/>
      <c r="I846" s="318"/>
      <c r="J846" s="319" t="s">
        <v>189</v>
      </c>
      <c r="K846" s="320"/>
      <c r="L846" s="321">
        <f>SUM(L842:L845)</f>
        <v>1276338.3333333335</v>
      </c>
    </row>
    <row r="847" spans="5:13" ht="15" customHeight="1" thickBot="1">
      <c r="F847" s="300" t="s">
        <v>190</v>
      </c>
      <c r="G847" s="301" t="s">
        <v>191</v>
      </c>
      <c r="H847" s="302"/>
      <c r="I847" s="302"/>
      <c r="J847" s="351"/>
      <c r="K847" s="328">
        <v>0</v>
      </c>
      <c r="L847" s="310">
        <f>J847*K847</f>
        <v>0</v>
      </c>
    </row>
    <row r="848" spans="5:13" ht="15" customHeight="1" thickBot="1">
      <c r="F848" s="316"/>
      <c r="G848" s="317"/>
      <c r="H848" s="318"/>
      <c r="I848" s="318"/>
      <c r="J848" s="319" t="s">
        <v>192</v>
      </c>
      <c r="K848" s="320"/>
      <c r="L848" s="321">
        <f>L847</f>
        <v>0</v>
      </c>
    </row>
    <row r="849" spans="5:13" ht="15" customHeight="1">
      <c r="F849" s="344" t="s">
        <v>193</v>
      </c>
      <c r="G849" s="345" t="s">
        <v>194</v>
      </c>
      <c r="H849" s="346"/>
      <c r="I849" s="346"/>
      <c r="J849" s="347"/>
      <c r="K849" s="348">
        <v>0</v>
      </c>
      <c r="L849" s="310">
        <f>SUM(L836:L848)/2</f>
        <v>1542568.3333333335</v>
      </c>
    </row>
    <row r="850" spans="5:13" ht="15" customHeight="1" thickBot="1">
      <c r="F850" s="331" t="s">
        <v>195</v>
      </c>
      <c r="G850" s="332" t="s">
        <v>196</v>
      </c>
      <c r="H850" s="333"/>
      <c r="I850" s="333"/>
      <c r="J850" s="350">
        <v>0.1</v>
      </c>
      <c r="K850" s="335"/>
      <c r="L850" s="330">
        <f>J850*L849</f>
        <v>154256.83333333334</v>
      </c>
    </row>
    <row r="851" spans="5:13" ht="15" customHeight="1" thickBot="1">
      <c r="F851" s="340" t="s">
        <v>197</v>
      </c>
      <c r="G851" s="341" t="s">
        <v>198</v>
      </c>
      <c r="H851" s="318"/>
      <c r="I851" s="318"/>
      <c r="J851" s="342"/>
      <c r="K851" s="320">
        <v>0</v>
      </c>
      <c r="L851" s="321">
        <f>ROUNDDOWN(L849+L850,0)</f>
        <v>1696825</v>
      </c>
    </row>
    <row r="852" spans="5:13" ht="15" customHeight="1">
      <c r="F852" s="298"/>
      <c r="G852" s="298"/>
      <c r="J852" s="343"/>
    </row>
    <row r="853" spans="5:13" ht="15" customHeight="1" thickBot="1">
      <c r="E853" s="356" t="s">
        <v>346</v>
      </c>
      <c r="F853" s="295" t="s">
        <v>347</v>
      </c>
      <c r="J853" s="343"/>
      <c r="M853" s="299">
        <f>L871</f>
        <v>1743595</v>
      </c>
    </row>
    <row r="854" spans="5:13" ht="15" customHeight="1" thickBot="1">
      <c r="F854" s="340" t="s">
        <v>136</v>
      </c>
      <c r="G854" s="341" t="s">
        <v>162</v>
      </c>
      <c r="H854" s="352" t="s">
        <v>163</v>
      </c>
      <c r="I854" s="352" t="s">
        <v>138</v>
      </c>
      <c r="J854" s="353" t="s">
        <v>164</v>
      </c>
      <c r="K854" s="341" t="s">
        <v>165</v>
      </c>
      <c r="L854" s="354" t="s">
        <v>166</v>
      </c>
    </row>
    <row r="855" spans="5:13" ht="15" customHeight="1">
      <c r="F855" s="300" t="s">
        <v>167</v>
      </c>
      <c r="G855" s="301" t="s">
        <v>168</v>
      </c>
      <c r="H855" s="302"/>
      <c r="I855" s="302"/>
      <c r="J855" s="351"/>
      <c r="K855" s="328"/>
      <c r="L855" s="310"/>
    </row>
    <row r="856" spans="5:13" ht="15" customHeight="1">
      <c r="F856" s="306"/>
      <c r="G856" s="301" t="s">
        <v>169</v>
      </c>
      <c r="H856" s="307" t="s">
        <v>170</v>
      </c>
      <c r="I856" s="307" t="s">
        <v>171</v>
      </c>
      <c r="J856" s="308">
        <v>1.65</v>
      </c>
      <c r="K856" s="309">
        <f>VLOOKUP(G856,Upah,8,FALSE)</f>
        <v>125000</v>
      </c>
      <c r="L856" s="310">
        <f>J856*K856</f>
        <v>206250</v>
      </c>
    </row>
    <row r="857" spans="5:13" ht="15" customHeight="1">
      <c r="F857" s="306"/>
      <c r="G857" s="301" t="s">
        <v>308</v>
      </c>
      <c r="H857" s="307" t="s">
        <v>217</v>
      </c>
      <c r="I857" s="307" t="s">
        <v>171</v>
      </c>
      <c r="J857" s="308">
        <v>0.27500000000000002</v>
      </c>
      <c r="K857" s="309">
        <f>VLOOKUP(G857,Upah,8,FALSE)</f>
        <v>150000</v>
      </c>
      <c r="L857" s="310">
        <f>J857*K857</f>
        <v>41250</v>
      </c>
    </row>
    <row r="858" spans="5:13" ht="15" customHeight="1">
      <c r="F858" s="306"/>
      <c r="G858" s="301" t="s">
        <v>174</v>
      </c>
      <c r="H858" s="307" t="s">
        <v>175</v>
      </c>
      <c r="I858" s="307" t="s">
        <v>171</v>
      </c>
      <c r="J858" s="308">
        <v>2.8000000000000001E-2</v>
      </c>
      <c r="K858" s="309">
        <f>VLOOKUP(G858,Upah,8,FALSE)</f>
        <v>165000</v>
      </c>
      <c r="L858" s="310">
        <f>J858*K858</f>
        <v>4620</v>
      </c>
    </row>
    <row r="859" spans="5:13" ht="15" customHeight="1" thickBot="1">
      <c r="F859" s="306"/>
      <c r="G859" s="301" t="s">
        <v>176</v>
      </c>
      <c r="H859" s="313" t="s">
        <v>177</v>
      </c>
      <c r="I859" s="307" t="s">
        <v>171</v>
      </c>
      <c r="J859" s="308">
        <v>8.3000000000000004E-2</v>
      </c>
      <c r="K859" s="309">
        <f>VLOOKUP(G859,Upah,8,FALSE)</f>
        <v>170000</v>
      </c>
      <c r="L859" s="310">
        <f>J859*K859</f>
        <v>14110</v>
      </c>
    </row>
    <row r="860" spans="5:13" ht="15" customHeight="1" thickBot="1">
      <c r="F860" s="316"/>
      <c r="G860" s="317"/>
      <c r="H860" s="318"/>
      <c r="I860" s="318"/>
      <c r="J860" s="319" t="s">
        <v>178</v>
      </c>
      <c r="K860" s="320"/>
      <c r="L860" s="321">
        <f>SUM(L856:L859)</f>
        <v>266230</v>
      </c>
    </row>
    <row r="861" spans="5:13" ht="15" customHeight="1">
      <c r="F861" s="300" t="s">
        <v>179</v>
      </c>
      <c r="G861" s="301" t="s">
        <v>180</v>
      </c>
      <c r="H861" s="302"/>
      <c r="I861" s="302"/>
      <c r="J861" s="351"/>
      <c r="K861" s="328"/>
      <c r="L861" s="310"/>
    </row>
    <row r="862" spans="5:13" ht="15" customHeight="1">
      <c r="F862" s="306"/>
      <c r="G862" s="301" t="s">
        <v>183</v>
      </c>
      <c r="H862" s="302"/>
      <c r="I862" s="307" t="s">
        <v>38</v>
      </c>
      <c r="J862" s="308">
        <v>352</v>
      </c>
      <c r="K862" s="328">
        <f>VLOOKUP(G862,Bahan,6,FALSE)</f>
        <v>1880</v>
      </c>
      <c r="L862" s="310">
        <f>J862*K862</f>
        <v>661760</v>
      </c>
    </row>
    <row r="863" spans="5:13" ht="15" customHeight="1">
      <c r="F863" s="306"/>
      <c r="G863" s="301" t="s">
        <v>1706</v>
      </c>
      <c r="H863" s="302"/>
      <c r="I863" s="307" t="s">
        <v>38</v>
      </c>
      <c r="J863" s="308">
        <v>731</v>
      </c>
      <c r="K863" s="328">
        <f>VLOOKUP(G863,Bahan,6,FALSE)</f>
        <v>250</v>
      </c>
      <c r="L863" s="310">
        <f>J863*K863</f>
        <v>182750</v>
      </c>
    </row>
    <row r="864" spans="5:13" ht="15" customHeight="1">
      <c r="F864" s="306"/>
      <c r="G864" s="301" t="s">
        <v>1701</v>
      </c>
      <c r="H864" s="302"/>
      <c r="I864" s="307" t="s">
        <v>38</v>
      </c>
      <c r="J864" s="308">
        <v>1031</v>
      </c>
      <c r="K864" s="328">
        <f>VLOOKUP(G864,Bahan,6,FALSE)</f>
        <v>444.44444444444446</v>
      </c>
      <c r="L864" s="310">
        <f>J864*K864</f>
        <v>458222.22222222225</v>
      </c>
    </row>
    <row r="865" spans="5:13" ht="15" customHeight="1" thickBot="1">
      <c r="F865" s="306"/>
      <c r="G865" s="301" t="s">
        <v>335</v>
      </c>
      <c r="H865" s="302"/>
      <c r="I865" s="307" t="s">
        <v>188</v>
      </c>
      <c r="J865" s="308">
        <v>215</v>
      </c>
      <c r="K865" s="328">
        <f>VLOOKUP(G865,Bahan,6,FALSE)</f>
        <v>75</v>
      </c>
      <c r="L865" s="310">
        <f>J865*K865</f>
        <v>16125</v>
      </c>
    </row>
    <row r="866" spans="5:13" ht="15" customHeight="1" thickBot="1">
      <c r="F866" s="316"/>
      <c r="G866" s="317"/>
      <c r="H866" s="318"/>
      <c r="I866" s="318"/>
      <c r="J866" s="319" t="s">
        <v>189</v>
      </c>
      <c r="K866" s="320"/>
      <c r="L866" s="321">
        <f>SUM(L862:L865)</f>
        <v>1318857.2222222222</v>
      </c>
    </row>
    <row r="867" spans="5:13" ht="15" customHeight="1" thickBot="1">
      <c r="F867" s="300" t="s">
        <v>190</v>
      </c>
      <c r="G867" s="301" t="s">
        <v>191</v>
      </c>
      <c r="H867" s="302"/>
      <c r="I867" s="302"/>
      <c r="J867" s="351"/>
      <c r="K867" s="328">
        <v>0</v>
      </c>
      <c r="L867" s="310">
        <f>J867*K867</f>
        <v>0</v>
      </c>
    </row>
    <row r="868" spans="5:13" ht="15" customHeight="1" thickBot="1">
      <c r="F868" s="316"/>
      <c r="G868" s="317"/>
      <c r="H868" s="318"/>
      <c r="I868" s="318"/>
      <c r="J868" s="319" t="s">
        <v>192</v>
      </c>
      <c r="K868" s="320"/>
      <c r="L868" s="321">
        <f>L867</f>
        <v>0</v>
      </c>
    </row>
    <row r="869" spans="5:13" ht="15" customHeight="1">
      <c r="F869" s="344" t="s">
        <v>193</v>
      </c>
      <c r="G869" s="345" t="s">
        <v>194</v>
      </c>
      <c r="H869" s="346"/>
      <c r="I869" s="346"/>
      <c r="J869" s="347"/>
      <c r="K869" s="348">
        <v>0</v>
      </c>
      <c r="L869" s="310">
        <f>SUM(L856:L868)/2</f>
        <v>1585087.2222222222</v>
      </c>
    </row>
    <row r="870" spans="5:13" ht="15" customHeight="1" thickBot="1">
      <c r="F870" s="331" t="s">
        <v>195</v>
      </c>
      <c r="G870" s="332" t="s">
        <v>196</v>
      </c>
      <c r="H870" s="333"/>
      <c r="I870" s="333"/>
      <c r="J870" s="350">
        <v>0.1</v>
      </c>
      <c r="K870" s="335"/>
      <c r="L870" s="330">
        <f>J870*L869</f>
        <v>158508.72222222225</v>
      </c>
    </row>
    <row r="871" spans="5:13" ht="15" customHeight="1" thickBot="1">
      <c r="F871" s="340" t="s">
        <v>197</v>
      </c>
      <c r="G871" s="341" t="s">
        <v>198</v>
      </c>
      <c r="H871" s="318"/>
      <c r="I871" s="318"/>
      <c r="J871" s="342"/>
      <c r="K871" s="320">
        <v>0</v>
      </c>
      <c r="L871" s="321">
        <f>ROUNDDOWN(L869+L870,0)</f>
        <v>1743595</v>
      </c>
    </row>
    <row r="872" spans="5:13" ht="15" customHeight="1">
      <c r="F872" s="298"/>
      <c r="G872" s="298"/>
      <c r="J872" s="343"/>
    </row>
    <row r="873" spans="5:13" ht="15" customHeight="1" thickBot="1">
      <c r="E873" s="356" t="s">
        <v>348</v>
      </c>
      <c r="F873" s="295" t="s">
        <v>349</v>
      </c>
      <c r="J873" s="343"/>
      <c r="M873" s="299">
        <f>L891</f>
        <v>1781635</v>
      </c>
    </row>
    <row r="874" spans="5:13" ht="15" customHeight="1" thickBot="1">
      <c r="F874" s="340" t="s">
        <v>136</v>
      </c>
      <c r="G874" s="341" t="s">
        <v>162</v>
      </c>
      <c r="H874" s="352" t="s">
        <v>163</v>
      </c>
      <c r="I874" s="352" t="s">
        <v>138</v>
      </c>
      <c r="J874" s="353" t="s">
        <v>164</v>
      </c>
      <c r="K874" s="341" t="s">
        <v>165</v>
      </c>
      <c r="L874" s="354" t="s">
        <v>166</v>
      </c>
    </row>
    <row r="875" spans="5:13" ht="15" customHeight="1">
      <c r="F875" s="300" t="s">
        <v>167</v>
      </c>
      <c r="G875" s="301" t="s">
        <v>168</v>
      </c>
      <c r="H875" s="302"/>
      <c r="I875" s="302"/>
      <c r="J875" s="351"/>
      <c r="K875" s="328"/>
      <c r="L875" s="310"/>
    </row>
    <row r="876" spans="5:13" ht="15" customHeight="1">
      <c r="F876" s="306"/>
      <c r="G876" s="301" t="s">
        <v>169</v>
      </c>
      <c r="H876" s="307" t="s">
        <v>170</v>
      </c>
      <c r="I876" s="307" t="s">
        <v>171</v>
      </c>
      <c r="J876" s="308">
        <v>1.65</v>
      </c>
      <c r="K876" s="309">
        <f>VLOOKUP(G876,Upah,8,FALSE)</f>
        <v>125000</v>
      </c>
      <c r="L876" s="310">
        <f>J876*K876</f>
        <v>206250</v>
      </c>
    </row>
    <row r="877" spans="5:13" ht="15" customHeight="1">
      <c r="F877" s="306"/>
      <c r="G877" s="301" t="s">
        <v>308</v>
      </c>
      <c r="H877" s="307" t="s">
        <v>217</v>
      </c>
      <c r="I877" s="307" t="s">
        <v>171</v>
      </c>
      <c r="J877" s="308">
        <v>0.27500000000000002</v>
      </c>
      <c r="K877" s="309">
        <f>VLOOKUP(G877,Upah,8,FALSE)</f>
        <v>150000</v>
      </c>
      <c r="L877" s="310">
        <f>J877*K877</f>
        <v>41250</v>
      </c>
    </row>
    <row r="878" spans="5:13" ht="15" customHeight="1">
      <c r="F878" s="306"/>
      <c r="G878" s="301" t="s">
        <v>174</v>
      </c>
      <c r="H878" s="307" t="s">
        <v>175</v>
      </c>
      <c r="I878" s="307" t="s">
        <v>171</v>
      </c>
      <c r="J878" s="308">
        <v>2.8000000000000001E-2</v>
      </c>
      <c r="K878" s="309">
        <f>VLOOKUP(G878,Upah,8,FALSE)</f>
        <v>165000</v>
      </c>
      <c r="L878" s="310">
        <f>J878*K878</f>
        <v>4620</v>
      </c>
    </row>
    <row r="879" spans="5:13" ht="15" customHeight="1" thickBot="1">
      <c r="F879" s="306"/>
      <c r="G879" s="301" t="s">
        <v>176</v>
      </c>
      <c r="H879" s="313" t="s">
        <v>177</v>
      </c>
      <c r="I879" s="307" t="s">
        <v>171</v>
      </c>
      <c r="J879" s="308">
        <v>8.3000000000000004E-2</v>
      </c>
      <c r="K879" s="309">
        <f>VLOOKUP(G879,Upah,8,FALSE)</f>
        <v>170000</v>
      </c>
      <c r="L879" s="310">
        <f>J879*K879</f>
        <v>14110</v>
      </c>
    </row>
    <row r="880" spans="5:13" ht="15" customHeight="1" thickBot="1">
      <c r="F880" s="316"/>
      <c r="G880" s="317"/>
      <c r="H880" s="318"/>
      <c r="I880" s="318"/>
      <c r="J880" s="319" t="s">
        <v>178</v>
      </c>
      <c r="K880" s="320"/>
      <c r="L880" s="321">
        <f>SUM(L876:L879)</f>
        <v>266230</v>
      </c>
    </row>
    <row r="881" spans="5:13" ht="15" customHeight="1">
      <c r="F881" s="300" t="s">
        <v>179</v>
      </c>
      <c r="G881" s="301" t="s">
        <v>180</v>
      </c>
      <c r="H881" s="302"/>
      <c r="I881" s="302"/>
      <c r="J881" s="351"/>
      <c r="K881" s="328"/>
      <c r="L881" s="310"/>
    </row>
    <row r="882" spans="5:13" ht="15" customHeight="1">
      <c r="F882" s="306"/>
      <c r="G882" s="301" t="s">
        <v>183</v>
      </c>
      <c r="H882" s="302"/>
      <c r="I882" s="307" t="s">
        <v>38</v>
      </c>
      <c r="J882" s="308">
        <v>371</v>
      </c>
      <c r="K882" s="328">
        <f>VLOOKUP(G882,Bahan,6,FALSE)</f>
        <v>1880</v>
      </c>
      <c r="L882" s="310">
        <f>J882*K882</f>
        <v>697480</v>
      </c>
    </row>
    <row r="883" spans="5:13" ht="15" customHeight="1">
      <c r="F883" s="306"/>
      <c r="G883" s="301" t="s">
        <v>1706</v>
      </c>
      <c r="H883" s="302"/>
      <c r="I883" s="307" t="s">
        <v>38</v>
      </c>
      <c r="J883" s="308">
        <v>698</v>
      </c>
      <c r="K883" s="328">
        <f>VLOOKUP(G883,Bahan,6,FALSE)</f>
        <v>250</v>
      </c>
      <c r="L883" s="310">
        <f>J883*K883</f>
        <v>174500</v>
      </c>
    </row>
    <row r="884" spans="5:13" ht="15" customHeight="1">
      <c r="F884" s="306"/>
      <c r="G884" s="301" t="s">
        <v>1701</v>
      </c>
      <c r="H884" s="302"/>
      <c r="I884" s="307" t="s">
        <v>38</v>
      </c>
      <c r="J884" s="308">
        <v>1047</v>
      </c>
      <c r="K884" s="328">
        <f>VLOOKUP(G884,Bahan,6,FALSE)</f>
        <v>444.44444444444446</v>
      </c>
      <c r="L884" s="310">
        <f>J884*K884</f>
        <v>465333.33333333337</v>
      </c>
    </row>
    <row r="885" spans="5:13" ht="15" customHeight="1" thickBot="1">
      <c r="F885" s="306"/>
      <c r="G885" s="301" t="s">
        <v>335</v>
      </c>
      <c r="H885" s="302"/>
      <c r="I885" s="307" t="s">
        <v>188</v>
      </c>
      <c r="J885" s="308">
        <v>215</v>
      </c>
      <c r="K885" s="328">
        <f>VLOOKUP(G885,Bahan,6,FALSE)</f>
        <v>75</v>
      </c>
      <c r="L885" s="310">
        <f>J885*K885</f>
        <v>16125</v>
      </c>
    </row>
    <row r="886" spans="5:13" ht="15" customHeight="1" thickBot="1">
      <c r="F886" s="316"/>
      <c r="G886" s="317"/>
      <c r="H886" s="318"/>
      <c r="I886" s="318"/>
      <c r="J886" s="319" t="s">
        <v>189</v>
      </c>
      <c r="K886" s="320"/>
      <c r="L886" s="321">
        <f>SUM(L882:L885)</f>
        <v>1353438.3333333335</v>
      </c>
    </row>
    <row r="887" spans="5:13" ht="15" customHeight="1" thickBot="1">
      <c r="F887" s="300" t="s">
        <v>190</v>
      </c>
      <c r="G887" s="301" t="s">
        <v>191</v>
      </c>
      <c r="H887" s="302"/>
      <c r="I887" s="302"/>
      <c r="J887" s="351"/>
      <c r="K887" s="328">
        <v>0</v>
      </c>
      <c r="L887" s="310">
        <f>J887*K887</f>
        <v>0</v>
      </c>
    </row>
    <row r="888" spans="5:13" ht="15" customHeight="1" thickBot="1">
      <c r="F888" s="316"/>
      <c r="G888" s="317"/>
      <c r="H888" s="318"/>
      <c r="I888" s="318"/>
      <c r="J888" s="319" t="s">
        <v>192</v>
      </c>
      <c r="K888" s="320"/>
      <c r="L888" s="321">
        <f>L887</f>
        <v>0</v>
      </c>
    </row>
    <row r="889" spans="5:13" ht="15" customHeight="1">
      <c r="F889" s="344" t="s">
        <v>193</v>
      </c>
      <c r="G889" s="345" t="s">
        <v>194</v>
      </c>
      <c r="H889" s="346"/>
      <c r="I889" s="346"/>
      <c r="J889" s="347"/>
      <c r="K889" s="348">
        <v>0</v>
      </c>
      <c r="L889" s="310">
        <f>SUM(L876:L888)/2</f>
        <v>1619668.3333333335</v>
      </c>
    </row>
    <row r="890" spans="5:13" ht="15" customHeight="1" thickBot="1">
      <c r="F890" s="331" t="s">
        <v>195</v>
      </c>
      <c r="G890" s="332" t="s">
        <v>196</v>
      </c>
      <c r="H890" s="333"/>
      <c r="I890" s="333"/>
      <c r="J890" s="350">
        <v>0.1</v>
      </c>
      <c r="K890" s="335"/>
      <c r="L890" s="330">
        <f>J890*L889</f>
        <v>161966.83333333337</v>
      </c>
    </row>
    <row r="891" spans="5:13" ht="15" customHeight="1" thickBot="1">
      <c r="F891" s="340" t="s">
        <v>197</v>
      </c>
      <c r="G891" s="341" t="s">
        <v>198</v>
      </c>
      <c r="H891" s="318"/>
      <c r="I891" s="318"/>
      <c r="J891" s="342"/>
      <c r="K891" s="320">
        <v>0</v>
      </c>
      <c r="L891" s="321">
        <f>ROUNDDOWN(L889+L890,0)</f>
        <v>1781635</v>
      </c>
    </row>
    <row r="892" spans="5:13" ht="15" customHeight="1">
      <c r="F892" s="298"/>
      <c r="G892" s="298"/>
      <c r="J892" s="343"/>
    </row>
    <row r="893" spans="5:13" ht="15" customHeight="1" thickBot="1">
      <c r="E893" s="356" t="s">
        <v>350</v>
      </c>
      <c r="F893" s="295" t="s">
        <v>351</v>
      </c>
      <c r="J893" s="343"/>
      <c r="M893" s="299">
        <f>L911</f>
        <v>1802958</v>
      </c>
    </row>
    <row r="894" spans="5:13" ht="15" customHeight="1" thickBot="1">
      <c r="F894" s="340" t="s">
        <v>136</v>
      </c>
      <c r="G894" s="341" t="s">
        <v>162</v>
      </c>
      <c r="H894" s="352" t="s">
        <v>163</v>
      </c>
      <c r="I894" s="352" t="s">
        <v>138</v>
      </c>
      <c r="J894" s="353" t="s">
        <v>164</v>
      </c>
      <c r="K894" s="341" t="s">
        <v>165</v>
      </c>
      <c r="L894" s="354" t="s">
        <v>166</v>
      </c>
    </row>
    <row r="895" spans="5:13" ht="15" customHeight="1">
      <c r="F895" s="300" t="s">
        <v>167</v>
      </c>
      <c r="G895" s="301" t="s">
        <v>168</v>
      </c>
      <c r="H895" s="302"/>
      <c r="I895" s="302"/>
      <c r="J895" s="351"/>
      <c r="K895" s="328"/>
      <c r="L895" s="310"/>
    </row>
    <row r="896" spans="5:13" ht="15" customHeight="1">
      <c r="F896" s="306"/>
      <c r="G896" s="301" t="s">
        <v>169</v>
      </c>
      <c r="H896" s="307" t="s">
        <v>170</v>
      </c>
      <c r="I896" s="307" t="s">
        <v>171</v>
      </c>
      <c r="J896" s="308">
        <v>1.65</v>
      </c>
      <c r="K896" s="309">
        <f>VLOOKUP(G896,Upah,8,FALSE)</f>
        <v>125000</v>
      </c>
      <c r="L896" s="310">
        <f>J896*K896</f>
        <v>206250</v>
      </c>
    </row>
    <row r="897" spans="6:12" ht="15" customHeight="1">
      <c r="F897" s="306"/>
      <c r="G897" s="301" t="s">
        <v>308</v>
      </c>
      <c r="H897" s="307" t="s">
        <v>217</v>
      </c>
      <c r="I897" s="307" t="s">
        <v>171</v>
      </c>
      <c r="J897" s="308">
        <v>0.27500000000000002</v>
      </c>
      <c r="K897" s="309">
        <f>VLOOKUP(G897,Upah,8,FALSE)</f>
        <v>150000</v>
      </c>
      <c r="L897" s="310">
        <f>J897*K897</f>
        <v>41250</v>
      </c>
    </row>
    <row r="898" spans="6:12" ht="15" customHeight="1">
      <c r="F898" s="306"/>
      <c r="G898" s="301" t="s">
        <v>174</v>
      </c>
      <c r="H898" s="307" t="s">
        <v>175</v>
      </c>
      <c r="I898" s="307" t="s">
        <v>171</v>
      </c>
      <c r="J898" s="308">
        <v>2.8000000000000001E-2</v>
      </c>
      <c r="K898" s="309">
        <f>VLOOKUP(G898,Upah,8,FALSE)</f>
        <v>165000</v>
      </c>
      <c r="L898" s="310">
        <f>J898*K898</f>
        <v>4620</v>
      </c>
    </row>
    <row r="899" spans="6:12" ht="15" customHeight="1" thickBot="1">
      <c r="F899" s="306"/>
      <c r="G899" s="301" t="s">
        <v>176</v>
      </c>
      <c r="H899" s="313" t="s">
        <v>177</v>
      </c>
      <c r="I899" s="307" t="s">
        <v>171</v>
      </c>
      <c r="J899" s="308">
        <v>8.3000000000000004E-2</v>
      </c>
      <c r="K899" s="309">
        <f>VLOOKUP(G899,Upah,8,FALSE)</f>
        <v>170000</v>
      </c>
      <c r="L899" s="310">
        <f>J899*K899</f>
        <v>14110</v>
      </c>
    </row>
    <row r="900" spans="6:12" ht="15" customHeight="1" thickBot="1">
      <c r="F900" s="316"/>
      <c r="G900" s="317"/>
      <c r="H900" s="318"/>
      <c r="I900" s="318"/>
      <c r="J900" s="319" t="s">
        <v>178</v>
      </c>
      <c r="K900" s="320"/>
      <c r="L900" s="321">
        <f>SUM(L896:L899)</f>
        <v>266230</v>
      </c>
    </row>
    <row r="901" spans="6:12" ht="15" customHeight="1">
      <c r="F901" s="300" t="s">
        <v>179</v>
      </c>
      <c r="G901" s="301" t="s">
        <v>180</v>
      </c>
      <c r="H901" s="302"/>
      <c r="I901" s="302"/>
      <c r="J901" s="351"/>
      <c r="K901" s="328"/>
      <c r="L901" s="310"/>
    </row>
    <row r="902" spans="6:12" ht="15" customHeight="1">
      <c r="F902" s="306"/>
      <c r="G902" s="301" t="s">
        <v>183</v>
      </c>
      <c r="H902" s="302"/>
      <c r="I902" s="307" t="s">
        <v>38</v>
      </c>
      <c r="J902" s="308">
        <v>384</v>
      </c>
      <c r="K902" s="328">
        <f>VLOOKUP(G902,Bahan,6,FALSE)</f>
        <v>1880</v>
      </c>
      <c r="L902" s="310">
        <f>J902*K902</f>
        <v>721920</v>
      </c>
    </row>
    <row r="903" spans="6:12" ht="15" customHeight="1">
      <c r="F903" s="306"/>
      <c r="G903" s="301" t="s">
        <v>1706</v>
      </c>
      <c r="H903" s="302"/>
      <c r="I903" s="307" t="s">
        <v>38</v>
      </c>
      <c r="J903" s="308">
        <v>692</v>
      </c>
      <c r="K903" s="328">
        <f>VLOOKUP(G903,Bahan,6,FALSE)</f>
        <v>250</v>
      </c>
      <c r="L903" s="310">
        <f>J903*K903</f>
        <v>173000</v>
      </c>
    </row>
    <row r="904" spans="6:12" ht="15" customHeight="1">
      <c r="F904" s="306"/>
      <c r="G904" s="301" t="s">
        <v>1701</v>
      </c>
      <c r="H904" s="302"/>
      <c r="I904" s="307" t="s">
        <v>38</v>
      </c>
      <c r="J904" s="308">
        <v>1039</v>
      </c>
      <c r="K904" s="328">
        <f>VLOOKUP(G904,Bahan,6,FALSE)</f>
        <v>444.44444444444446</v>
      </c>
      <c r="L904" s="310">
        <f>J904*K904</f>
        <v>461777.77777777781</v>
      </c>
    </row>
    <row r="905" spans="6:12" ht="15" customHeight="1" thickBot="1">
      <c r="F905" s="306"/>
      <c r="G905" s="301" t="s">
        <v>335</v>
      </c>
      <c r="H905" s="302"/>
      <c r="I905" s="307" t="s">
        <v>188</v>
      </c>
      <c r="J905" s="308">
        <v>215</v>
      </c>
      <c r="K905" s="328">
        <f>VLOOKUP(G905,Bahan,6,FALSE)</f>
        <v>75</v>
      </c>
      <c r="L905" s="310">
        <f>J905*K905</f>
        <v>16125</v>
      </c>
    </row>
    <row r="906" spans="6:12" ht="15" customHeight="1" thickBot="1">
      <c r="F906" s="316"/>
      <c r="G906" s="317"/>
      <c r="H906" s="318"/>
      <c r="I906" s="318"/>
      <c r="J906" s="319" t="s">
        <v>189</v>
      </c>
      <c r="K906" s="320"/>
      <c r="L906" s="321">
        <f>SUM(L902:L905)</f>
        <v>1372822.7777777778</v>
      </c>
    </row>
    <row r="907" spans="6:12" ht="15" customHeight="1" thickBot="1">
      <c r="F907" s="300" t="s">
        <v>190</v>
      </c>
      <c r="G907" s="301" t="s">
        <v>191</v>
      </c>
      <c r="H907" s="302"/>
      <c r="I907" s="302"/>
      <c r="J907" s="351"/>
      <c r="K907" s="328">
        <v>0</v>
      </c>
      <c r="L907" s="310">
        <f>J907*K907</f>
        <v>0</v>
      </c>
    </row>
    <row r="908" spans="6:12" ht="15" customHeight="1" thickBot="1">
      <c r="F908" s="316"/>
      <c r="G908" s="317"/>
      <c r="H908" s="318"/>
      <c r="I908" s="318"/>
      <c r="J908" s="319" t="s">
        <v>192</v>
      </c>
      <c r="K908" s="320"/>
      <c r="L908" s="321">
        <f>L907</f>
        <v>0</v>
      </c>
    </row>
    <row r="909" spans="6:12" ht="15" customHeight="1">
      <c r="F909" s="344" t="s">
        <v>193</v>
      </c>
      <c r="G909" s="345" t="s">
        <v>194</v>
      </c>
      <c r="H909" s="346"/>
      <c r="I909" s="346"/>
      <c r="J909" s="347"/>
      <c r="K909" s="348">
        <v>0</v>
      </c>
      <c r="L909" s="310">
        <f>SUM(L896:L908)/2</f>
        <v>1639052.7777777778</v>
      </c>
    </row>
    <row r="910" spans="6:12" ht="15" customHeight="1" thickBot="1">
      <c r="F910" s="331" t="s">
        <v>195</v>
      </c>
      <c r="G910" s="332" t="s">
        <v>196</v>
      </c>
      <c r="H910" s="333"/>
      <c r="I910" s="333"/>
      <c r="J910" s="350">
        <v>0.1</v>
      </c>
      <c r="K910" s="335"/>
      <c r="L910" s="330">
        <f>J910*L909</f>
        <v>163905.27777777778</v>
      </c>
    </row>
    <row r="911" spans="6:12" ht="15" customHeight="1" thickBot="1">
      <c r="F911" s="340" t="s">
        <v>197</v>
      </c>
      <c r="G911" s="341" t="s">
        <v>198</v>
      </c>
      <c r="H911" s="318"/>
      <c r="I911" s="318"/>
      <c r="J911" s="342"/>
      <c r="K911" s="320">
        <v>0</v>
      </c>
      <c r="L911" s="321">
        <f>ROUNDDOWN(L909+L910,0)</f>
        <v>1802958</v>
      </c>
    </row>
    <row r="912" spans="6:12" ht="15" customHeight="1">
      <c r="F912" s="298"/>
      <c r="G912" s="298"/>
      <c r="J912" s="343"/>
      <c r="K912" s="355"/>
      <c r="L912" s="299"/>
    </row>
    <row r="913" spans="5:13" ht="15" customHeight="1" thickBot="1">
      <c r="E913" s="356" t="s">
        <v>352</v>
      </c>
      <c r="F913" s="295" t="s">
        <v>353</v>
      </c>
      <c r="J913" s="343"/>
      <c r="M913" s="299">
        <f>L931</f>
        <v>1839898</v>
      </c>
    </row>
    <row r="914" spans="5:13" ht="15" customHeight="1" thickBot="1">
      <c r="F914" s="340" t="s">
        <v>136</v>
      </c>
      <c r="G914" s="341" t="s">
        <v>162</v>
      </c>
      <c r="H914" s="352" t="s">
        <v>163</v>
      </c>
      <c r="I914" s="352" t="s">
        <v>138</v>
      </c>
      <c r="J914" s="353" t="s">
        <v>164</v>
      </c>
      <c r="K914" s="341" t="s">
        <v>165</v>
      </c>
      <c r="L914" s="354" t="s">
        <v>166</v>
      </c>
    </row>
    <row r="915" spans="5:13" ht="15" customHeight="1">
      <c r="F915" s="300" t="s">
        <v>167</v>
      </c>
      <c r="G915" s="301" t="s">
        <v>168</v>
      </c>
      <c r="H915" s="302"/>
      <c r="I915" s="302"/>
      <c r="J915" s="351"/>
      <c r="K915" s="328"/>
      <c r="L915" s="310"/>
    </row>
    <row r="916" spans="5:13" ht="15" customHeight="1">
      <c r="F916" s="306"/>
      <c r="G916" s="301" t="s">
        <v>169</v>
      </c>
      <c r="H916" s="307" t="s">
        <v>170</v>
      </c>
      <c r="I916" s="307" t="s">
        <v>171</v>
      </c>
      <c r="J916" s="308">
        <v>1.65</v>
      </c>
      <c r="K916" s="309">
        <f>VLOOKUP(G916,Upah,8,FALSE)</f>
        <v>125000</v>
      </c>
      <c r="L916" s="310">
        <f>J916*K916</f>
        <v>206250</v>
      </c>
    </row>
    <row r="917" spans="5:13" ht="15" customHeight="1">
      <c r="F917" s="306"/>
      <c r="G917" s="301" t="s">
        <v>308</v>
      </c>
      <c r="H917" s="307" t="s">
        <v>217</v>
      </c>
      <c r="I917" s="307" t="s">
        <v>171</v>
      </c>
      <c r="J917" s="308">
        <v>0.27500000000000002</v>
      </c>
      <c r="K917" s="309">
        <f>VLOOKUP(G917,Upah,8,FALSE)</f>
        <v>150000</v>
      </c>
      <c r="L917" s="310">
        <f>J917*K917</f>
        <v>41250</v>
      </c>
    </row>
    <row r="918" spans="5:13" ht="15" customHeight="1">
      <c r="F918" s="306"/>
      <c r="G918" s="301" t="s">
        <v>174</v>
      </c>
      <c r="H918" s="307" t="s">
        <v>175</v>
      </c>
      <c r="I918" s="307" t="s">
        <v>171</v>
      </c>
      <c r="J918" s="308">
        <v>2.8000000000000001E-2</v>
      </c>
      <c r="K918" s="309">
        <f>VLOOKUP(G918,Upah,8,FALSE)</f>
        <v>165000</v>
      </c>
      <c r="L918" s="310">
        <f>J918*K918</f>
        <v>4620</v>
      </c>
    </row>
    <row r="919" spans="5:13" ht="15" customHeight="1" thickBot="1">
      <c r="F919" s="306"/>
      <c r="G919" s="301" t="s">
        <v>176</v>
      </c>
      <c r="H919" s="313" t="s">
        <v>177</v>
      </c>
      <c r="I919" s="307" t="s">
        <v>171</v>
      </c>
      <c r="J919" s="308">
        <v>8.3000000000000004E-2</v>
      </c>
      <c r="K919" s="309">
        <f>VLOOKUP(G919,Upah,8,FALSE)</f>
        <v>170000</v>
      </c>
      <c r="L919" s="310">
        <f>J919*K919</f>
        <v>14110</v>
      </c>
    </row>
    <row r="920" spans="5:13" ht="15" customHeight="1" thickBot="1">
      <c r="F920" s="316"/>
      <c r="G920" s="317"/>
      <c r="H920" s="318"/>
      <c r="I920" s="318"/>
      <c r="J920" s="319" t="s">
        <v>178</v>
      </c>
      <c r="K920" s="320"/>
      <c r="L920" s="321">
        <f>SUM(L916:L919)</f>
        <v>266230</v>
      </c>
    </row>
    <row r="921" spans="5:13" ht="15" customHeight="1">
      <c r="F921" s="300" t="s">
        <v>179</v>
      </c>
      <c r="G921" s="301" t="s">
        <v>180</v>
      </c>
      <c r="H921" s="302"/>
      <c r="I921" s="302"/>
      <c r="J921" s="351"/>
      <c r="K921" s="328"/>
      <c r="L921" s="310"/>
    </row>
    <row r="922" spans="5:13" ht="15" customHeight="1">
      <c r="F922" s="306"/>
      <c r="G922" s="301" t="s">
        <v>183</v>
      </c>
      <c r="H922" s="302"/>
      <c r="I922" s="307" t="s">
        <v>38</v>
      </c>
      <c r="J922" s="308">
        <v>406</v>
      </c>
      <c r="K922" s="328">
        <f>VLOOKUP(G922,Bahan,6,FALSE)</f>
        <v>1880</v>
      </c>
      <c r="L922" s="310">
        <f>J922*K922</f>
        <v>763280</v>
      </c>
    </row>
    <row r="923" spans="5:13" ht="15" customHeight="1">
      <c r="F923" s="306"/>
      <c r="G923" s="301" t="s">
        <v>1706</v>
      </c>
      <c r="H923" s="302"/>
      <c r="I923" s="307" t="s">
        <v>38</v>
      </c>
      <c r="J923" s="308">
        <v>684</v>
      </c>
      <c r="K923" s="328">
        <f>VLOOKUP(G923,Bahan,6,FALSE)</f>
        <v>250</v>
      </c>
      <c r="L923" s="310">
        <f>J923*K923</f>
        <v>171000</v>
      </c>
    </row>
    <row r="924" spans="5:13" ht="15" customHeight="1">
      <c r="F924" s="306"/>
      <c r="G924" s="301" t="s">
        <v>1701</v>
      </c>
      <c r="H924" s="302"/>
      <c r="I924" s="307" t="s">
        <v>38</v>
      </c>
      <c r="J924" s="308">
        <v>1026</v>
      </c>
      <c r="K924" s="328">
        <f>VLOOKUP(G924,Bahan,6,FALSE)</f>
        <v>444.44444444444446</v>
      </c>
      <c r="L924" s="310">
        <f>J924*K924</f>
        <v>456000</v>
      </c>
    </row>
    <row r="925" spans="5:13" ht="15" customHeight="1" thickBot="1">
      <c r="F925" s="306"/>
      <c r="G925" s="301" t="s">
        <v>335</v>
      </c>
      <c r="H925" s="302"/>
      <c r="I925" s="307" t="s">
        <v>188</v>
      </c>
      <c r="J925" s="308">
        <v>215</v>
      </c>
      <c r="K925" s="328">
        <f>VLOOKUP(G925,Bahan,6,FALSE)</f>
        <v>75</v>
      </c>
      <c r="L925" s="310">
        <f>J925*K925</f>
        <v>16125</v>
      </c>
    </row>
    <row r="926" spans="5:13" ht="15" customHeight="1" thickBot="1">
      <c r="F926" s="316"/>
      <c r="G926" s="317"/>
      <c r="H926" s="318"/>
      <c r="I926" s="318"/>
      <c r="J926" s="319" t="s">
        <v>189</v>
      </c>
      <c r="K926" s="320"/>
      <c r="L926" s="321">
        <f>SUM(L922:L925)</f>
        <v>1406405</v>
      </c>
    </row>
    <row r="927" spans="5:13" ht="15" customHeight="1" thickBot="1">
      <c r="F927" s="300" t="s">
        <v>190</v>
      </c>
      <c r="G927" s="301" t="s">
        <v>191</v>
      </c>
      <c r="H927" s="302"/>
      <c r="I927" s="302"/>
      <c r="J927" s="351"/>
      <c r="K927" s="328">
        <v>0</v>
      </c>
      <c r="L927" s="310">
        <f>J927*K927</f>
        <v>0</v>
      </c>
    </row>
    <row r="928" spans="5:13" ht="15" customHeight="1" thickBot="1">
      <c r="F928" s="316"/>
      <c r="G928" s="317"/>
      <c r="H928" s="318"/>
      <c r="I928" s="318"/>
      <c r="J928" s="319" t="s">
        <v>192</v>
      </c>
      <c r="K928" s="320"/>
      <c r="L928" s="321">
        <f>L927</f>
        <v>0</v>
      </c>
    </row>
    <row r="929" spans="5:13" ht="15" customHeight="1">
      <c r="F929" s="344" t="s">
        <v>193</v>
      </c>
      <c r="G929" s="345" t="s">
        <v>194</v>
      </c>
      <c r="H929" s="346"/>
      <c r="I929" s="346"/>
      <c r="J929" s="347"/>
      <c r="K929" s="348">
        <v>0</v>
      </c>
      <c r="L929" s="310">
        <f>SUM(L915:L928)/2</f>
        <v>1672635</v>
      </c>
    </row>
    <row r="930" spans="5:13" ht="15" customHeight="1" thickBot="1">
      <c r="F930" s="331" t="s">
        <v>195</v>
      </c>
      <c r="G930" s="332" t="s">
        <v>196</v>
      </c>
      <c r="H930" s="333"/>
      <c r="I930" s="333"/>
      <c r="J930" s="350">
        <v>0.1</v>
      </c>
      <c r="K930" s="335"/>
      <c r="L930" s="330">
        <f>J930*L929</f>
        <v>167263.5</v>
      </c>
    </row>
    <row r="931" spans="5:13" ht="15" customHeight="1" thickBot="1">
      <c r="F931" s="340" t="s">
        <v>197</v>
      </c>
      <c r="G931" s="341" t="s">
        <v>198</v>
      </c>
      <c r="H931" s="318"/>
      <c r="I931" s="318"/>
      <c r="J931" s="342"/>
      <c r="K931" s="320">
        <v>0</v>
      </c>
      <c r="L931" s="321">
        <f>ROUNDDOWN(L929+L930,0)</f>
        <v>1839898</v>
      </c>
    </row>
    <row r="932" spans="5:13" ht="15" customHeight="1">
      <c r="F932" s="298"/>
      <c r="G932" s="298"/>
      <c r="J932" s="343"/>
      <c r="K932" s="355"/>
      <c r="L932" s="299"/>
    </row>
    <row r="933" spans="5:13" ht="15" customHeight="1" thickBot="1">
      <c r="E933" s="356" t="s">
        <v>354</v>
      </c>
      <c r="F933" s="295" t="s">
        <v>355</v>
      </c>
      <c r="J933" s="343"/>
      <c r="M933" s="299">
        <f>L951</f>
        <v>1851105</v>
      </c>
    </row>
    <row r="934" spans="5:13" ht="15" customHeight="1" thickBot="1">
      <c r="F934" s="340" t="s">
        <v>136</v>
      </c>
      <c r="G934" s="341" t="s">
        <v>162</v>
      </c>
      <c r="H934" s="352" t="s">
        <v>163</v>
      </c>
      <c r="I934" s="352" t="s">
        <v>138</v>
      </c>
      <c r="J934" s="353" t="s">
        <v>164</v>
      </c>
      <c r="K934" s="341" t="s">
        <v>165</v>
      </c>
      <c r="L934" s="354" t="s">
        <v>166</v>
      </c>
    </row>
    <row r="935" spans="5:13" ht="15" customHeight="1">
      <c r="F935" s="300" t="s">
        <v>167</v>
      </c>
      <c r="G935" s="301" t="s">
        <v>168</v>
      </c>
      <c r="H935" s="302"/>
      <c r="I935" s="302"/>
      <c r="J935" s="351"/>
      <c r="K935" s="328"/>
      <c r="L935" s="310"/>
    </row>
    <row r="936" spans="5:13" ht="15" customHeight="1">
      <c r="F936" s="306"/>
      <c r="G936" s="301" t="s">
        <v>169</v>
      </c>
      <c r="H936" s="307" t="s">
        <v>170</v>
      </c>
      <c r="I936" s="307" t="s">
        <v>171</v>
      </c>
      <c r="J936" s="308">
        <v>1.65</v>
      </c>
      <c r="K936" s="309">
        <f>VLOOKUP(G936,Upah,8,FALSE)</f>
        <v>125000</v>
      </c>
      <c r="L936" s="310">
        <f>J936*K936</f>
        <v>206250</v>
      </c>
    </row>
    <row r="937" spans="5:13" ht="15" customHeight="1">
      <c r="F937" s="306"/>
      <c r="G937" s="301" t="s">
        <v>308</v>
      </c>
      <c r="H937" s="307" t="s">
        <v>217</v>
      </c>
      <c r="I937" s="307" t="s">
        <v>171</v>
      </c>
      <c r="J937" s="308">
        <v>0.27500000000000002</v>
      </c>
      <c r="K937" s="309">
        <f>VLOOKUP(G937,Upah,8,FALSE)</f>
        <v>150000</v>
      </c>
      <c r="L937" s="310">
        <f>J937*K937</f>
        <v>41250</v>
      </c>
    </row>
    <row r="938" spans="5:13" ht="15" customHeight="1">
      <c r="F938" s="306"/>
      <c r="G938" s="301" t="s">
        <v>174</v>
      </c>
      <c r="H938" s="307" t="s">
        <v>175</v>
      </c>
      <c r="I938" s="307" t="s">
        <v>171</v>
      </c>
      <c r="J938" s="308">
        <v>2.8000000000000001E-2</v>
      </c>
      <c r="K938" s="309">
        <f>VLOOKUP(G938,Upah,8,FALSE)</f>
        <v>165000</v>
      </c>
      <c r="L938" s="310">
        <f>J938*K938</f>
        <v>4620</v>
      </c>
    </row>
    <row r="939" spans="5:13" ht="15" customHeight="1" thickBot="1">
      <c r="F939" s="306"/>
      <c r="G939" s="301" t="s">
        <v>176</v>
      </c>
      <c r="H939" s="313" t="s">
        <v>177</v>
      </c>
      <c r="I939" s="307" t="s">
        <v>171</v>
      </c>
      <c r="J939" s="308">
        <v>8.3000000000000004E-2</v>
      </c>
      <c r="K939" s="309">
        <f>VLOOKUP(G939,Upah,8,FALSE)</f>
        <v>170000</v>
      </c>
      <c r="L939" s="310">
        <f>J939*K939</f>
        <v>14110</v>
      </c>
    </row>
    <row r="940" spans="5:13" ht="15" customHeight="1" thickBot="1">
      <c r="F940" s="316"/>
      <c r="G940" s="317"/>
      <c r="H940" s="318"/>
      <c r="I940" s="318"/>
      <c r="J940" s="319" t="s">
        <v>178</v>
      </c>
      <c r="K940" s="320"/>
      <c r="L940" s="321">
        <f>SUM(L936:L939)</f>
        <v>266230</v>
      </c>
    </row>
    <row r="941" spans="5:13" ht="15" customHeight="1">
      <c r="F941" s="300" t="s">
        <v>179</v>
      </c>
      <c r="G941" s="301" t="s">
        <v>180</v>
      </c>
      <c r="H941" s="302"/>
      <c r="I941" s="302"/>
      <c r="J941" s="351"/>
      <c r="K941" s="328"/>
      <c r="L941" s="310"/>
    </row>
    <row r="942" spans="5:13" ht="15" customHeight="1">
      <c r="F942" s="306"/>
      <c r="G942" s="301" t="s">
        <v>183</v>
      </c>
      <c r="H942" s="302"/>
      <c r="I942" s="307" t="s">
        <v>38</v>
      </c>
      <c r="J942" s="308">
        <v>413</v>
      </c>
      <c r="K942" s="328">
        <f>VLOOKUP(G942,Bahan,6,FALSE)</f>
        <v>1880</v>
      </c>
      <c r="L942" s="310">
        <f>J942*K942</f>
        <v>776440</v>
      </c>
    </row>
    <row r="943" spans="5:13" ht="15" customHeight="1">
      <c r="F943" s="306"/>
      <c r="G943" s="301" t="s">
        <v>1706</v>
      </c>
      <c r="H943" s="302"/>
      <c r="I943" s="307" t="s">
        <v>38</v>
      </c>
      <c r="J943" s="308">
        <v>681</v>
      </c>
      <c r="K943" s="328">
        <f>VLOOKUP(G943,Bahan,6,FALSE)</f>
        <v>250</v>
      </c>
      <c r="L943" s="310">
        <f>J943*K943</f>
        <v>170250</v>
      </c>
    </row>
    <row r="944" spans="5:13" ht="15" customHeight="1">
      <c r="F944" s="306"/>
      <c r="G944" s="301" t="s">
        <v>1701</v>
      </c>
      <c r="H944" s="302"/>
      <c r="I944" s="307" t="s">
        <v>38</v>
      </c>
      <c r="J944" s="308">
        <v>1021</v>
      </c>
      <c r="K944" s="328">
        <f>VLOOKUP(G944,Bahan,6,FALSE)</f>
        <v>444.44444444444446</v>
      </c>
      <c r="L944" s="310">
        <f>J944*K944</f>
        <v>453777.77777777781</v>
      </c>
    </row>
    <row r="945" spans="5:13" ht="15" customHeight="1" thickBot="1">
      <c r="F945" s="306"/>
      <c r="G945" s="301" t="s">
        <v>335</v>
      </c>
      <c r="H945" s="302"/>
      <c r="I945" s="307" t="s">
        <v>188</v>
      </c>
      <c r="J945" s="308">
        <v>215</v>
      </c>
      <c r="K945" s="328">
        <f>VLOOKUP(G945,Bahan,6,FALSE)</f>
        <v>75</v>
      </c>
      <c r="L945" s="310">
        <f>J945*K945</f>
        <v>16125</v>
      </c>
    </row>
    <row r="946" spans="5:13" ht="15" customHeight="1" thickBot="1">
      <c r="F946" s="316"/>
      <c r="G946" s="317"/>
      <c r="H946" s="318"/>
      <c r="I946" s="318"/>
      <c r="J946" s="319" t="s">
        <v>189</v>
      </c>
      <c r="K946" s="320"/>
      <c r="L946" s="321">
        <f>SUM(L942:L945)</f>
        <v>1416592.7777777778</v>
      </c>
    </row>
    <row r="947" spans="5:13" ht="15" customHeight="1" thickBot="1">
      <c r="F947" s="300" t="s">
        <v>190</v>
      </c>
      <c r="G947" s="301" t="s">
        <v>191</v>
      </c>
      <c r="H947" s="302"/>
      <c r="I947" s="302"/>
      <c r="J947" s="351"/>
      <c r="K947" s="328">
        <v>0</v>
      </c>
      <c r="L947" s="310">
        <f>J947*K947</f>
        <v>0</v>
      </c>
    </row>
    <row r="948" spans="5:13" ht="15" customHeight="1" thickBot="1">
      <c r="F948" s="316"/>
      <c r="G948" s="317"/>
      <c r="H948" s="318"/>
      <c r="I948" s="318"/>
      <c r="J948" s="319" t="s">
        <v>192</v>
      </c>
      <c r="K948" s="320"/>
      <c r="L948" s="321">
        <f>L947</f>
        <v>0</v>
      </c>
    </row>
    <row r="949" spans="5:13" ht="15" customHeight="1">
      <c r="F949" s="344" t="s">
        <v>193</v>
      </c>
      <c r="G949" s="345" t="s">
        <v>194</v>
      </c>
      <c r="H949" s="346"/>
      <c r="I949" s="346"/>
      <c r="J949" s="347"/>
      <c r="K949" s="348">
        <v>0</v>
      </c>
      <c r="L949" s="310">
        <f>SUM(L935:L948)/2</f>
        <v>1682822.7777777778</v>
      </c>
    </row>
    <row r="950" spans="5:13" ht="15" customHeight="1" thickBot="1">
      <c r="F950" s="331" t="s">
        <v>195</v>
      </c>
      <c r="G950" s="332" t="s">
        <v>196</v>
      </c>
      <c r="H950" s="333"/>
      <c r="I950" s="333"/>
      <c r="J950" s="350">
        <v>0.1</v>
      </c>
      <c r="K950" s="335"/>
      <c r="L950" s="330">
        <f>J950*L949</f>
        <v>168282.27777777778</v>
      </c>
    </row>
    <row r="951" spans="5:13" ht="15" customHeight="1" thickBot="1">
      <c r="F951" s="340" t="s">
        <v>197</v>
      </c>
      <c r="G951" s="341" t="s">
        <v>198</v>
      </c>
      <c r="H951" s="318"/>
      <c r="I951" s="318"/>
      <c r="J951" s="342"/>
      <c r="K951" s="320">
        <v>0</v>
      </c>
      <c r="L951" s="321">
        <f>ROUNDDOWN(L949+L950,0)</f>
        <v>1851105</v>
      </c>
    </row>
    <row r="952" spans="5:13" ht="15" customHeight="1">
      <c r="F952" s="298"/>
      <c r="G952" s="298"/>
      <c r="J952" s="343"/>
    </row>
    <row r="953" spans="5:13" ht="15" customHeight="1" thickBot="1">
      <c r="E953" s="356" t="s">
        <v>356</v>
      </c>
      <c r="F953" s="295" t="s">
        <v>357</v>
      </c>
      <c r="J953" s="343"/>
      <c r="M953" s="299">
        <f>L971</f>
        <v>1974149</v>
      </c>
    </row>
    <row r="954" spans="5:13" ht="15" customHeight="1" thickBot="1">
      <c r="F954" s="340" t="s">
        <v>136</v>
      </c>
      <c r="G954" s="341" t="s">
        <v>162</v>
      </c>
      <c r="H954" s="352" t="s">
        <v>163</v>
      </c>
      <c r="I954" s="352" t="s">
        <v>138</v>
      </c>
      <c r="J954" s="353" t="s">
        <v>164</v>
      </c>
      <c r="K954" s="341" t="s">
        <v>165</v>
      </c>
      <c r="L954" s="354" t="s">
        <v>166</v>
      </c>
    </row>
    <row r="955" spans="5:13" ht="15" customHeight="1">
      <c r="F955" s="300" t="s">
        <v>167</v>
      </c>
      <c r="G955" s="301" t="s">
        <v>168</v>
      </c>
      <c r="H955" s="302"/>
      <c r="I955" s="302"/>
      <c r="J955" s="351"/>
      <c r="K955" s="328"/>
      <c r="L955" s="310"/>
    </row>
    <row r="956" spans="5:13" ht="15" customHeight="1">
      <c r="F956" s="306"/>
      <c r="G956" s="301" t="s">
        <v>169</v>
      </c>
      <c r="H956" s="307" t="s">
        <v>170</v>
      </c>
      <c r="I956" s="307" t="s">
        <v>171</v>
      </c>
      <c r="J956" s="308">
        <v>2.1</v>
      </c>
      <c r="K956" s="309">
        <f>VLOOKUP(G956,Upah,8,FALSE)</f>
        <v>125000</v>
      </c>
      <c r="L956" s="310">
        <f>J956*K956</f>
        <v>262500</v>
      </c>
    </row>
    <row r="957" spans="5:13" ht="15" customHeight="1">
      <c r="F957" s="306"/>
      <c r="G957" s="301" t="s">
        <v>308</v>
      </c>
      <c r="H957" s="307" t="s">
        <v>217</v>
      </c>
      <c r="I957" s="307" t="s">
        <v>171</v>
      </c>
      <c r="J957" s="308">
        <v>0.35</v>
      </c>
      <c r="K957" s="309">
        <f>VLOOKUP(G957,Upah,8,FALSE)</f>
        <v>150000</v>
      </c>
      <c r="L957" s="310">
        <f>J957*K957</f>
        <v>52500</v>
      </c>
    </row>
    <row r="958" spans="5:13" ht="15" customHeight="1">
      <c r="F958" s="306"/>
      <c r="G958" s="301" t="s">
        <v>174</v>
      </c>
      <c r="H958" s="307" t="s">
        <v>175</v>
      </c>
      <c r="I958" s="307" t="s">
        <v>171</v>
      </c>
      <c r="J958" s="308">
        <v>3.5000000000000003E-2</v>
      </c>
      <c r="K958" s="309">
        <f>VLOOKUP(G958,Upah,8,FALSE)</f>
        <v>165000</v>
      </c>
      <c r="L958" s="310">
        <f>J958*K958</f>
        <v>5775.0000000000009</v>
      </c>
    </row>
    <row r="959" spans="5:13" ht="15" customHeight="1" thickBot="1">
      <c r="F959" s="306"/>
      <c r="G959" s="301" t="s">
        <v>176</v>
      </c>
      <c r="H959" s="313" t="s">
        <v>177</v>
      </c>
      <c r="I959" s="307" t="s">
        <v>171</v>
      </c>
      <c r="J959" s="308">
        <v>0.105</v>
      </c>
      <c r="K959" s="309">
        <f>VLOOKUP(G959,Upah,8,FALSE)</f>
        <v>170000</v>
      </c>
      <c r="L959" s="310">
        <f>J959*K959</f>
        <v>17850</v>
      </c>
    </row>
    <row r="960" spans="5:13" ht="15" customHeight="1" thickBot="1">
      <c r="F960" s="316"/>
      <c r="G960" s="317"/>
      <c r="H960" s="318"/>
      <c r="I960" s="318"/>
      <c r="J960" s="319" t="s">
        <v>178</v>
      </c>
      <c r="K960" s="320"/>
      <c r="L960" s="321">
        <f>SUM(L956:L959)</f>
        <v>338625</v>
      </c>
    </row>
    <row r="961" spans="5:13" ht="15" customHeight="1">
      <c r="F961" s="300" t="s">
        <v>179</v>
      </c>
      <c r="G961" s="301" t="s">
        <v>180</v>
      </c>
      <c r="H961" s="302"/>
      <c r="I961" s="302"/>
      <c r="J961" s="351"/>
      <c r="K961" s="328"/>
      <c r="L961" s="310"/>
    </row>
    <row r="962" spans="5:13" ht="15" customHeight="1">
      <c r="F962" s="306"/>
      <c r="G962" s="301" t="s">
        <v>183</v>
      </c>
      <c r="H962" s="302"/>
      <c r="I962" s="307" t="s">
        <v>38</v>
      </c>
      <c r="J962" s="308">
        <v>439</v>
      </c>
      <c r="K962" s="328">
        <f>VLOOKUP(G962,Bahan,6,FALSE)</f>
        <v>1880</v>
      </c>
      <c r="L962" s="310">
        <f>J962*K962</f>
        <v>825320</v>
      </c>
    </row>
    <row r="963" spans="5:13" ht="15" customHeight="1">
      <c r="F963" s="306"/>
      <c r="G963" s="301" t="s">
        <v>1706</v>
      </c>
      <c r="H963" s="302"/>
      <c r="I963" s="307" t="s">
        <v>38</v>
      </c>
      <c r="J963" s="308">
        <v>670</v>
      </c>
      <c r="K963" s="328">
        <f>VLOOKUP(G963,Bahan,6,FALSE)</f>
        <v>250</v>
      </c>
      <c r="L963" s="310">
        <f>J963*K963</f>
        <v>167500</v>
      </c>
    </row>
    <row r="964" spans="5:13" ht="15" customHeight="1">
      <c r="F964" s="306"/>
      <c r="G964" s="301" t="s">
        <v>1701</v>
      </c>
      <c r="H964" s="302"/>
      <c r="I964" s="307" t="s">
        <v>38</v>
      </c>
      <c r="J964" s="308">
        <v>1006</v>
      </c>
      <c r="K964" s="328">
        <f>VLOOKUP(G964,Bahan,6,FALSE)</f>
        <v>444.44444444444446</v>
      </c>
      <c r="L964" s="310">
        <f>J964*K964</f>
        <v>447111.11111111112</v>
      </c>
    </row>
    <row r="965" spans="5:13" ht="15" customHeight="1" thickBot="1">
      <c r="F965" s="306"/>
      <c r="G965" s="301" t="s">
        <v>335</v>
      </c>
      <c r="H965" s="302"/>
      <c r="I965" s="307" t="s">
        <v>188</v>
      </c>
      <c r="J965" s="308">
        <v>215</v>
      </c>
      <c r="K965" s="328">
        <f>VLOOKUP(G965,Bahan,6,FALSE)</f>
        <v>75</v>
      </c>
      <c r="L965" s="310">
        <f>J965*K965</f>
        <v>16125</v>
      </c>
    </row>
    <row r="966" spans="5:13" ht="15" customHeight="1" thickBot="1">
      <c r="F966" s="316"/>
      <c r="G966" s="317"/>
      <c r="H966" s="318"/>
      <c r="I966" s="318"/>
      <c r="J966" s="319" t="s">
        <v>189</v>
      </c>
      <c r="K966" s="320"/>
      <c r="L966" s="321">
        <f>SUM(L962:L965)</f>
        <v>1456056.111111111</v>
      </c>
    </row>
    <row r="967" spans="5:13" ht="15" customHeight="1" thickBot="1">
      <c r="F967" s="300" t="s">
        <v>190</v>
      </c>
      <c r="G967" s="301" t="s">
        <v>191</v>
      </c>
      <c r="H967" s="302"/>
      <c r="I967" s="302"/>
      <c r="J967" s="351"/>
      <c r="K967" s="328">
        <v>0</v>
      </c>
      <c r="L967" s="310">
        <f>J967*K967</f>
        <v>0</v>
      </c>
    </row>
    <row r="968" spans="5:13" ht="15" customHeight="1" thickBot="1">
      <c r="F968" s="316"/>
      <c r="G968" s="317"/>
      <c r="H968" s="318"/>
      <c r="I968" s="318"/>
      <c r="J968" s="319" t="s">
        <v>192</v>
      </c>
      <c r="K968" s="320"/>
      <c r="L968" s="321">
        <f>L967</f>
        <v>0</v>
      </c>
    </row>
    <row r="969" spans="5:13" ht="15" customHeight="1">
      <c r="F969" s="344" t="s">
        <v>193</v>
      </c>
      <c r="G969" s="345" t="s">
        <v>194</v>
      </c>
      <c r="H969" s="346"/>
      <c r="I969" s="346"/>
      <c r="J969" s="347"/>
      <c r="K969" s="348">
        <v>0</v>
      </c>
      <c r="L969" s="310">
        <f>SUM(L955:L968)/2</f>
        <v>1794681.111111111</v>
      </c>
    </row>
    <row r="970" spans="5:13" ht="15" customHeight="1" thickBot="1">
      <c r="F970" s="331" t="s">
        <v>195</v>
      </c>
      <c r="G970" s="332" t="s">
        <v>196</v>
      </c>
      <c r="H970" s="333"/>
      <c r="I970" s="333"/>
      <c r="J970" s="350">
        <v>0.1</v>
      </c>
      <c r="K970" s="335"/>
      <c r="L970" s="330">
        <f>J970*L969</f>
        <v>179468.11111111112</v>
      </c>
    </row>
    <row r="971" spans="5:13" ht="15" customHeight="1" thickBot="1">
      <c r="F971" s="340" t="s">
        <v>197</v>
      </c>
      <c r="G971" s="341" t="s">
        <v>198</v>
      </c>
      <c r="H971" s="318"/>
      <c r="I971" s="318"/>
      <c r="J971" s="342"/>
      <c r="K971" s="320">
        <v>0</v>
      </c>
      <c r="L971" s="321">
        <f>ROUNDDOWN(L969+L970,0)</f>
        <v>1974149</v>
      </c>
    </row>
    <row r="972" spans="5:13" ht="15" customHeight="1">
      <c r="F972" s="298"/>
      <c r="G972" s="298"/>
      <c r="J972" s="343"/>
    </row>
    <row r="973" spans="5:13" ht="15" customHeight="1" thickBot="1">
      <c r="E973" s="356" t="s">
        <v>358</v>
      </c>
      <c r="F973" s="295" t="s">
        <v>359</v>
      </c>
      <c r="J973" s="343"/>
      <c r="M973" s="299">
        <f>L991</f>
        <v>1989002</v>
      </c>
    </row>
    <row r="974" spans="5:13" ht="15" customHeight="1" thickBot="1">
      <c r="F974" s="340" t="s">
        <v>136</v>
      </c>
      <c r="G974" s="341" t="s">
        <v>162</v>
      </c>
      <c r="H974" s="352" t="s">
        <v>163</v>
      </c>
      <c r="I974" s="352" t="s">
        <v>138</v>
      </c>
      <c r="J974" s="353" t="s">
        <v>164</v>
      </c>
      <c r="K974" s="341" t="s">
        <v>165</v>
      </c>
      <c r="L974" s="354" t="s">
        <v>166</v>
      </c>
    </row>
    <row r="975" spans="5:13" ht="15" customHeight="1">
      <c r="F975" s="300" t="s">
        <v>167</v>
      </c>
      <c r="G975" s="301" t="s">
        <v>168</v>
      </c>
      <c r="H975" s="302"/>
      <c r="I975" s="302"/>
      <c r="J975" s="351"/>
      <c r="K975" s="328"/>
      <c r="L975" s="310"/>
    </row>
    <row r="976" spans="5:13" ht="15" customHeight="1">
      <c r="F976" s="306"/>
      <c r="G976" s="301" t="s">
        <v>169</v>
      </c>
      <c r="H976" s="307" t="s">
        <v>170</v>
      </c>
      <c r="I976" s="307" t="s">
        <v>171</v>
      </c>
      <c r="J976" s="308">
        <v>2.1</v>
      </c>
      <c r="K976" s="309">
        <f>VLOOKUP(G976,Upah,8,FALSE)</f>
        <v>125000</v>
      </c>
      <c r="L976" s="310">
        <f>J976*K976</f>
        <v>262500</v>
      </c>
    </row>
    <row r="977" spans="6:12" ht="15" customHeight="1">
      <c r="F977" s="306"/>
      <c r="G977" s="301" t="s">
        <v>308</v>
      </c>
      <c r="H977" s="307" t="s">
        <v>217</v>
      </c>
      <c r="I977" s="307" t="s">
        <v>171</v>
      </c>
      <c r="J977" s="308">
        <v>0.35</v>
      </c>
      <c r="K977" s="309">
        <f>VLOOKUP(G977,Upah,8,FALSE)</f>
        <v>150000</v>
      </c>
      <c r="L977" s="310">
        <f>J977*K977</f>
        <v>52500</v>
      </c>
    </row>
    <row r="978" spans="6:12" ht="15" customHeight="1">
      <c r="F978" s="306"/>
      <c r="G978" s="301" t="s">
        <v>174</v>
      </c>
      <c r="H978" s="307" t="s">
        <v>175</v>
      </c>
      <c r="I978" s="307" t="s">
        <v>171</v>
      </c>
      <c r="J978" s="308">
        <v>3.5000000000000003E-2</v>
      </c>
      <c r="K978" s="309">
        <f>VLOOKUP(G978,Upah,8,FALSE)</f>
        <v>165000</v>
      </c>
      <c r="L978" s="310">
        <f>J978*K978</f>
        <v>5775.0000000000009</v>
      </c>
    </row>
    <row r="979" spans="6:12" ht="15" customHeight="1" thickBot="1">
      <c r="F979" s="306"/>
      <c r="G979" s="301" t="s">
        <v>176</v>
      </c>
      <c r="H979" s="313" t="s">
        <v>177</v>
      </c>
      <c r="I979" s="307" t="s">
        <v>171</v>
      </c>
      <c r="J979" s="308">
        <v>0.105</v>
      </c>
      <c r="K979" s="309">
        <f>VLOOKUP(G979,Upah,8,FALSE)</f>
        <v>170000</v>
      </c>
      <c r="L979" s="310">
        <f>J979*K979</f>
        <v>17850</v>
      </c>
    </row>
    <row r="980" spans="6:12" ht="15" customHeight="1" thickBot="1">
      <c r="F980" s="316"/>
      <c r="G980" s="317"/>
      <c r="H980" s="318"/>
      <c r="I980" s="318"/>
      <c r="J980" s="319" t="s">
        <v>178</v>
      </c>
      <c r="K980" s="320"/>
      <c r="L980" s="321">
        <f>SUM(L976:L979)</f>
        <v>338625</v>
      </c>
    </row>
    <row r="981" spans="6:12" ht="15" customHeight="1">
      <c r="F981" s="300" t="s">
        <v>179</v>
      </c>
      <c r="G981" s="301" t="s">
        <v>180</v>
      </c>
      <c r="H981" s="302"/>
      <c r="I981" s="302"/>
      <c r="J981" s="351"/>
      <c r="K981" s="328"/>
      <c r="L981" s="310"/>
    </row>
    <row r="982" spans="6:12" ht="15" customHeight="1">
      <c r="F982" s="306"/>
      <c r="G982" s="301" t="s">
        <v>183</v>
      </c>
      <c r="H982" s="302"/>
      <c r="I982" s="307" t="s">
        <v>38</v>
      </c>
      <c r="J982" s="308">
        <v>448</v>
      </c>
      <c r="K982" s="328">
        <f>VLOOKUP(G982,Bahan,6,FALSE)</f>
        <v>1880</v>
      </c>
      <c r="L982" s="310">
        <f>J982*K982</f>
        <v>842240</v>
      </c>
    </row>
    <row r="983" spans="6:12" ht="15" customHeight="1">
      <c r="F983" s="306"/>
      <c r="G983" s="301" t="s">
        <v>1706</v>
      </c>
      <c r="H983" s="302"/>
      <c r="I983" s="307" t="s">
        <v>38</v>
      </c>
      <c r="J983" s="308">
        <v>667</v>
      </c>
      <c r="K983" s="328">
        <f>VLOOKUP(G983,Bahan,6,FALSE)</f>
        <v>250</v>
      </c>
      <c r="L983" s="310">
        <f>J983*K983</f>
        <v>166750</v>
      </c>
    </row>
    <row r="984" spans="6:12" ht="15" customHeight="1">
      <c r="F984" s="306"/>
      <c r="G984" s="301" t="s">
        <v>1701</v>
      </c>
      <c r="H984" s="302"/>
      <c r="I984" s="307" t="s">
        <v>38</v>
      </c>
      <c r="J984" s="308">
        <v>1000</v>
      </c>
      <c r="K984" s="328">
        <f>VLOOKUP(G984,Bahan,6,FALSE)</f>
        <v>444.44444444444446</v>
      </c>
      <c r="L984" s="310">
        <f>J984*K984</f>
        <v>444444.44444444444</v>
      </c>
    </row>
    <row r="985" spans="6:12" ht="15" customHeight="1" thickBot="1">
      <c r="F985" s="306"/>
      <c r="G985" s="301" t="s">
        <v>335</v>
      </c>
      <c r="H985" s="302"/>
      <c r="I985" s="307" t="s">
        <v>188</v>
      </c>
      <c r="J985" s="308">
        <v>215</v>
      </c>
      <c r="K985" s="328">
        <f>VLOOKUP(G985,Bahan,6,FALSE)</f>
        <v>75</v>
      </c>
      <c r="L985" s="310">
        <f>J985*K985</f>
        <v>16125</v>
      </c>
    </row>
    <row r="986" spans="6:12" ht="15" customHeight="1" thickBot="1">
      <c r="F986" s="316"/>
      <c r="G986" s="317"/>
      <c r="H986" s="318"/>
      <c r="I986" s="318"/>
      <c r="J986" s="319" t="s">
        <v>189</v>
      </c>
      <c r="K986" s="320"/>
      <c r="L986" s="321">
        <f>SUM(L982:L985)</f>
        <v>1469559.4444444445</v>
      </c>
    </row>
    <row r="987" spans="6:12" ht="15" customHeight="1" thickBot="1">
      <c r="F987" s="300" t="s">
        <v>190</v>
      </c>
      <c r="G987" s="301" t="s">
        <v>191</v>
      </c>
      <c r="H987" s="302"/>
      <c r="I987" s="302"/>
      <c r="J987" s="351"/>
      <c r="K987" s="328">
        <v>0</v>
      </c>
      <c r="L987" s="310">
        <f>J987*K987</f>
        <v>0</v>
      </c>
    </row>
    <row r="988" spans="6:12" ht="15" customHeight="1" thickBot="1">
      <c r="F988" s="316"/>
      <c r="G988" s="317"/>
      <c r="H988" s="318"/>
      <c r="I988" s="318"/>
      <c r="J988" s="319" t="s">
        <v>192</v>
      </c>
      <c r="K988" s="320"/>
      <c r="L988" s="321">
        <f>L987</f>
        <v>0</v>
      </c>
    </row>
    <row r="989" spans="6:12" ht="15" customHeight="1">
      <c r="F989" s="344" t="s">
        <v>193</v>
      </c>
      <c r="G989" s="345" t="s">
        <v>194</v>
      </c>
      <c r="H989" s="346"/>
      <c r="I989" s="346"/>
      <c r="J989" s="347"/>
      <c r="K989" s="348">
        <v>0</v>
      </c>
      <c r="L989" s="310">
        <f>SUM(L975:L988)/2</f>
        <v>1808184.4444444445</v>
      </c>
    </row>
    <row r="990" spans="6:12" ht="15" customHeight="1" thickBot="1">
      <c r="F990" s="331" t="s">
        <v>195</v>
      </c>
      <c r="G990" s="332" t="s">
        <v>196</v>
      </c>
      <c r="H990" s="333"/>
      <c r="I990" s="333"/>
      <c r="J990" s="350">
        <v>0.1</v>
      </c>
      <c r="K990" s="335"/>
      <c r="L990" s="330">
        <f>J990*L989</f>
        <v>180818.44444444447</v>
      </c>
    </row>
    <row r="991" spans="6:12" ht="15" customHeight="1" thickBot="1">
      <c r="F991" s="340" t="s">
        <v>197</v>
      </c>
      <c r="G991" s="341" t="s">
        <v>198</v>
      </c>
      <c r="H991" s="318"/>
      <c r="I991" s="318"/>
      <c r="J991" s="342"/>
      <c r="K991" s="320">
        <v>0</v>
      </c>
      <c r="L991" s="321">
        <f>ROUNDDOWN(L989+L990,0)</f>
        <v>1989002</v>
      </c>
    </row>
    <row r="992" spans="6:12" ht="15" customHeight="1">
      <c r="F992" s="298"/>
      <c r="G992" s="298"/>
      <c r="J992" s="343"/>
      <c r="K992" s="355"/>
      <c r="L992" s="299"/>
    </row>
    <row r="993" spans="5:13" ht="15" customHeight="1" thickBot="1">
      <c r="E993" s="356" t="s">
        <v>360</v>
      </c>
      <c r="F993" s="360" t="s">
        <v>361</v>
      </c>
      <c r="G993" s="298"/>
      <c r="J993" s="343"/>
      <c r="K993" s="355"/>
      <c r="L993" s="299"/>
      <c r="M993" s="299">
        <f>L1012</f>
        <v>2268776</v>
      </c>
    </row>
    <row r="994" spans="5:13" ht="15" customHeight="1" thickBot="1">
      <c r="F994" s="340" t="s">
        <v>136</v>
      </c>
      <c r="G994" s="341" t="s">
        <v>162</v>
      </c>
      <c r="H994" s="352" t="s">
        <v>163</v>
      </c>
      <c r="I994" s="352" t="s">
        <v>138</v>
      </c>
      <c r="J994" s="353" t="s">
        <v>164</v>
      </c>
      <c r="K994" s="341" t="s">
        <v>165</v>
      </c>
      <c r="L994" s="354" t="s">
        <v>166</v>
      </c>
    </row>
    <row r="995" spans="5:13" ht="15" customHeight="1">
      <c r="F995" s="300" t="s">
        <v>167</v>
      </c>
      <c r="G995" s="301" t="s">
        <v>168</v>
      </c>
      <c r="H995" s="302"/>
      <c r="I995" s="302"/>
      <c r="J995" s="351"/>
      <c r="K995" s="328"/>
      <c r="L995" s="310"/>
    </row>
    <row r="996" spans="5:13" ht="15" customHeight="1">
      <c r="F996" s="306"/>
      <c r="G996" s="301" t="s">
        <v>169</v>
      </c>
      <c r="H996" s="307" t="s">
        <v>170</v>
      </c>
      <c r="I996" s="307" t="s">
        <v>171</v>
      </c>
      <c r="J996" s="308">
        <v>2.1</v>
      </c>
      <c r="K996" s="309">
        <f>VLOOKUP(G996,Upah,8,FALSE)</f>
        <v>125000</v>
      </c>
      <c r="L996" s="310">
        <f>J996*K996</f>
        <v>262500</v>
      </c>
    </row>
    <row r="997" spans="5:13" ht="15" customHeight="1">
      <c r="F997" s="306"/>
      <c r="G997" s="301" t="s">
        <v>308</v>
      </c>
      <c r="H997" s="307" t="s">
        <v>217</v>
      </c>
      <c r="I997" s="307" t="s">
        <v>171</v>
      </c>
      <c r="J997" s="308">
        <v>0.35</v>
      </c>
      <c r="K997" s="309">
        <f>VLOOKUP(G997,Upah,8,FALSE)</f>
        <v>150000</v>
      </c>
      <c r="L997" s="310">
        <f>J997*K997</f>
        <v>52500</v>
      </c>
    </row>
    <row r="998" spans="5:13" ht="15" customHeight="1">
      <c r="F998" s="306"/>
      <c r="G998" s="301" t="s">
        <v>174</v>
      </c>
      <c r="H998" s="307" t="s">
        <v>175</v>
      </c>
      <c r="I998" s="307" t="s">
        <v>171</v>
      </c>
      <c r="J998" s="308">
        <v>3.5000000000000003E-2</v>
      </c>
      <c r="K998" s="309">
        <f>VLOOKUP(G998,Upah,8,FALSE)</f>
        <v>165000</v>
      </c>
      <c r="L998" s="310">
        <f>J998*K998</f>
        <v>5775.0000000000009</v>
      </c>
    </row>
    <row r="999" spans="5:13" ht="15" customHeight="1" thickBot="1">
      <c r="F999" s="306"/>
      <c r="G999" s="301" t="s">
        <v>176</v>
      </c>
      <c r="H999" s="307" t="s">
        <v>177</v>
      </c>
      <c r="I999" s="307" t="s">
        <v>171</v>
      </c>
      <c r="J999" s="308">
        <v>0.105</v>
      </c>
      <c r="K999" s="309">
        <f>VLOOKUP(G999,Upah,8,FALSE)</f>
        <v>170000</v>
      </c>
      <c r="L999" s="310">
        <f>J999*K999</f>
        <v>17850</v>
      </c>
    </row>
    <row r="1000" spans="5:13" ht="15" customHeight="1" thickBot="1">
      <c r="F1000" s="316"/>
      <c r="G1000" s="317"/>
      <c r="H1000" s="318"/>
      <c r="I1000" s="318"/>
      <c r="J1000" s="319" t="s">
        <v>178</v>
      </c>
      <c r="K1000" s="320"/>
      <c r="L1000" s="321">
        <f>SUM(L996:L999)</f>
        <v>338625</v>
      </c>
    </row>
    <row r="1001" spans="5:13" ht="15" customHeight="1">
      <c r="F1001" s="300" t="s">
        <v>179</v>
      </c>
      <c r="G1001" s="301" t="s">
        <v>180</v>
      </c>
      <c r="H1001" s="302"/>
      <c r="I1001" s="302"/>
      <c r="J1001" s="351"/>
      <c r="K1001" s="328"/>
      <c r="L1001" s="310"/>
    </row>
    <row r="1002" spans="5:13" ht="15" customHeight="1">
      <c r="F1002" s="306"/>
      <c r="G1002" s="301" t="s">
        <v>183</v>
      </c>
      <c r="H1002" s="302"/>
      <c r="I1002" s="307" t="s">
        <v>38</v>
      </c>
      <c r="J1002" s="308">
        <v>448</v>
      </c>
      <c r="K1002" s="328">
        <f>VLOOKUP(G1002,Bahan,6,FALSE)</f>
        <v>1880</v>
      </c>
      <c r="L1002" s="310">
        <f>J1002*K1002</f>
        <v>842240</v>
      </c>
    </row>
    <row r="1003" spans="5:13" ht="15" customHeight="1">
      <c r="F1003" s="306"/>
      <c r="G1003" s="301" t="s">
        <v>1706</v>
      </c>
      <c r="H1003" s="302"/>
      <c r="I1003" s="307" t="s">
        <v>38</v>
      </c>
      <c r="J1003" s="308">
        <v>667</v>
      </c>
      <c r="K1003" s="328">
        <f>VLOOKUP(G1003,Bahan,6,FALSE)</f>
        <v>250</v>
      </c>
      <c r="L1003" s="310">
        <f>J1003*K1003</f>
        <v>166750</v>
      </c>
    </row>
    <row r="1004" spans="5:13" ht="15" customHeight="1">
      <c r="F1004" s="306"/>
      <c r="G1004" s="301" t="s">
        <v>1701</v>
      </c>
      <c r="H1004" s="302"/>
      <c r="I1004" s="307" t="s">
        <v>38</v>
      </c>
      <c r="J1004" s="308">
        <v>1000</v>
      </c>
      <c r="K1004" s="328">
        <f>VLOOKUP(G1004,Bahan,6,FALSE)</f>
        <v>444.44444444444446</v>
      </c>
      <c r="L1004" s="310">
        <f>J1004*K1004</f>
        <v>444444.44444444444</v>
      </c>
    </row>
    <row r="1005" spans="5:13" ht="15" customHeight="1">
      <c r="F1005" s="306"/>
      <c r="G1005" s="301" t="s">
        <v>362</v>
      </c>
      <c r="H1005" s="302"/>
      <c r="I1005" s="307" t="s">
        <v>188</v>
      </c>
      <c r="J1005" s="308">
        <v>4.5</v>
      </c>
      <c r="K1005" s="328">
        <f>VLOOKUP(G1005,Bahan,6,FALSE)</f>
        <v>56520</v>
      </c>
      <c r="L1005" s="310">
        <f>J1005*K1005</f>
        <v>254340</v>
      </c>
    </row>
    <row r="1006" spans="5:13" ht="15" customHeight="1" thickBot="1">
      <c r="F1006" s="306"/>
      <c r="G1006" s="301" t="s">
        <v>335</v>
      </c>
      <c r="H1006" s="302"/>
      <c r="I1006" s="307" t="s">
        <v>188</v>
      </c>
      <c r="J1006" s="308">
        <v>215</v>
      </c>
      <c r="K1006" s="328">
        <f>VLOOKUP(G1006,Bahan,6,FALSE)</f>
        <v>75</v>
      </c>
      <c r="L1006" s="310">
        <f>J1006*K1006</f>
        <v>16125</v>
      </c>
    </row>
    <row r="1007" spans="5:13" ht="15" customHeight="1" thickBot="1">
      <c r="F1007" s="316"/>
      <c r="G1007" s="317"/>
      <c r="H1007" s="318"/>
      <c r="I1007" s="318"/>
      <c r="J1007" s="319" t="s">
        <v>189</v>
      </c>
      <c r="K1007" s="320"/>
      <c r="L1007" s="321">
        <f>SUM(L1002:L1006)</f>
        <v>1723899.4444444445</v>
      </c>
    </row>
    <row r="1008" spans="5:13" ht="15" customHeight="1" thickBot="1">
      <c r="F1008" s="300" t="s">
        <v>190</v>
      </c>
      <c r="G1008" s="301" t="s">
        <v>191</v>
      </c>
      <c r="H1008" s="302"/>
      <c r="I1008" s="302"/>
      <c r="J1008" s="351"/>
      <c r="K1008" s="328">
        <v>0</v>
      </c>
      <c r="L1008" s="310">
        <f>J1008*K1008</f>
        <v>0</v>
      </c>
    </row>
    <row r="1009" spans="5:13" ht="15" customHeight="1" thickBot="1">
      <c r="F1009" s="316"/>
      <c r="G1009" s="317"/>
      <c r="H1009" s="318"/>
      <c r="I1009" s="318"/>
      <c r="J1009" s="319" t="s">
        <v>192</v>
      </c>
      <c r="K1009" s="320"/>
      <c r="L1009" s="321">
        <f>L1008</f>
        <v>0</v>
      </c>
    </row>
    <row r="1010" spans="5:13" ht="15" customHeight="1">
      <c r="F1010" s="344" t="s">
        <v>193</v>
      </c>
      <c r="G1010" s="345" t="s">
        <v>194</v>
      </c>
      <c r="H1010" s="346"/>
      <c r="I1010" s="346"/>
      <c r="J1010" s="347"/>
      <c r="K1010" s="348">
        <v>0</v>
      </c>
      <c r="L1010" s="310">
        <f>SUM(L995:L1009)/2</f>
        <v>2062524.4444444445</v>
      </c>
    </row>
    <row r="1011" spans="5:13" ht="15" customHeight="1" thickBot="1">
      <c r="F1011" s="331" t="s">
        <v>195</v>
      </c>
      <c r="G1011" s="332" t="s">
        <v>196</v>
      </c>
      <c r="H1011" s="333"/>
      <c r="I1011" s="333"/>
      <c r="J1011" s="350">
        <v>0.1</v>
      </c>
      <c r="K1011" s="335"/>
      <c r="L1011" s="330">
        <f>J1011*L1010</f>
        <v>206252.44444444447</v>
      </c>
    </row>
    <row r="1012" spans="5:13" ht="15" customHeight="1" thickBot="1">
      <c r="F1012" s="340" t="s">
        <v>197</v>
      </c>
      <c r="G1012" s="341" t="s">
        <v>198</v>
      </c>
      <c r="H1012" s="318"/>
      <c r="I1012" s="318"/>
      <c r="J1012" s="342"/>
      <c r="K1012" s="320">
        <v>0</v>
      </c>
      <c r="L1012" s="321">
        <f>ROUNDDOWN(L1010+L1011,0)</f>
        <v>2268776</v>
      </c>
    </row>
    <row r="1013" spans="5:13" ht="15" customHeight="1">
      <c r="F1013" s="298"/>
      <c r="G1013" s="298"/>
      <c r="J1013" s="343"/>
      <c r="K1013" s="355"/>
      <c r="L1013" s="299"/>
    </row>
    <row r="1014" spans="5:13" ht="15" customHeight="1">
      <c r="F1014" s="361" t="s">
        <v>2069</v>
      </c>
      <c r="G1014" s="298"/>
      <c r="J1014" s="343"/>
      <c r="K1014" s="355"/>
      <c r="L1014" s="299"/>
    </row>
    <row r="1015" spans="5:13" ht="15" customHeight="1">
      <c r="F1015" s="298"/>
      <c r="G1015" s="298"/>
      <c r="J1015" s="343"/>
      <c r="K1015" s="355"/>
      <c r="L1015" s="299"/>
    </row>
    <row r="1016" spans="5:13" ht="15" customHeight="1" thickBot="1">
      <c r="E1016" s="356" t="s">
        <v>363</v>
      </c>
      <c r="F1016" s="295" t="s">
        <v>364</v>
      </c>
      <c r="J1016" s="343"/>
      <c r="M1016" s="299">
        <f>L1034</f>
        <v>1982051</v>
      </c>
    </row>
    <row r="1017" spans="5:13" ht="15" customHeight="1" thickBot="1">
      <c r="F1017" s="340" t="s">
        <v>136</v>
      </c>
      <c r="G1017" s="341" t="s">
        <v>162</v>
      </c>
      <c r="H1017" s="352" t="s">
        <v>163</v>
      </c>
      <c r="I1017" s="352" t="s">
        <v>138</v>
      </c>
      <c r="J1017" s="353" t="s">
        <v>164</v>
      </c>
      <c r="K1017" s="341" t="s">
        <v>165</v>
      </c>
      <c r="L1017" s="354" t="s">
        <v>166</v>
      </c>
    </row>
    <row r="1018" spans="5:13" ht="15" customHeight="1">
      <c r="F1018" s="300" t="s">
        <v>167</v>
      </c>
      <c r="G1018" s="301" t="s">
        <v>168</v>
      </c>
      <c r="H1018" s="302"/>
      <c r="I1018" s="302"/>
      <c r="J1018" s="351"/>
      <c r="K1018" s="328"/>
      <c r="L1018" s="310"/>
    </row>
    <row r="1019" spans="5:13" ht="15" customHeight="1">
      <c r="F1019" s="306"/>
      <c r="G1019" s="301" t="s">
        <v>169</v>
      </c>
      <c r="H1019" s="307" t="s">
        <v>170</v>
      </c>
      <c r="I1019" s="307" t="s">
        <v>171</v>
      </c>
      <c r="J1019" s="308">
        <v>2.1</v>
      </c>
      <c r="K1019" s="309">
        <f>VLOOKUP(G1019,Upah,8,FALSE)</f>
        <v>125000</v>
      </c>
      <c r="L1019" s="310">
        <f>J1019*K1019</f>
        <v>262500</v>
      </c>
    </row>
    <row r="1020" spans="5:13" ht="15" customHeight="1">
      <c r="F1020" s="306"/>
      <c r="G1020" s="301" t="s">
        <v>308</v>
      </c>
      <c r="H1020" s="307" t="s">
        <v>217</v>
      </c>
      <c r="I1020" s="307" t="s">
        <v>171</v>
      </c>
      <c r="J1020" s="308">
        <v>0.35</v>
      </c>
      <c r="K1020" s="309">
        <f>VLOOKUP(G1020,Upah,8,FALSE)</f>
        <v>150000</v>
      </c>
      <c r="L1020" s="310">
        <f>J1020*K1020</f>
        <v>52500</v>
      </c>
    </row>
    <row r="1021" spans="5:13" ht="15" customHeight="1">
      <c r="F1021" s="306"/>
      <c r="G1021" s="301" t="s">
        <v>174</v>
      </c>
      <c r="H1021" s="307" t="s">
        <v>175</v>
      </c>
      <c r="I1021" s="307" t="s">
        <v>171</v>
      </c>
      <c r="J1021" s="308">
        <v>3.5000000000000003E-2</v>
      </c>
      <c r="K1021" s="309">
        <f>VLOOKUP(G1021,Upah,8,FALSE)</f>
        <v>165000</v>
      </c>
      <c r="L1021" s="310">
        <f>J1021*K1021</f>
        <v>5775.0000000000009</v>
      </c>
    </row>
    <row r="1022" spans="5:13" ht="15" customHeight="1" thickBot="1">
      <c r="F1022" s="306"/>
      <c r="G1022" s="301" t="s">
        <v>176</v>
      </c>
      <c r="H1022" s="307" t="s">
        <v>177</v>
      </c>
      <c r="I1022" s="307" t="s">
        <v>171</v>
      </c>
      <c r="J1022" s="308">
        <v>0.105</v>
      </c>
      <c r="K1022" s="309">
        <f>VLOOKUP(G1022,Upah,8,FALSE)</f>
        <v>170000</v>
      </c>
      <c r="L1022" s="310">
        <f>J1022*K1022</f>
        <v>17850</v>
      </c>
    </row>
    <row r="1023" spans="5:13" ht="15" customHeight="1" thickBot="1">
      <c r="F1023" s="316"/>
      <c r="G1023" s="317"/>
      <c r="H1023" s="318"/>
      <c r="I1023" s="318"/>
      <c r="J1023" s="319" t="s">
        <v>178</v>
      </c>
      <c r="K1023" s="320"/>
      <c r="L1023" s="321">
        <f>SUM(L1019:L1022)</f>
        <v>338625</v>
      </c>
    </row>
    <row r="1024" spans="5:13" ht="15" customHeight="1">
      <c r="F1024" s="300" t="s">
        <v>179</v>
      </c>
      <c r="G1024" s="301" t="s">
        <v>180</v>
      </c>
      <c r="H1024" s="302"/>
      <c r="I1024" s="302"/>
      <c r="J1024" s="351"/>
      <c r="K1024" s="328"/>
      <c r="L1024" s="310"/>
    </row>
    <row r="1025" spans="5:13" ht="15" customHeight="1">
      <c r="F1025" s="306"/>
      <c r="G1025" s="301" t="s">
        <v>183</v>
      </c>
      <c r="H1025" s="302"/>
      <c r="I1025" s="307" t="s">
        <v>38</v>
      </c>
      <c r="J1025" s="308">
        <v>400</v>
      </c>
      <c r="K1025" s="328">
        <f>VLOOKUP(G1025,Bahan,6,FALSE)</f>
        <v>1880</v>
      </c>
      <c r="L1025" s="310">
        <f>J1025*K1025</f>
        <v>752000</v>
      </c>
    </row>
    <row r="1026" spans="5:13" ht="15" customHeight="1">
      <c r="F1026" s="306"/>
      <c r="G1026" s="301" t="s">
        <v>1705</v>
      </c>
      <c r="H1026" s="302"/>
      <c r="I1026" s="307" t="s">
        <v>44</v>
      </c>
      <c r="J1026" s="308">
        <v>0.48</v>
      </c>
      <c r="K1026" s="328">
        <f>VLOOKUP(G1026,Bahan,6,FALSE)</f>
        <v>350000</v>
      </c>
      <c r="L1026" s="310">
        <f>J1026*K1026</f>
        <v>168000</v>
      </c>
    </row>
    <row r="1027" spans="5:13" ht="15" customHeight="1">
      <c r="F1027" s="306"/>
      <c r="G1027" s="301" t="s">
        <v>1702</v>
      </c>
      <c r="H1027" s="302"/>
      <c r="I1027" s="307" t="s">
        <v>44</v>
      </c>
      <c r="J1027" s="308">
        <v>0.8</v>
      </c>
      <c r="K1027" s="328">
        <f>VLOOKUP(G1027,Bahan,6,FALSE)</f>
        <v>600000</v>
      </c>
      <c r="L1027" s="310">
        <f>J1027*K1027</f>
        <v>480000</v>
      </c>
    </row>
    <row r="1028" spans="5:13" ht="15" customHeight="1" thickBot="1">
      <c r="F1028" s="306"/>
      <c r="G1028" s="301" t="s">
        <v>365</v>
      </c>
      <c r="H1028" s="302"/>
      <c r="I1028" s="307" t="s">
        <v>38</v>
      </c>
      <c r="J1028" s="308">
        <v>1.2</v>
      </c>
      <c r="K1028" s="328">
        <f>VLOOKUP(G1028,Bahan,6,FALSE)</f>
        <v>52700</v>
      </c>
      <c r="L1028" s="310">
        <f>J1028*K1028</f>
        <v>63240</v>
      </c>
    </row>
    <row r="1029" spans="5:13" ht="15" customHeight="1" thickBot="1">
      <c r="F1029" s="316"/>
      <c r="G1029" s="317"/>
      <c r="H1029" s="318"/>
      <c r="I1029" s="318"/>
      <c r="J1029" s="319" t="s">
        <v>189</v>
      </c>
      <c r="K1029" s="320"/>
      <c r="L1029" s="321">
        <f>SUM(L1025:L1028)</f>
        <v>1463240</v>
      </c>
    </row>
    <row r="1030" spans="5:13" ht="15" customHeight="1" thickBot="1">
      <c r="F1030" s="300" t="s">
        <v>190</v>
      </c>
      <c r="G1030" s="301" t="s">
        <v>191</v>
      </c>
      <c r="H1030" s="302"/>
      <c r="I1030" s="302"/>
      <c r="J1030" s="351"/>
      <c r="K1030" s="328">
        <v>0</v>
      </c>
      <c r="L1030" s="310">
        <f>J1030*K1030</f>
        <v>0</v>
      </c>
    </row>
    <row r="1031" spans="5:13" ht="15" customHeight="1" thickBot="1">
      <c r="F1031" s="316"/>
      <c r="G1031" s="317"/>
      <c r="H1031" s="318"/>
      <c r="I1031" s="318"/>
      <c r="J1031" s="319" t="s">
        <v>192</v>
      </c>
      <c r="K1031" s="320"/>
      <c r="L1031" s="321">
        <f>L1030</f>
        <v>0</v>
      </c>
    </row>
    <row r="1032" spans="5:13" ht="15" customHeight="1">
      <c r="F1032" s="344" t="s">
        <v>193</v>
      </c>
      <c r="G1032" s="345" t="s">
        <v>194</v>
      </c>
      <c r="H1032" s="346"/>
      <c r="I1032" s="346"/>
      <c r="J1032" s="347"/>
      <c r="K1032" s="348">
        <v>0</v>
      </c>
      <c r="L1032" s="310">
        <f>SUM(L1018:L1031)/2</f>
        <v>1801865</v>
      </c>
    </row>
    <row r="1033" spans="5:13" ht="15" customHeight="1" thickBot="1">
      <c r="F1033" s="331" t="s">
        <v>195</v>
      </c>
      <c r="G1033" s="332" t="s">
        <v>196</v>
      </c>
      <c r="H1033" s="333"/>
      <c r="I1033" s="333"/>
      <c r="J1033" s="350">
        <v>0.1</v>
      </c>
      <c r="K1033" s="335"/>
      <c r="L1033" s="330">
        <f>J1033*L1032</f>
        <v>180186.5</v>
      </c>
    </row>
    <row r="1034" spans="5:13" ht="15" customHeight="1" thickBot="1">
      <c r="F1034" s="340" t="s">
        <v>197</v>
      </c>
      <c r="G1034" s="341" t="s">
        <v>198</v>
      </c>
      <c r="H1034" s="318"/>
      <c r="I1034" s="318"/>
      <c r="J1034" s="342"/>
      <c r="K1034" s="320">
        <v>0</v>
      </c>
      <c r="L1034" s="321">
        <f>ROUNDDOWN(L1032+L1033,0)</f>
        <v>1982051</v>
      </c>
    </row>
    <row r="1035" spans="5:13" ht="15" customHeight="1">
      <c r="F1035" s="298"/>
      <c r="G1035" s="298"/>
      <c r="J1035" s="343"/>
    </row>
    <row r="1036" spans="5:13" ht="15" customHeight="1" thickBot="1">
      <c r="E1036" s="356" t="s">
        <v>366</v>
      </c>
      <c r="F1036" s="295" t="s">
        <v>367</v>
      </c>
      <c r="J1036" s="343"/>
      <c r="M1036" s="299">
        <f>L1051</f>
        <v>121489</v>
      </c>
    </row>
    <row r="1037" spans="5:13" ht="15" customHeight="1" thickBot="1">
      <c r="F1037" s="340" t="s">
        <v>136</v>
      </c>
      <c r="G1037" s="341" t="s">
        <v>162</v>
      </c>
      <c r="H1037" s="352" t="s">
        <v>163</v>
      </c>
      <c r="I1037" s="352" t="s">
        <v>138</v>
      </c>
      <c r="J1037" s="353" t="s">
        <v>164</v>
      </c>
      <c r="K1037" s="341" t="s">
        <v>165</v>
      </c>
      <c r="L1037" s="354" t="s">
        <v>166</v>
      </c>
    </row>
    <row r="1038" spans="5:13" ht="15" customHeight="1">
      <c r="F1038" s="300" t="s">
        <v>167</v>
      </c>
      <c r="G1038" s="301" t="s">
        <v>168</v>
      </c>
      <c r="H1038" s="302"/>
      <c r="I1038" s="302"/>
      <c r="J1038" s="351"/>
      <c r="K1038" s="328"/>
      <c r="L1038" s="310"/>
    </row>
    <row r="1039" spans="5:13" ht="15" customHeight="1">
      <c r="F1039" s="306"/>
      <c r="G1039" s="301" t="s">
        <v>169</v>
      </c>
      <c r="H1039" s="307" t="s">
        <v>170</v>
      </c>
      <c r="I1039" s="307" t="s">
        <v>171</v>
      </c>
      <c r="J1039" s="308">
        <v>0.06</v>
      </c>
      <c r="K1039" s="309">
        <f>VLOOKUP(G1039,Upah,8,FALSE)</f>
        <v>125000</v>
      </c>
      <c r="L1039" s="310">
        <f>J1039*K1039</f>
        <v>7500</v>
      </c>
    </row>
    <row r="1040" spans="5:13" ht="15" customHeight="1">
      <c r="F1040" s="306"/>
      <c r="G1040" s="301" t="s">
        <v>368</v>
      </c>
      <c r="H1040" s="307" t="s">
        <v>369</v>
      </c>
      <c r="I1040" s="307" t="s">
        <v>171</v>
      </c>
      <c r="J1040" s="308">
        <v>0.03</v>
      </c>
      <c r="K1040" s="309">
        <f>VLOOKUP(G1040,Upah,8,FALSE)</f>
        <v>150000</v>
      </c>
      <c r="L1040" s="310">
        <f>J1040*K1040</f>
        <v>4500</v>
      </c>
    </row>
    <row r="1041" spans="5:13" ht="15" customHeight="1">
      <c r="F1041" s="306"/>
      <c r="G1041" s="301" t="s">
        <v>174</v>
      </c>
      <c r="H1041" s="307" t="s">
        <v>175</v>
      </c>
      <c r="I1041" s="307" t="s">
        <v>171</v>
      </c>
      <c r="J1041" s="308">
        <v>3.0000000000000001E-3</v>
      </c>
      <c r="K1041" s="309">
        <f>VLOOKUP(G1041,Upah,8,FALSE)</f>
        <v>165000</v>
      </c>
      <c r="L1041" s="310">
        <f>J1041*K1041</f>
        <v>495</v>
      </c>
    </row>
    <row r="1042" spans="5:13" ht="15" customHeight="1" thickBot="1">
      <c r="F1042" s="306"/>
      <c r="G1042" s="301" t="s">
        <v>176</v>
      </c>
      <c r="H1042" s="307" t="s">
        <v>177</v>
      </c>
      <c r="I1042" s="307" t="s">
        <v>171</v>
      </c>
      <c r="J1042" s="308">
        <v>3.0000000000000001E-3</v>
      </c>
      <c r="K1042" s="309">
        <f>VLOOKUP(G1042,Upah,8,FALSE)</f>
        <v>170000</v>
      </c>
      <c r="L1042" s="310">
        <f>J1042*K1042</f>
        <v>510</v>
      </c>
    </row>
    <row r="1043" spans="5:13" ht="15" customHeight="1" thickBot="1">
      <c r="F1043" s="316"/>
      <c r="G1043" s="317"/>
      <c r="H1043" s="318"/>
      <c r="I1043" s="318"/>
      <c r="J1043" s="319" t="s">
        <v>178</v>
      </c>
      <c r="K1043" s="320"/>
      <c r="L1043" s="321">
        <f>SUM(L1039:L1042)</f>
        <v>13005</v>
      </c>
    </row>
    <row r="1044" spans="5:13" ht="15" customHeight="1">
      <c r="F1044" s="300" t="s">
        <v>179</v>
      </c>
      <c r="G1044" s="301" t="s">
        <v>180</v>
      </c>
      <c r="H1044" s="302"/>
      <c r="I1044" s="302"/>
      <c r="J1044" s="351"/>
      <c r="K1044" s="328"/>
      <c r="L1044" s="310"/>
    </row>
    <row r="1045" spans="5:13" ht="15" customHeight="1" thickBot="1">
      <c r="F1045" s="306"/>
      <c r="G1045" s="301" t="s">
        <v>370</v>
      </c>
      <c r="H1045" s="302"/>
      <c r="I1045" s="307" t="s">
        <v>33</v>
      </c>
      <c r="J1045" s="308">
        <v>1.05</v>
      </c>
      <c r="K1045" s="328">
        <f>VLOOKUP(G1045,Bahan,6,FALSE)</f>
        <v>92800</v>
      </c>
      <c r="L1045" s="310">
        <f>J1045*K1045</f>
        <v>97440</v>
      </c>
    </row>
    <row r="1046" spans="5:13" ht="15" customHeight="1" thickBot="1">
      <c r="F1046" s="316"/>
      <c r="G1046" s="317"/>
      <c r="H1046" s="318"/>
      <c r="I1046" s="318"/>
      <c r="J1046" s="319" t="s">
        <v>189</v>
      </c>
      <c r="K1046" s="320"/>
      <c r="L1046" s="321">
        <f>SUM(L1045)</f>
        <v>97440</v>
      </c>
    </row>
    <row r="1047" spans="5:13" ht="15" customHeight="1" thickBot="1">
      <c r="F1047" s="300" t="s">
        <v>190</v>
      </c>
      <c r="G1047" s="301" t="s">
        <v>191</v>
      </c>
      <c r="H1047" s="302"/>
      <c r="I1047" s="302"/>
      <c r="J1047" s="351"/>
      <c r="K1047" s="328">
        <v>0</v>
      </c>
      <c r="L1047" s="310">
        <f>J1047*K1047</f>
        <v>0</v>
      </c>
    </row>
    <row r="1048" spans="5:13" ht="15" customHeight="1" thickBot="1">
      <c r="F1048" s="316"/>
      <c r="G1048" s="317"/>
      <c r="H1048" s="318"/>
      <c r="I1048" s="318"/>
      <c r="J1048" s="319" t="s">
        <v>192</v>
      </c>
      <c r="K1048" s="320"/>
      <c r="L1048" s="321">
        <f>L1047</f>
        <v>0</v>
      </c>
    </row>
    <row r="1049" spans="5:13" ht="15" customHeight="1">
      <c r="F1049" s="344" t="s">
        <v>193</v>
      </c>
      <c r="G1049" s="345" t="s">
        <v>194</v>
      </c>
      <c r="H1049" s="346"/>
      <c r="I1049" s="346"/>
      <c r="J1049" s="347"/>
      <c r="K1049" s="348">
        <v>0</v>
      </c>
      <c r="L1049" s="310">
        <f>SUM(L1038:L1048)/2</f>
        <v>110445</v>
      </c>
    </row>
    <row r="1050" spans="5:13" ht="15" customHeight="1" thickBot="1">
      <c r="F1050" s="331" t="s">
        <v>195</v>
      </c>
      <c r="G1050" s="332" t="s">
        <v>196</v>
      </c>
      <c r="H1050" s="333"/>
      <c r="I1050" s="333"/>
      <c r="J1050" s="350">
        <v>0.1</v>
      </c>
      <c r="K1050" s="335"/>
      <c r="L1050" s="330">
        <f>J1050*L1049</f>
        <v>11044.5</v>
      </c>
    </row>
    <row r="1051" spans="5:13" ht="15" customHeight="1" thickBot="1">
      <c r="F1051" s="340" t="s">
        <v>197</v>
      </c>
      <c r="G1051" s="341" t="s">
        <v>198</v>
      </c>
      <c r="H1051" s="318"/>
      <c r="I1051" s="318"/>
      <c r="J1051" s="342"/>
      <c r="K1051" s="320">
        <v>0</v>
      </c>
      <c r="L1051" s="321">
        <f>ROUNDDOWN(L1049+L1050,0)</f>
        <v>121489</v>
      </c>
    </row>
    <row r="1052" spans="5:13" ht="15" customHeight="1">
      <c r="F1052" s="298"/>
      <c r="G1052" s="298"/>
      <c r="J1052" s="343"/>
    </row>
    <row r="1053" spans="5:13" ht="15" customHeight="1" thickBot="1">
      <c r="E1053" s="356" t="s">
        <v>371</v>
      </c>
      <c r="F1053" s="295" t="s">
        <v>372</v>
      </c>
      <c r="J1053" s="343"/>
      <c r="M1053" s="299">
        <f>L1068</f>
        <v>125543</v>
      </c>
    </row>
    <row r="1054" spans="5:13" ht="15" customHeight="1" thickBot="1">
      <c r="F1054" s="340" t="s">
        <v>136</v>
      </c>
      <c r="G1054" s="341" t="s">
        <v>162</v>
      </c>
      <c r="H1054" s="352" t="s">
        <v>163</v>
      </c>
      <c r="I1054" s="352" t="s">
        <v>138</v>
      </c>
      <c r="J1054" s="353" t="s">
        <v>164</v>
      </c>
      <c r="K1054" s="341" t="s">
        <v>165</v>
      </c>
      <c r="L1054" s="354" t="s">
        <v>166</v>
      </c>
    </row>
    <row r="1055" spans="5:13" ht="15" customHeight="1">
      <c r="F1055" s="300" t="s">
        <v>167</v>
      </c>
      <c r="G1055" s="301" t="s">
        <v>168</v>
      </c>
      <c r="H1055" s="302"/>
      <c r="I1055" s="302"/>
      <c r="J1055" s="351"/>
      <c r="K1055" s="328"/>
      <c r="L1055" s="310"/>
    </row>
    <row r="1056" spans="5:13" ht="15" customHeight="1">
      <c r="F1056" s="306"/>
      <c r="G1056" s="301" t="s">
        <v>169</v>
      </c>
      <c r="H1056" s="307" t="s">
        <v>170</v>
      </c>
      <c r="I1056" s="307" t="s">
        <v>171</v>
      </c>
      <c r="J1056" s="308">
        <v>7.0000000000000007E-2</v>
      </c>
      <c r="K1056" s="309">
        <f>VLOOKUP(G1056,Upah,8,FALSE)</f>
        <v>125000</v>
      </c>
      <c r="L1056" s="310">
        <f>J1056*K1056</f>
        <v>8750</v>
      </c>
    </row>
    <row r="1057" spans="5:13" ht="15" customHeight="1">
      <c r="F1057" s="306"/>
      <c r="G1057" s="301" t="s">
        <v>368</v>
      </c>
      <c r="H1057" s="307" t="s">
        <v>369</v>
      </c>
      <c r="I1057" s="307" t="s">
        <v>171</v>
      </c>
      <c r="J1057" s="308">
        <v>3.5000000000000003E-2</v>
      </c>
      <c r="K1057" s="309">
        <f>VLOOKUP(G1057,Upah,8,FALSE)</f>
        <v>150000</v>
      </c>
      <c r="L1057" s="310">
        <f>J1057*K1057</f>
        <v>5250.0000000000009</v>
      </c>
    </row>
    <row r="1058" spans="5:13" ht="15" customHeight="1">
      <c r="F1058" s="306"/>
      <c r="G1058" s="301" t="s">
        <v>174</v>
      </c>
      <c r="H1058" s="307" t="s">
        <v>175</v>
      </c>
      <c r="I1058" s="307" t="s">
        <v>171</v>
      </c>
      <c r="J1058" s="308">
        <v>4.0000000000000001E-3</v>
      </c>
      <c r="K1058" s="309">
        <f>VLOOKUP(G1058,Upah,8,FALSE)</f>
        <v>165000</v>
      </c>
      <c r="L1058" s="310">
        <f>J1058*K1058</f>
        <v>660</v>
      </c>
    </row>
    <row r="1059" spans="5:13" ht="15" customHeight="1" thickBot="1">
      <c r="F1059" s="306"/>
      <c r="G1059" s="301" t="s">
        <v>176</v>
      </c>
      <c r="H1059" s="307" t="s">
        <v>177</v>
      </c>
      <c r="I1059" s="307" t="s">
        <v>171</v>
      </c>
      <c r="J1059" s="308">
        <v>7.0000000000000001E-3</v>
      </c>
      <c r="K1059" s="309">
        <f>VLOOKUP(G1059,Upah,8,FALSE)</f>
        <v>170000</v>
      </c>
      <c r="L1059" s="310">
        <f>J1059*K1059</f>
        <v>1190</v>
      </c>
    </row>
    <row r="1060" spans="5:13" ht="15" customHeight="1" thickBot="1">
      <c r="F1060" s="316"/>
      <c r="G1060" s="317"/>
      <c r="H1060" s="318"/>
      <c r="I1060" s="318"/>
      <c r="J1060" s="319" t="s">
        <v>178</v>
      </c>
      <c r="K1060" s="320"/>
      <c r="L1060" s="321">
        <f>SUM(L1056:L1059)</f>
        <v>15850</v>
      </c>
    </row>
    <row r="1061" spans="5:13" ht="15" customHeight="1">
      <c r="F1061" s="300" t="s">
        <v>179</v>
      </c>
      <c r="G1061" s="301" t="s">
        <v>180</v>
      </c>
      <c r="H1061" s="302"/>
      <c r="I1061" s="302"/>
      <c r="J1061" s="351"/>
      <c r="K1061" s="328"/>
      <c r="L1061" s="310"/>
    </row>
    <row r="1062" spans="5:13" ht="15" customHeight="1" thickBot="1">
      <c r="F1062" s="306"/>
      <c r="G1062" s="301" t="s">
        <v>373</v>
      </c>
      <c r="H1062" s="302"/>
      <c r="I1062" s="307" t="s">
        <v>33</v>
      </c>
      <c r="J1062" s="308">
        <v>1.05</v>
      </c>
      <c r="K1062" s="328">
        <f>VLOOKUP(G1062,Bahan,6,FALSE)</f>
        <v>93600</v>
      </c>
      <c r="L1062" s="310">
        <f>J1062*K1062</f>
        <v>98280</v>
      </c>
    </row>
    <row r="1063" spans="5:13" ht="15" customHeight="1" thickBot="1">
      <c r="F1063" s="316"/>
      <c r="G1063" s="317"/>
      <c r="H1063" s="318"/>
      <c r="I1063" s="318"/>
      <c r="J1063" s="319" t="s">
        <v>189</v>
      </c>
      <c r="K1063" s="320"/>
      <c r="L1063" s="321">
        <f>SUM(L1062)</f>
        <v>98280</v>
      </c>
    </row>
    <row r="1064" spans="5:13" ht="15" customHeight="1" thickBot="1">
      <c r="F1064" s="300" t="s">
        <v>190</v>
      </c>
      <c r="G1064" s="301" t="s">
        <v>191</v>
      </c>
      <c r="H1064" s="302"/>
      <c r="I1064" s="302"/>
      <c r="J1064" s="351"/>
      <c r="K1064" s="328">
        <v>0</v>
      </c>
      <c r="L1064" s="310">
        <f>J1064*K1064</f>
        <v>0</v>
      </c>
    </row>
    <row r="1065" spans="5:13" ht="15" customHeight="1" thickBot="1">
      <c r="F1065" s="316"/>
      <c r="G1065" s="317"/>
      <c r="H1065" s="318"/>
      <c r="I1065" s="318"/>
      <c r="J1065" s="319" t="s">
        <v>192</v>
      </c>
      <c r="K1065" s="320"/>
      <c r="L1065" s="321">
        <f>L1064</f>
        <v>0</v>
      </c>
    </row>
    <row r="1066" spans="5:13" ht="15" customHeight="1">
      <c r="F1066" s="344" t="s">
        <v>193</v>
      </c>
      <c r="G1066" s="345" t="s">
        <v>194</v>
      </c>
      <c r="H1066" s="346"/>
      <c r="I1066" s="346"/>
      <c r="J1066" s="347"/>
      <c r="K1066" s="348">
        <v>0</v>
      </c>
      <c r="L1066" s="310">
        <f>SUM(L1055:L1065)/2</f>
        <v>114130</v>
      </c>
    </row>
    <row r="1067" spans="5:13" ht="15" customHeight="1" thickBot="1">
      <c r="F1067" s="331" t="s">
        <v>195</v>
      </c>
      <c r="G1067" s="332" t="s">
        <v>196</v>
      </c>
      <c r="H1067" s="333"/>
      <c r="I1067" s="333"/>
      <c r="J1067" s="350">
        <v>0.1</v>
      </c>
      <c r="K1067" s="335"/>
      <c r="L1067" s="330">
        <f>J1067*L1066</f>
        <v>11413</v>
      </c>
    </row>
    <row r="1068" spans="5:13" ht="15" customHeight="1" thickBot="1">
      <c r="F1068" s="340" t="s">
        <v>197</v>
      </c>
      <c r="G1068" s="341" t="s">
        <v>198</v>
      </c>
      <c r="H1068" s="318"/>
      <c r="I1068" s="318"/>
      <c r="J1068" s="342"/>
      <c r="K1068" s="320">
        <v>0</v>
      </c>
      <c r="L1068" s="321">
        <f>ROUNDDOWN(L1066+L1067,0)</f>
        <v>125543</v>
      </c>
    </row>
    <row r="1069" spans="5:13" ht="15" customHeight="1">
      <c r="F1069" s="298"/>
      <c r="G1069" s="298"/>
      <c r="J1069" s="343"/>
    </row>
    <row r="1070" spans="5:13" ht="15" customHeight="1" thickBot="1">
      <c r="E1070" s="297" t="s">
        <v>374</v>
      </c>
      <c r="F1070" s="298" t="s">
        <v>375</v>
      </c>
      <c r="J1070" s="343"/>
      <c r="M1070" s="299">
        <f>L1085</f>
        <v>156230</v>
      </c>
    </row>
    <row r="1071" spans="5:13" ht="15" customHeight="1" thickBot="1">
      <c r="F1071" s="340" t="s">
        <v>136</v>
      </c>
      <c r="G1071" s="341" t="s">
        <v>162</v>
      </c>
      <c r="H1071" s="352" t="s">
        <v>163</v>
      </c>
      <c r="I1071" s="352" t="s">
        <v>138</v>
      </c>
      <c r="J1071" s="353" t="s">
        <v>164</v>
      </c>
      <c r="K1071" s="341" t="s">
        <v>165</v>
      </c>
      <c r="L1071" s="354" t="s">
        <v>166</v>
      </c>
    </row>
    <row r="1072" spans="5:13" ht="15" customHeight="1">
      <c r="F1072" s="300" t="s">
        <v>167</v>
      </c>
      <c r="G1072" s="301" t="s">
        <v>168</v>
      </c>
      <c r="H1072" s="302"/>
      <c r="I1072" s="302"/>
      <c r="J1072" s="351"/>
      <c r="K1072" s="328"/>
      <c r="L1072" s="310"/>
    </row>
    <row r="1073" spans="5:13" ht="15" customHeight="1">
      <c r="F1073" s="306"/>
      <c r="G1073" s="301" t="s">
        <v>169</v>
      </c>
      <c r="H1073" s="307" t="s">
        <v>170</v>
      </c>
      <c r="I1073" s="307" t="s">
        <v>171</v>
      </c>
      <c r="J1073" s="308">
        <v>0.08</v>
      </c>
      <c r="K1073" s="309">
        <f>VLOOKUP(G1073,Upah,8,FALSE)</f>
        <v>125000</v>
      </c>
      <c r="L1073" s="310">
        <f>J1073*K1073</f>
        <v>10000</v>
      </c>
    </row>
    <row r="1074" spans="5:13" ht="15" customHeight="1">
      <c r="F1074" s="306"/>
      <c r="G1074" s="301" t="s">
        <v>308</v>
      </c>
      <c r="H1074" s="307" t="s">
        <v>217</v>
      </c>
      <c r="I1074" s="307" t="s">
        <v>171</v>
      </c>
      <c r="J1074" s="308">
        <v>0.04</v>
      </c>
      <c r="K1074" s="309">
        <f>VLOOKUP(G1074,Upah,8,FALSE)</f>
        <v>150000</v>
      </c>
      <c r="L1074" s="310">
        <f>J1074*K1074</f>
        <v>6000</v>
      </c>
    </row>
    <row r="1075" spans="5:13" ht="15" customHeight="1">
      <c r="F1075" s="306"/>
      <c r="G1075" s="301" t="s">
        <v>174</v>
      </c>
      <c r="H1075" s="307" t="s">
        <v>175</v>
      </c>
      <c r="I1075" s="307" t="s">
        <v>171</v>
      </c>
      <c r="J1075" s="308">
        <v>4.0000000000000001E-3</v>
      </c>
      <c r="K1075" s="309">
        <f>VLOOKUP(G1075,Upah,8,FALSE)</f>
        <v>165000</v>
      </c>
      <c r="L1075" s="310">
        <f>J1075*K1075</f>
        <v>660</v>
      </c>
    </row>
    <row r="1076" spans="5:13" ht="15" customHeight="1" thickBot="1">
      <c r="F1076" s="306"/>
      <c r="G1076" s="301" t="s">
        <v>176</v>
      </c>
      <c r="H1076" s="307" t="s">
        <v>177</v>
      </c>
      <c r="I1076" s="307" t="s">
        <v>171</v>
      </c>
      <c r="J1076" s="308">
        <v>4.0000000000000001E-3</v>
      </c>
      <c r="K1076" s="309">
        <f>VLOOKUP(G1076,Upah,8,FALSE)</f>
        <v>170000</v>
      </c>
      <c r="L1076" s="310">
        <f>J1076*K1076</f>
        <v>680</v>
      </c>
    </row>
    <row r="1077" spans="5:13" ht="15" customHeight="1" thickBot="1">
      <c r="F1077" s="316"/>
      <c r="G1077" s="317"/>
      <c r="H1077" s="318"/>
      <c r="I1077" s="318"/>
      <c r="J1077" s="319" t="s">
        <v>178</v>
      </c>
      <c r="K1077" s="320"/>
      <c r="L1077" s="321">
        <f>SUM(L1073:L1076)</f>
        <v>17340</v>
      </c>
    </row>
    <row r="1078" spans="5:13" ht="15" customHeight="1">
      <c r="F1078" s="300" t="s">
        <v>179</v>
      </c>
      <c r="G1078" s="301" t="s">
        <v>180</v>
      </c>
      <c r="H1078" s="302"/>
      <c r="I1078" s="302"/>
      <c r="J1078" s="351"/>
      <c r="K1078" s="328"/>
      <c r="L1078" s="310"/>
    </row>
    <row r="1079" spans="5:13" ht="15" customHeight="1" thickBot="1">
      <c r="F1079" s="306"/>
      <c r="G1079" s="301" t="s">
        <v>376</v>
      </c>
      <c r="H1079" s="302"/>
      <c r="I1079" s="307" t="s">
        <v>33</v>
      </c>
      <c r="J1079" s="308">
        <v>1.05</v>
      </c>
      <c r="K1079" s="328">
        <f>VLOOKUP(G1079,Bahan,6,FALSE)</f>
        <v>118750</v>
      </c>
      <c r="L1079" s="310">
        <f>J1079*K1079</f>
        <v>124687.5</v>
      </c>
    </row>
    <row r="1080" spans="5:13" ht="15" customHeight="1" thickBot="1">
      <c r="F1080" s="316"/>
      <c r="G1080" s="317"/>
      <c r="H1080" s="318"/>
      <c r="I1080" s="318"/>
      <c r="J1080" s="319" t="s">
        <v>189</v>
      </c>
      <c r="K1080" s="320"/>
      <c r="L1080" s="321">
        <f>SUM(L1079)</f>
        <v>124687.5</v>
      </c>
    </row>
    <row r="1081" spans="5:13" ht="15" customHeight="1" thickBot="1">
      <c r="F1081" s="300" t="s">
        <v>190</v>
      </c>
      <c r="G1081" s="301" t="s">
        <v>191</v>
      </c>
      <c r="H1081" s="302"/>
      <c r="I1081" s="302"/>
      <c r="J1081" s="351"/>
      <c r="K1081" s="328">
        <v>0</v>
      </c>
      <c r="L1081" s="310">
        <f>J1081*K1081</f>
        <v>0</v>
      </c>
    </row>
    <row r="1082" spans="5:13" ht="15" customHeight="1" thickBot="1">
      <c r="F1082" s="316"/>
      <c r="G1082" s="317"/>
      <c r="H1082" s="318"/>
      <c r="I1082" s="318"/>
      <c r="J1082" s="319" t="s">
        <v>192</v>
      </c>
      <c r="K1082" s="320"/>
      <c r="L1082" s="321">
        <f>L1081</f>
        <v>0</v>
      </c>
    </row>
    <row r="1083" spans="5:13" ht="15" customHeight="1">
      <c r="F1083" s="344" t="s">
        <v>193</v>
      </c>
      <c r="G1083" s="345" t="s">
        <v>194</v>
      </c>
      <c r="H1083" s="346"/>
      <c r="I1083" s="346"/>
      <c r="J1083" s="347"/>
      <c r="K1083" s="348">
        <v>0</v>
      </c>
      <c r="L1083" s="310">
        <f>SUM(L1072:L1082)/2</f>
        <v>142027.5</v>
      </c>
    </row>
    <row r="1084" spans="5:13" ht="15" customHeight="1" thickBot="1">
      <c r="F1084" s="331" t="s">
        <v>195</v>
      </c>
      <c r="G1084" s="332" t="s">
        <v>196</v>
      </c>
      <c r="H1084" s="333"/>
      <c r="I1084" s="333"/>
      <c r="J1084" s="350">
        <v>0.1</v>
      </c>
      <c r="K1084" s="335"/>
      <c r="L1084" s="330">
        <f>J1084*L1083</f>
        <v>14202.75</v>
      </c>
    </row>
    <row r="1085" spans="5:13" ht="15" customHeight="1" thickBot="1">
      <c r="F1085" s="340" t="s">
        <v>197</v>
      </c>
      <c r="G1085" s="341" t="s">
        <v>198</v>
      </c>
      <c r="H1085" s="318"/>
      <c r="I1085" s="318"/>
      <c r="J1085" s="342"/>
      <c r="K1085" s="320">
        <v>0</v>
      </c>
      <c r="L1085" s="321">
        <f>ROUNDDOWN(L1083+L1084,0)</f>
        <v>156230</v>
      </c>
    </row>
    <row r="1086" spans="5:13" ht="15" customHeight="1">
      <c r="F1086" s="298"/>
      <c r="G1086" s="298"/>
      <c r="J1086" s="343"/>
      <c r="K1086" s="355"/>
      <c r="L1086" s="299"/>
    </row>
    <row r="1087" spans="5:13" ht="15" customHeight="1" thickBot="1">
      <c r="E1087" s="356" t="s">
        <v>377</v>
      </c>
      <c r="F1087" s="295" t="s">
        <v>378</v>
      </c>
      <c r="J1087" s="343"/>
      <c r="M1087" s="299">
        <f>L1103</f>
        <v>176917</v>
      </c>
    </row>
    <row r="1088" spans="5:13" ht="15" customHeight="1" thickBot="1">
      <c r="F1088" s="340" t="s">
        <v>136</v>
      </c>
      <c r="G1088" s="341" t="s">
        <v>162</v>
      </c>
      <c r="H1088" s="352" t="s">
        <v>163</v>
      </c>
      <c r="I1088" s="352" t="s">
        <v>138</v>
      </c>
      <c r="J1088" s="353" t="s">
        <v>164</v>
      </c>
      <c r="K1088" s="341" t="s">
        <v>165</v>
      </c>
      <c r="L1088" s="354" t="s">
        <v>166</v>
      </c>
    </row>
    <row r="1089" spans="6:12" ht="15" customHeight="1">
      <c r="F1089" s="300" t="s">
        <v>167</v>
      </c>
      <c r="G1089" s="301" t="s">
        <v>168</v>
      </c>
      <c r="H1089" s="302"/>
      <c r="I1089" s="302"/>
      <c r="J1089" s="351"/>
      <c r="K1089" s="328"/>
      <c r="L1089" s="310"/>
    </row>
    <row r="1090" spans="6:12" ht="15" customHeight="1">
      <c r="F1090" s="306"/>
      <c r="G1090" s="301" t="s">
        <v>169</v>
      </c>
      <c r="H1090" s="307" t="s">
        <v>170</v>
      </c>
      <c r="I1090" s="307" t="s">
        <v>171</v>
      </c>
      <c r="J1090" s="308">
        <v>7.0000000000000007E-2</v>
      </c>
      <c r="K1090" s="309">
        <f>VLOOKUP(G1090,Upah,8,FALSE)</f>
        <v>125000</v>
      </c>
      <c r="L1090" s="310">
        <f>J1090*K1090</f>
        <v>8750</v>
      </c>
    </row>
    <row r="1091" spans="6:12" ht="15" customHeight="1">
      <c r="F1091" s="306"/>
      <c r="G1091" s="301" t="s">
        <v>379</v>
      </c>
      <c r="H1091" s="307" t="s">
        <v>380</v>
      </c>
      <c r="I1091" s="307" t="s">
        <v>171</v>
      </c>
      <c r="J1091" s="308">
        <v>7.0000000000000007E-2</v>
      </c>
      <c r="K1091" s="309">
        <f>VLOOKUP(G1091,Upah,8,FALSE)</f>
        <v>150000</v>
      </c>
      <c r="L1091" s="310">
        <f>J1091*K1091</f>
        <v>10500.000000000002</v>
      </c>
    </row>
    <row r="1092" spans="6:12" ht="15" customHeight="1">
      <c r="F1092" s="306"/>
      <c r="G1092" s="301" t="s">
        <v>174</v>
      </c>
      <c r="H1092" s="307" t="s">
        <v>175</v>
      </c>
      <c r="I1092" s="307" t="s">
        <v>171</v>
      </c>
      <c r="J1092" s="308">
        <v>7.0000000000000001E-3</v>
      </c>
      <c r="K1092" s="309">
        <f>VLOOKUP(G1092,Upah,8,FALSE)</f>
        <v>165000</v>
      </c>
      <c r="L1092" s="310">
        <f>J1092*K1092</f>
        <v>1155</v>
      </c>
    </row>
    <row r="1093" spans="6:12" ht="15" customHeight="1" thickBot="1">
      <c r="F1093" s="306"/>
      <c r="G1093" s="301" t="s">
        <v>176</v>
      </c>
      <c r="H1093" s="307" t="s">
        <v>177</v>
      </c>
      <c r="I1093" s="307" t="s">
        <v>171</v>
      </c>
      <c r="J1093" s="308">
        <v>4.0000000000000001E-3</v>
      </c>
      <c r="K1093" s="309">
        <f>VLOOKUP(G1093,Upah,8,FALSE)</f>
        <v>170000</v>
      </c>
      <c r="L1093" s="310">
        <f>J1093*K1093</f>
        <v>680</v>
      </c>
    </row>
    <row r="1094" spans="6:12" ht="15" customHeight="1" thickBot="1">
      <c r="F1094" s="316"/>
      <c r="G1094" s="317"/>
      <c r="H1094" s="318"/>
      <c r="I1094" s="318"/>
      <c r="J1094" s="319" t="s">
        <v>178</v>
      </c>
      <c r="K1094" s="320"/>
      <c r="L1094" s="321">
        <f>SUM(L1090:L1093)</f>
        <v>21085</v>
      </c>
    </row>
    <row r="1095" spans="6:12" ht="15" customHeight="1">
      <c r="F1095" s="300" t="s">
        <v>179</v>
      </c>
      <c r="G1095" s="301" t="s">
        <v>180</v>
      </c>
      <c r="H1095" s="302"/>
      <c r="I1095" s="302"/>
      <c r="J1095" s="351"/>
      <c r="K1095" s="328"/>
      <c r="L1095" s="310"/>
    </row>
    <row r="1096" spans="6:12" ht="15" customHeight="1">
      <c r="F1096" s="306"/>
      <c r="G1096" s="301" t="s">
        <v>327</v>
      </c>
      <c r="H1096" s="302"/>
      <c r="I1096" s="307" t="s">
        <v>38</v>
      </c>
      <c r="J1096" s="308">
        <v>10.5</v>
      </c>
      <c r="K1096" s="328">
        <f>VLOOKUP(G1096,Bahan,6,FALSE)</f>
        <v>12920</v>
      </c>
      <c r="L1096" s="310">
        <f>J1096*K1096</f>
        <v>135660</v>
      </c>
    </row>
    <row r="1097" spans="6:12" ht="15" customHeight="1" thickBot="1">
      <c r="F1097" s="306"/>
      <c r="G1097" s="301" t="s">
        <v>328</v>
      </c>
      <c r="H1097" s="302"/>
      <c r="I1097" s="307" t="s">
        <v>38</v>
      </c>
      <c r="J1097" s="308">
        <v>0.15</v>
      </c>
      <c r="K1097" s="328">
        <f>VLOOKUP(G1097,Bahan,6,FALSE)</f>
        <v>27260</v>
      </c>
      <c r="L1097" s="310">
        <f>J1097*K1097</f>
        <v>4089</v>
      </c>
    </row>
    <row r="1098" spans="6:12" ht="15" customHeight="1" thickBot="1">
      <c r="F1098" s="316"/>
      <c r="G1098" s="317"/>
      <c r="H1098" s="318"/>
      <c r="I1098" s="318"/>
      <c r="J1098" s="319" t="s">
        <v>189</v>
      </c>
      <c r="K1098" s="320"/>
      <c r="L1098" s="321">
        <f>SUM(L1096:L1097)</f>
        <v>139749</v>
      </c>
    </row>
    <row r="1099" spans="6:12" ht="15" customHeight="1" thickBot="1">
      <c r="F1099" s="300" t="s">
        <v>190</v>
      </c>
      <c r="G1099" s="301" t="s">
        <v>191</v>
      </c>
      <c r="H1099" s="302"/>
      <c r="I1099" s="302"/>
      <c r="J1099" s="351"/>
      <c r="K1099" s="328">
        <v>0</v>
      </c>
      <c r="L1099" s="310">
        <f>J1099*K1099</f>
        <v>0</v>
      </c>
    </row>
    <row r="1100" spans="6:12" ht="15" customHeight="1" thickBot="1">
      <c r="F1100" s="316"/>
      <c r="G1100" s="317"/>
      <c r="H1100" s="318"/>
      <c r="I1100" s="318"/>
      <c r="J1100" s="319" t="s">
        <v>192</v>
      </c>
      <c r="K1100" s="320"/>
      <c r="L1100" s="321">
        <f>L1099</f>
        <v>0</v>
      </c>
    </row>
    <row r="1101" spans="6:12" ht="15" customHeight="1">
      <c r="F1101" s="344" t="s">
        <v>193</v>
      </c>
      <c r="G1101" s="345" t="s">
        <v>194</v>
      </c>
      <c r="H1101" s="346"/>
      <c r="I1101" s="346"/>
      <c r="J1101" s="347"/>
      <c r="K1101" s="348">
        <v>0</v>
      </c>
      <c r="L1101" s="310">
        <f>SUM(L1090:L1100)/2</f>
        <v>160834</v>
      </c>
    </row>
    <row r="1102" spans="6:12" ht="15" customHeight="1" thickBot="1">
      <c r="F1102" s="331" t="s">
        <v>195</v>
      </c>
      <c r="G1102" s="332" t="s">
        <v>196</v>
      </c>
      <c r="H1102" s="333"/>
      <c r="I1102" s="333"/>
      <c r="J1102" s="350">
        <v>0.1</v>
      </c>
      <c r="K1102" s="335"/>
      <c r="L1102" s="330">
        <f>J1102*L1101</f>
        <v>16083.400000000001</v>
      </c>
    </row>
    <row r="1103" spans="6:12" ht="15" customHeight="1" thickBot="1">
      <c r="F1103" s="340" t="s">
        <v>197</v>
      </c>
      <c r="G1103" s="341" t="s">
        <v>198</v>
      </c>
      <c r="H1103" s="318"/>
      <c r="I1103" s="318"/>
      <c r="J1103" s="342"/>
      <c r="K1103" s="320">
        <v>0</v>
      </c>
      <c r="L1103" s="321">
        <f>ROUNDDOWN(L1101+L1102,0)</f>
        <v>176917</v>
      </c>
    </row>
    <row r="1104" spans="6:12" ht="15" customHeight="1">
      <c r="F1104" s="298"/>
      <c r="G1104" s="298"/>
      <c r="J1104" s="343"/>
      <c r="K1104" s="355"/>
      <c r="L1104" s="299"/>
    </row>
    <row r="1105" spans="5:13" ht="15" customHeight="1" thickBot="1">
      <c r="E1105" s="297" t="s">
        <v>381</v>
      </c>
      <c r="F1105" s="295" t="s">
        <v>382</v>
      </c>
      <c r="J1105" s="343"/>
      <c r="M1105" s="299">
        <f>L1121</f>
        <v>168818</v>
      </c>
    </row>
    <row r="1106" spans="5:13" ht="15" customHeight="1" thickBot="1">
      <c r="F1106" s="340" t="s">
        <v>136</v>
      </c>
      <c r="G1106" s="341" t="s">
        <v>162</v>
      </c>
      <c r="H1106" s="352" t="s">
        <v>163</v>
      </c>
      <c r="I1106" s="352" t="s">
        <v>138</v>
      </c>
      <c r="J1106" s="353" t="s">
        <v>164</v>
      </c>
      <c r="K1106" s="341" t="s">
        <v>165</v>
      </c>
      <c r="L1106" s="354" t="s">
        <v>166</v>
      </c>
    </row>
    <row r="1107" spans="5:13" ht="15" customHeight="1">
      <c r="F1107" s="300" t="s">
        <v>167</v>
      </c>
      <c r="G1107" s="301" t="s">
        <v>168</v>
      </c>
      <c r="H1107" s="302"/>
      <c r="I1107" s="302"/>
      <c r="J1107" s="351"/>
      <c r="K1107" s="328"/>
      <c r="L1107" s="310"/>
    </row>
    <row r="1108" spans="5:13" ht="15" customHeight="1">
      <c r="F1108" s="306"/>
      <c r="G1108" s="301" t="s">
        <v>169</v>
      </c>
      <c r="H1108" s="307" t="s">
        <v>170</v>
      </c>
      <c r="I1108" s="307" t="s">
        <v>171</v>
      </c>
      <c r="J1108" s="308">
        <v>0.05</v>
      </c>
      <c r="K1108" s="309">
        <f>VLOOKUP(G1108,Upah,8,FALSE)</f>
        <v>125000</v>
      </c>
      <c r="L1108" s="310">
        <f>J1108*K1108</f>
        <v>6250</v>
      </c>
    </row>
    <row r="1109" spans="5:13" ht="15" customHeight="1">
      <c r="F1109" s="306"/>
      <c r="G1109" s="301" t="s">
        <v>379</v>
      </c>
      <c r="H1109" s="307" t="s">
        <v>380</v>
      </c>
      <c r="I1109" s="307" t="s">
        <v>171</v>
      </c>
      <c r="J1109" s="308">
        <v>0.05</v>
      </c>
      <c r="K1109" s="309">
        <f>VLOOKUP(G1109,Upah,8,FALSE)</f>
        <v>150000</v>
      </c>
      <c r="L1109" s="310">
        <f>J1109*K1109</f>
        <v>7500</v>
      </c>
    </row>
    <row r="1110" spans="5:13" ht="15" customHeight="1">
      <c r="F1110" s="306"/>
      <c r="G1110" s="301" t="s">
        <v>174</v>
      </c>
      <c r="H1110" s="307" t="s">
        <v>175</v>
      </c>
      <c r="I1110" s="307" t="s">
        <v>171</v>
      </c>
      <c r="J1110" s="308">
        <v>5.0000000000000001E-3</v>
      </c>
      <c r="K1110" s="309">
        <f>VLOOKUP(G1110,Upah,8,FALSE)</f>
        <v>165000</v>
      </c>
      <c r="L1110" s="310">
        <f>J1110*K1110</f>
        <v>825</v>
      </c>
    </row>
    <row r="1111" spans="5:13" ht="15" customHeight="1" thickBot="1">
      <c r="F1111" s="306"/>
      <c r="G1111" s="301" t="s">
        <v>176</v>
      </c>
      <c r="H1111" s="307" t="s">
        <v>177</v>
      </c>
      <c r="I1111" s="307" t="s">
        <v>171</v>
      </c>
      <c r="J1111" s="308">
        <v>3.0000000000000001E-3</v>
      </c>
      <c r="K1111" s="309">
        <f>VLOOKUP(G1111,Upah,8,FALSE)</f>
        <v>170000</v>
      </c>
      <c r="L1111" s="310">
        <f>J1111*K1111</f>
        <v>510</v>
      </c>
    </row>
    <row r="1112" spans="5:13" ht="15" customHeight="1" thickBot="1">
      <c r="F1112" s="316"/>
      <c r="G1112" s="317"/>
      <c r="H1112" s="318"/>
      <c r="I1112" s="318"/>
      <c r="J1112" s="319" t="s">
        <v>178</v>
      </c>
      <c r="K1112" s="320"/>
      <c r="L1112" s="321">
        <f>SUM(L1108:L1111)</f>
        <v>15085</v>
      </c>
    </row>
    <row r="1113" spans="5:13" ht="15" customHeight="1">
      <c r="F1113" s="300" t="s">
        <v>179</v>
      </c>
      <c r="G1113" s="301" t="s">
        <v>180</v>
      </c>
      <c r="H1113" s="302"/>
      <c r="I1113" s="302"/>
      <c r="J1113" s="351"/>
      <c r="K1113" s="328"/>
      <c r="L1113" s="310"/>
    </row>
    <row r="1114" spans="5:13" ht="15" customHeight="1">
      <c r="F1114" s="306"/>
      <c r="G1114" s="301" t="s">
        <v>327</v>
      </c>
      <c r="H1114" s="302"/>
      <c r="I1114" s="307" t="s">
        <v>38</v>
      </c>
      <c r="J1114" s="308">
        <v>10.5</v>
      </c>
      <c r="K1114" s="328">
        <f>VLOOKUP(G1114,Bahan,6,FALSE)</f>
        <v>12920</v>
      </c>
      <c r="L1114" s="310">
        <f>J1114*K1114</f>
        <v>135660</v>
      </c>
    </row>
    <row r="1115" spans="5:13" ht="15" customHeight="1" thickBot="1">
      <c r="F1115" s="306"/>
      <c r="G1115" s="301" t="s">
        <v>328</v>
      </c>
      <c r="H1115" s="302"/>
      <c r="I1115" s="307" t="s">
        <v>38</v>
      </c>
      <c r="J1115" s="308">
        <v>0.1</v>
      </c>
      <c r="K1115" s="328">
        <f>VLOOKUP(G1115,Bahan,6,FALSE)</f>
        <v>27260</v>
      </c>
      <c r="L1115" s="310">
        <f>J1115*K1115</f>
        <v>2726</v>
      </c>
    </row>
    <row r="1116" spans="5:13" ht="15" customHeight="1" thickBot="1">
      <c r="F1116" s="316"/>
      <c r="G1116" s="317"/>
      <c r="H1116" s="318"/>
      <c r="I1116" s="318"/>
      <c r="J1116" s="319" t="s">
        <v>189</v>
      </c>
      <c r="K1116" s="320"/>
      <c r="L1116" s="321">
        <f>SUM(L1114:L1115)</f>
        <v>138386</v>
      </c>
    </row>
    <row r="1117" spans="5:13" ht="15" customHeight="1" thickBot="1">
      <c r="F1117" s="300" t="s">
        <v>190</v>
      </c>
      <c r="G1117" s="301" t="s">
        <v>191</v>
      </c>
      <c r="H1117" s="302"/>
      <c r="I1117" s="302"/>
      <c r="J1117" s="351"/>
      <c r="K1117" s="328">
        <v>0</v>
      </c>
      <c r="L1117" s="310">
        <f>J1117*K1117</f>
        <v>0</v>
      </c>
    </row>
    <row r="1118" spans="5:13" ht="15" customHeight="1" thickBot="1">
      <c r="F1118" s="316"/>
      <c r="G1118" s="317"/>
      <c r="H1118" s="318"/>
      <c r="I1118" s="318"/>
      <c r="J1118" s="319" t="s">
        <v>192</v>
      </c>
      <c r="K1118" s="320"/>
      <c r="L1118" s="321">
        <f>L1117</f>
        <v>0</v>
      </c>
    </row>
    <row r="1119" spans="5:13" ht="15" customHeight="1">
      <c r="F1119" s="344" t="s">
        <v>193</v>
      </c>
      <c r="G1119" s="345" t="s">
        <v>194</v>
      </c>
      <c r="H1119" s="346"/>
      <c r="I1119" s="346"/>
      <c r="J1119" s="347"/>
      <c r="K1119" s="348">
        <v>0</v>
      </c>
      <c r="L1119" s="310">
        <f>SUM(L1107:L1118)/2</f>
        <v>153471</v>
      </c>
    </row>
    <row r="1120" spans="5:13" ht="15" customHeight="1" thickBot="1">
      <c r="F1120" s="331" t="s">
        <v>195</v>
      </c>
      <c r="G1120" s="332" t="s">
        <v>196</v>
      </c>
      <c r="H1120" s="333"/>
      <c r="I1120" s="333"/>
      <c r="J1120" s="350">
        <v>0.1</v>
      </c>
      <c r="K1120" s="335"/>
      <c r="L1120" s="330">
        <f>J1120*L1119</f>
        <v>15347.1</v>
      </c>
    </row>
    <row r="1121" spans="5:13" ht="15" customHeight="1" thickBot="1">
      <c r="F1121" s="340" t="s">
        <v>197</v>
      </c>
      <c r="G1121" s="341" t="s">
        <v>198</v>
      </c>
      <c r="H1121" s="318"/>
      <c r="I1121" s="318"/>
      <c r="J1121" s="342"/>
      <c r="K1121" s="320">
        <v>0</v>
      </c>
      <c r="L1121" s="321">
        <f>ROUNDDOWN(L1119+L1120,0)</f>
        <v>168818</v>
      </c>
    </row>
    <row r="1122" spans="5:13" ht="15" customHeight="1">
      <c r="F1122" s="298"/>
      <c r="G1122" s="298"/>
      <c r="J1122" s="343"/>
    </row>
    <row r="1123" spans="5:13" ht="15" customHeight="1" thickBot="1">
      <c r="E1123" s="297" t="s">
        <v>383</v>
      </c>
      <c r="F1123" s="298" t="s">
        <v>384</v>
      </c>
      <c r="J1123" s="343"/>
      <c r="M1123" s="299">
        <f>L1139</f>
        <v>163236</v>
      </c>
    </row>
    <row r="1124" spans="5:13" ht="15" customHeight="1" thickBot="1">
      <c r="F1124" s="340" t="s">
        <v>136</v>
      </c>
      <c r="G1124" s="341" t="s">
        <v>162</v>
      </c>
      <c r="H1124" s="352" t="s">
        <v>163</v>
      </c>
      <c r="I1124" s="352" t="s">
        <v>138</v>
      </c>
      <c r="J1124" s="353" t="s">
        <v>164</v>
      </c>
      <c r="K1124" s="341" t="s">
        <v>165</v>
      </c>
      <c r="L1124" s="354" t="s">
        <v>166</v>
      </c>
    </row>
    <row r="1125" spans="5:13" ht="15" customHeight="1">
      <c r="F1125" s="300" t="s">
        <v>167</v>
      </c>
      <c r="G1125" s="301" t="s">
        <v>168</v>
      </c>
      <c r="H1125" s="302"/>
      <c r="I1125" s="302"/>
      <c r="J1125" s="351"/>
      <c r="K1125" s="328"/>
      <c r="L1125" s="310"/>
    </row>
    <row r="1126" spans="5:13" ht="15" customHeight="1">
      <c r="F1126" s="306"/>
      <c r="G1126" s="301" t="s">
        <v>169</v>
      </c>
      <c r="H1126" s="307" t="s">
        <v>170</v>
      </c>
      <c r="I1126" s="307" t="s">
        <v>171</v>
      </c>
      <c r="J1126" s="308">
        <v>2.5000000000000001E-2</v>
      </c>
      <c r="K1126" s="309">
        <f>VLOOKUP(G1126,Upah,8,FALSE)</f>
        <v>125000</v>
      </c>
      <c r="L1126" s="310">
        <f>J1126*K1126</f>
        <v>3125</v>
      </c>
    </row>
    <row r="1127" spans="5:13" ht="15" customHeight="1">
      <c r="F1127" s="306"/>
      <c r="G1127" s="301" t="s">
        <v>379</v>
      </c>
      <c r="H1127" s="307" t="s">
        <v>380</v>
      </c>
      <c r="I1127" s="307" t="s">
        <v>171</v>
      </c>
      <c r="J1127" s="308">
        <v>2.5000000000000001E-2</v>
      </c>
      <c r="K1127" s="309">
        <f>VLOOKUP(G1127,Upah,8,FALSE)</f>
        <v>150000</v>
      </c>
      <c r="L1127" s="310">
        <f>J1127*K1127</f>
        <v>3750</v>
      </c>
    </row>
    <row r="1128" spans="5:13" ht="15" customHeight="1">
      <c r="F1128" s="306"/>
      <c r="G1128" s="301" t="s">
        <v>174</v>
      </c>
      <c r="H1128" s="307" t="s">
        <v>175</v>
      </c>
      <c r="I1128" s="307" t="s">
        <v>171</v>
      </c>
      <c r="J1128" s="308">
        <v>2.5000000000000001E-2</v>
      </c>
      <c r="K1128" s="309">
        <f>VLOOKUP(G1128,Upah,8,FALSE)</f>
        <v>165000</v>
      </c>
      <c r="L1128" s="310">
        <f>J1128*K1128</f>
        <v>4125</v>
      </c>
    </row>
    <row r="1129" spans="5:13" ht="15" customHeight="1" thickBot="1">
      <c r="F1129" s="306"/>
      <c r="G1129" s="301" t="s">
        <v>176</v>
      </c>
      <c r="H1129" s="307" t="s">
        <v>177</v>
      </c>
      <c r="I1129" s="307" t="s">
        <v>171</v>
      </c>
      <c r="J1129" s="308">
        <v>1E-3</v>
      </c>
      <c r="K1129" s="309">
        <f>VLOOKUP(G1129,Upah,8,FALSE)</f>
        <v>170000</v>
      </c>
      <c r="L1129" s="310">
        <f>J1129*K1129</f>
        <v>170</v>
      </c>
    </row>
    <row r="1130" spans="5:13" ht="15" customHeight="1" thickBot="1">
      <c r="F1130" s="316"/>
      <c r="G1130" s="317"/>
      <c r="H1130" s="318"/>
      <c r="I1130" s="318"/>
      <c r="J1130" s="319" t="s">
        <v>178</v>
      </c>
      <c r="K1130" s="320"/>
      <c r="L1130" s="321">
        <f>SUM(L1126:L1129)</f>
        <v>11170</v>
      </c>
    </row>
    <row r="1131" spans="5:13" ht="15" customHeight="1">
      <c r="F1131" s="300" t="s">
        <v>179</v>
      </c>
      <c r="G1131" s="301" t="s">
        <v>180</v>
      </c>
      <c r="H1131" s="302"/>
      <c r="I1131" s="302"/>
      <c r="J1131" s="351"/>
      <c r="K1131" s="328"/>
      <c r="L1131" s="310"/>
    </row>
    <row r="1132" spans="5:13" ht="15" customHeight="1">
      <c r="F1132" s="306"/>
      <c r="G1132" s="301" t="s">
        <v>385</v>
      </c>
      <c r="H1132" s="302"/>
      <c r="I1132" s="307" t="s">
        <v>38</v>
      </c>
      <c r="J1132" s="308">
        <v>10.199999999999999</v>
      </c>
      <c r="K1132" s="328">
        <f>VLOOKUP(G1132,Bahan,6,FALSE)</f>
        <v>13320</v>
      </c>
      <c r="L1132" s="310">
        <f>J1132*K1132</f>
        <v>135864</v>
      </c>
    </row>
    <row r="1133" spans="5:13" ht="15" customHeight="1" thickBot="1">
      <c r="F1133" s="306"/>
      <c r="G1133" s="301" t="s">
        <v>328</v>
      </c>
      <c r="H1133" s="302"/>
      <c r="I1133" s="307" t="s">
        <v>38</v>
      </c>
      <c r="J1133" s="308">
        <v>0.05</v>
      </c>
      <c r="K1133" s="328">
        <f>VLOOKUP(G1133,Bahan,6,FALSE)</f>
        <v>27260</v>
      </c>
      <c r="L1133" s="310">
        <f>J1133*K1133</f>
        <v>1363</v>
      </c>
    </row>
    <row r="1134" spans="5:13" ht="15" customHeight="1" thickBot="1">
      <c r="F1134" s="316"/>
      <c r="G1134" s="317"/>
      <c r="H1134" s="318"/>
      <c r="I1134" s="318"/>
      <c r="J1134" s="319" t="s">
        <v>189</v>
      </c>
      <c r="K1134" s="320"/>
      <c r="L1134" s="321">
        <f>SUM(L1132:L1133)</f>
        <v>137227</v>
      </c>
    </row>
    <row r="1135" spans="5:13" ht="15" customHeight="1" thickBot="1">
      <c r="F1135" s="300" t="s">
        <v>190</v>
      </c>
      <c r="G1135" s="301" t="s">
        <v>191</v>
      </c>
      <c r="H1135" s="302"/>
      <c r="I1135" s="302"/>
      <c r="J1135" s="351"/>
      <c r="K1135" s="328">
        <v>0</v>
      </c>
      <c r="L1135" s="310">
        <f>J1135*K1135</f>
        <v>0</v>
      </c>
    </row>
    <row r="1136" spans="5:13" ht="15" customHeight="1" thickBot="1">
      <c r="F1136" s="316"/>
      <c r="G1136" s="317"/>
      <c r="H1136" s="318"/>
      <c r="I1136" s="318"/>
      <c r="J1136" s="319" t="s">
        <v>192</v>
      </c>
      <c r="K1136" s="320"/>
      <c r="L1136" s="321">
        <f>L1135</f>
        <v>0</v>
      </c>
    </row>
    <row r="1137" spans="5:13" ht="15" customHeight="1">
      <c r="F1137" s="344" t="s">
        <v>193</v>
      </c>
      <c r="G1137" s="345" t="s">
        <v>194</v>
      </c>
      <c r="H1137" s="346"/>
      <c r="I1137" s="346"/>
      <c r="J1137" s="347"/>
      <c r="K1137" s="348">
        <v>0</v>
      </c>
      <c r="L1137" s="310">
        <f>SUM(L1126:L1136)/2</f>
        <v>148397</v>
      </c>
    </row>
    <row r="1138" spans="5:13" ht="15" customHeight="1" thickBot="1">
      <c r="F1138" s="331" t="s">
        <v>195</v>
      </c>
      <c r="G1138" s="332" t="s">
        <v>196</v>
      </c>
      <c r="H1138" s="333"/>
      <c r="I1138" s="333"/>
      <c r="J1138" s="350">
        <v>0.1</v>
      </c>
      <c r="K1138" s="335"/>
      <c r="L1138" s="330">
        <f>J1138*L1137</f>
        <v>14839.7</v>
      </c>
    </row>
    <row r="1139" spans="5:13" ht="15" customHeight="1" thickBot="1">
      <c r="F1139" s="340" t="s">
        <v>197</v>
      </c>
      <c r="G1139" s="341" t="s">
        <v>198</v>
      </c>
      <c r="H1139" s="318"/>
      <c r="I1139" s="318"/>
      <c r="J1139" s="342"/>
      <c r="K1139" s="320">
        <v>0</v>
      </c>
      <c r="L1139" s="321">
        <f>ROUNDDOWN(L1137+L1138,0)</f>
        <v>163236</v>
      </c>
    </row>
    <row r="1140" spans="5:13" ht="15" customHeight="1">
      <c r="F1140" s="298"/>
      <c r="G1140" s="298"/>
      <c r="J1140" s="343"/>
      <c r="K1140" s="355"/>
      <c r="L1140" s="299"/>
    </row>
    <row r="1141" spans="5:13" ht="15" customHeight="1" thickBot="1">
      <c r="E1141" s="356" t="s">
        <v>386</v>
      </c>
      <c r="F1141" s="295" t="s">
        <v>387</v>
      </c>
      <c r="J1141" s="343"/>
      <c r="M1141" s="299">
        <f>L1158</f>
        <v>332015</v>
      </c>
    </row>
    <row r="1142" spans="5:13" ht="15" customHeight="1" thickBot="1">
      <c r="F1142" s="340" t="s">
        <v>136</v>
      </c>
      <c r="G1142" s="341" t="s">
        <v>162</v>
      </c>
      <c r="H1142" s="352" t="s">
        <v>163</v>
      </c>
      <c r="I1142" s="352" t="s">
        <v>138</v>
      </c>
      <c r="J1142" s="353" t="s">
        <v>164</v>
      </c>
      <c r="K1142" s="341" t="s">
        <v>165</v>
      </c>
      <c r="L1142" s="354" t="s">
        <v>166</v>
      </c>
    </row>
    <row r="1143" spans="5:13" ht="15" customHeight="1">
      <c r="F1143" s="300" t="s">
        <v>167</v>
      </c>
      <c r="G1143" s="301" t="s">
        <v>168</v>
      </c>
      <c r="H1143" s="302"/>
      <c r="I1143" s="302"/>
      <c r="J1143" s="351"/>
      <c r="K1143" s="328"/>
      <c r="L1143" s="310"/>
    </row>
    <row r="1144" spans="5:13" ht="15" customHeight="1">
      <c r="F1144" s="306"/>
      <c r="G1144" s="301" t="s">
        <v>169</v>
      </c>
      <c r="H1144" s="307" t="s">
        <v>170</v>
      </c>
      <c r="I1144" s="307" t="s">
        <v>171</v>
      </c>
      <c r="J1144" s="308">
        <v>0.52</v>
      </c>
      <c r="K1144" s="309">
        <f>VLOOKUP(G1144,Upah,8,FALSE)</f>
        <v>125000</v>
      </c>
      <c r="L1144" s="310">
        <f>J1144*K1144</f>
        <v>65000</v>
      </c>
    </row>
    <row r="1145" spans="5:13" ht="15" customHeight="1">
      <c r="F1145" s="306"/>
      <c r="G1145" s="301" t="s">
        <v>172</v>
      </c>
      <c r="H1145" s="307" t="s">
        <v>173</v>
      </c>
      <c r="I1145" s="307" t="s">
        <v>171</v>
      </c>
      <c r="J1145" s="308">
        <v>0.26</v>
      </c>
      <c r="K1145" s="309">
        <f>VLOOKUP(G1145,Upah,8,FALSE)</f>
        <v>150000</v>
      </c>
      <c r="L1145" s="310">
        <f>J1145*K1145</f>
        <v>39000</v>
      </c>
    </row>
    <row r="1146" spans="5:13" ht="15" customHeight="1">
      <c r="F1146" s="306"/>
      <c r="G1146" s="301" t="s">
        <v>174</v>
      </c>
      <c r="H1146" s="307" t="s">
        <v>175</v>
      </c>
      <c r="I1146" s="307" t="s">
        <v>171</v>
      </c>
      <c r="J1146" s="308">
        <v>2.5999999999999999E-2</v>
      </c>
      <c r="K1146" s="309">
        <f>VLOOKUP(G1146,Upah,8,FALSE)</f>
        <v>165000</v>
      </c>
      <c r="L1146" s="310">
        <f>J1146*K1146</f>
        <v>4290</v>
      </c>
    </row>
    <row r="1147" spans="5:13" ht="15" customHeight="1" thickBot="1">
      <c r="F1147" s="306"/>
      <c r="G1147" s="301" t="s">
        <v>176</v>
      </c>
      <c r="H1147" s="307" t="s">
        <v>177</v>
      </c>
      <c r="I1147" s="307" t="s">
        <v>171</v>
      </c>
      <c r="J1147" s="308">
        <v>2.5999999999999999E-2</v>
      </c>
      <c r="K1147" s="309">
        <f>VLOOKUP(G1147,Upah,8,FALSE)</f>
        <v>170000</v>
      </c>
      <c r="L1147" s="310">
        <f>J1147*K1147</f>
        <v>4420</v>
      </c>
    </row>
    <row r="1148" spans="5:13" ht="15" customHeight="1" thickBot="1">
      <c r="F1148" s="316"/>
      <c r="G1148" s="317"/>
      <c r="H1148" s="318"/>
      <c r="I1148" s="318"/>
      <c r="J1148" s="319" t="s">
        <v>178</v>
      </c>
      <c r="K1148" s="320"/>
      <c r="L1148" s="321">
        <f>SUM(L1144:L1147)</f>
        <v>112710</v>
      </c>
    </row>
    <row r="1149" spans="5:13" ht="15" customHeight="1">
      <c r="F1149" s="300" t="s">
        <v>179</v>
      </c>
      <c r="G1149" s="301" t="s">
        <v>180</v>
      </c>
      <c r="H1149" s="302"/>
      <c r="I1149" s="302"/>
      <c r="J1149" s="351"/>
      <c r="K1149" s="328"/>
      <c r="L1149" s="310"/>
    </row>
    <row r="1150" spans="5:13" ht="15" customHeight="1">
      <c r="F1150" s="306"/>
      <c r="G1150" s="301" t="s">
        <v>388</v>
      </c>
      <c r="H1150" s="302"/>
      <c r="I1150" s="307" t="s">
        <v>44</v>
      </c>
      <c r="J1150" s="308">
        <v>0.04</v>
      </c>
      <c r="K1150" s="328">
        <f>VLOOKUP(G1150,Bahan,6,FALSE)</f>
        <v>4500000</v>
      </c>
      <c r="L1150" s="310">
        <f>J1150*K1150</f>
        <v>180000</v>
      </c>
    </row>
    <row r="1151" spans="5:13" ht="15" customHeight="1">
      <c r="F1151" s="306"/>
      <c r="G1151" s="301" t="s">
        <v>389</v>
      </c>
      <c r="H1151" s="302"/>
      <c r="I1151" s="307" t="s">
        <v>38</v>
      </c>
      <c r="J1151" s="308">
        <v>0.3</v>
      </c>
      <c r="K1151" s="328">
        <f>VLOOKUP(G1151,Bahan,6,FALSE)</f>
        <v>27970</v>
      </c>
      <c r="L1151" s="310">
        <f>J1151*K1151</f>
        <v>8391</v>
      </c>
    </row>
    <row r="1152" spans="5:13" ht="15" customHeight="1" thickBot="1">
      <c r="F1152" s="306"/>
      <c r="G1152" s="301" t="s">
        <v>390</v>
      </c>
      <c r="H1152" s="302"/>
      <c r="I1152" s="307" t="s">
        <v>188</v>
      </c>
      <c r="J1152" s="308">
        <v>0.1</v>
      </c>
      <c r="K1152" s="328">
        <f>VLOOKUP(G1152,Bahan,6,FALSE)</f>
        <v>7310</v>
      </c>
      <c r="L1152" s="310">
        <f>J1152*K1152</f>
        <v>731</v>
      </c>
    </row>
    <row r="1153" spans="5:13" ht="15" customHeight="1" thickBot="1">
      <c r="F1153" s="316"/>
      <c r="G1153" s="317"/>
      <c r="H1153" s="318"/>
      <c r="I1153" s="318"/>
      <c r="J1153" s="319" t="s">
        <v>189</v>
      </c>
      <c r="K1153" s="320"/>
      <c r="L1153" s="321">
        <f>SUM(L1150:L1152)</f>
        <v>189122</v>
      </c>
    </row>
    <row r="1154" spans="5:13" ht="15" customHeight="1" thickBot="1">
      <c r="F1154" s="300" t="s">
        <v>190</v>
      </c>
      <c r="G1154" s="301" t="s">
        <v>191</v>
      </c>
      <c r="H1154" s="302"/>
      <c r="I1154" s="302"/>
      <c r="J1154" s="351"/>
      <c r="K1154" s="328">
        <v>0</v>
      </c>
      <c r="L1154" s="310">
        <f>J1154*K1154</f>
        <v>0</v>
      </c>
    </row>
    <row r="1155" spans="5:13" ht="15" customHeight="1" thickBot="1">
      <c r="F1155" s="316"/>
      <c r="G1155" s="317"/>
      <c r="H1155" s="318"/>
      <c r="I1155" s="318"/>
      <c r="J1155" s="319" t="s">
        <v>192</v>
      </c>
      <c r="K1155" s="320"/>
      <c r="L1155" s="321">
        <f>L1154</f>
        <v>0</v>
      </c>
    </row>
    <row r="1156" spans="5:13" ht="15" customHeight="1">
      <c r="F1156" s="344" t="s">
        <v>193</v>
      </c>
      <c r="G1156" s="345" t="s">
        <v>194</v>
      </c>
      <c r="H1156" s="346"/>
      <c r="I1156" s="346"/>
      <c r="J1156" s="347"/>
      <c r="K1156" s="348">
        <v>0</v>
      </c>
      <c r="L1156" s="310">
        <f>SUM(L1144:L1155)/2</f>
        <v>301832</v>
      </c>
    </row>
    <row r="1157" spans="5:13" ht="15" customHeight="1" thickBot="1">
      <c r="F1157" s="331" t="s">
        <v>195</v>
      </c>
      <c r="G1157" s="332" t="s">
        <v>196</v>
      </c>
      <c r="H1157" s="333"/>
      <c r="I1157" s="333"/>
      <c r="J1157" s="350">
        <v>0.1</v>
      </c>
      <c r="K1157" s="335"/>
      <c r="L1157" s="330">
        <f>J1157*L1156</f>
        <v>30183.200000000001</v>
      </c>
    </row>
    <row r="1158" spans="5:13" ht="15" customHeight="1" thickBot="1">
      <c r="F1158" s="340" t="s">
        <v>197</v>
      </c>
      <c r="G1158" s="341" t="s">
        <v>198</v>
      </c>
      <c r="H1158" s="318"/>
      <c r="I1158" s="318"/>
      <c r="J1158" s="342"/>
      <c r="K1158" s="320">
        <v>0</v>
      </c>
      <c r="L1158" s="321">
        <f>ROUNDDOWN(L1156+L1157,0)</f>
        <v>332015</v>
      </c>
    </row>
    <row r="1159" spans="5:13" ht="15" customHeight="1">
      <c r="F1159" s="298"/>
      <c r="G1159" s="298"/>
      <c r="J1159" s="343"/>
      <c r="K1159" s="355"/>
      <c r="L1159" s="299"/>
    </row>
    <row r="1160" spans="5:13" ht="15" customHeight="1" thickBot="1">
      <c r="E1160" s="356" t="s">
        <v>391</v>
      </c>
      <c r="F1160" s="295" t="s">
        <v>392</v>
      </c>
      <c r="J1160" s="343"/>
      <c r="M1160" s="299">
        <f>L1177</f>
        <v>356765</v>
      </c>
    </row>
    <row r="1161" spans="5:13" ht="15" customHeight="1" thickBot="1">
      <c r="F1161" s="340" t="s">
        <v>136</v>
      </c>
      <c r="G1161" s="341" t="s">
        <v>162</v>
      </c>
      <c r="H1161" s="352" t="s">
        <v>163</v>
      </c>
      <c r="I1161" s="352" t="s">
        <v>138</v>
      </c>
      <c r="J1161" s="353" t="s">
        <v>164</v>
      </c>
      <c r="K1161" s="341" t="s">
        <v>165</v>
      </c>
      <c r="L1161" s="354" t="s">
        <v>166</v>
      </c>
    </row>
    <row r="1162" spans="5:13" ht="15" customHeight="1">
      <c r="F1162" s="300" t="s">
        <v>167</v>
      </c>
      <c r="G1162" s="301" t="s">
        <v>168</v>
      </c>
      <c r="H1162" s="302"/>
      <c r="I1162" s="302"/>
      <c r="J1162" s="351"/>
      <c r="K1162" s="328"/>
      <c r="L1162" s="310"/>
    </row>
    <row r="1163" spans="5:13" ht="15" customHeight="1">
      <c r="F1163" s="306"/>
      <c r="G1163" s="301" t="s">
        <v>169</v>
      </c>
      <c r="H1163" s="307" t="s">
        <v>170</v>
      </c>
      <c r="I1163" s="307" t="s">
        <v>171</v>
      </c>
      <c r="J1163" s="308">
        <v>0.52</v>
      </c>
      <c r="K1163" s="309">
        <f>VLOOKUP(G1163,Upah,8,FALSE)</f>
        <v>125000</v>
      </c>
      <c r="L1163" s="310">
        <f>J1163*K1163</f>
        <v>65000</v>
      </c>
    </row>
    <row r="1164" spans="5:13" ht="15" customHeight="1">
      <c r="F1164" s="306"/>
      <c r="G1164" s="301" t="s">
        <v>172</v>
      </c>
      <c r="H1164" s="307" t="s">
        <v>173</v>
      </c>
      <c r="I1164" s="307" t="s">
        <v>171</v>
      </c>
      <c r="J1164" s="308">
        <v>0.26</v>
      </c>
      <c r="K1164" s="309">
        <f>VLOOKUP(G1164,Upah,8,FALSE)</f>
        <v>150000</v>
      </c>
      <c r="L1164" s="310">
        <f>J1164*K1164</f>
        <v>39000</v>
      </c>
    </row>
    <row r="1165" spans="5:13" ht="15" customHeight="1">
      <c r="F1165" s="306"/>
      <c r="G1165" s="301" t="s">
        <v>174</v>
      </c>
      <c r="H1165" s="307" t="s">
        <v>175</v>
      </c>
      <c r="I1165" s="307" t="s">
        <v>171</v>
      </c>
      <c r="J1165" s="308">
        <v>2.5999999999999999E-2</v>
      </c>
      <c r="K1165" s="309">
        <f>VLOOKUP(G1165,Upah,8,FALSE)</f>
        <v>165000</v>
      </c>
      <c r="L1165" s="310">
        <f>J1165*K1165</f>
        <v>4290</v>
      </c>
    </row>
    <row r="1166" spans="5:13" ht="15" customHeight="1" thickBot="1">
      <c r="F1166" s="306"/>
      <c r="G1166" s="301" t="s">
        <v>176</v>
      </c>
      <c r="H1166" s="307" t="s">
        <v>177</v>
      </c>
      <c r="I1166" s="307" t="s">
        <v>171</v>
      </c>
      <c r="J1166" s="308">
        <v>2.5999999999999999E-2</v>
      </c>
      <c r="K1166" s="309">
        <f>VLOOKUP(G1166,Upah,8,FALSE)</f>
        <v>170000</v>
      </c>
      <c r="L1166" s="310">
        <f>J1166*K1166</f>
        <v>4420</v>
      </c>
    </row>
    <row r="1167" spans="5:13" ht="15" customHeight="1" thickBot="1">
      <c r="F1167" s="316"/>
      <c r="G1167" s="317"/>
      <c r="H1167" s="318"/>
      <c r="I1167" s="318"/>
      <c r="J1167" s="319" t="s">
        <v>178</v>
      </c>
      <c r="K1167" s="320"/>
      <c r="L1167" s="321">
        <f>SUM(L1163:L1166)</f>
        <v>112710</v>
      </c>
    </row>
    <row r="1168" spans="5:13" ht="15" customHeight="1">
      <c r="F1168" s="300" t="s">
        <v>179</v>
      </c>
      <c r="G1168" s="301" t="s">
        <v>180</v>
      </c>
      <c r="H1168" s="302"/>
      <c r="I1168" s="302"/>
      <c r="J1168" s="351"/>
      <c r="K1168" s="328"/>
      <c r="L1168" s="310"/>
    </row>
    <row r="1169" spans="5:13" ht="15" customHeight="1">
      <c r="F1169" s="306"/>
      <c r="G1169" s="301" t="s">
        <v>388</v>
      </c>
      <c r="H1169" s="302"/>
      <c r="I1169" s="307" t="s">
        <v>44</v>
      </c>
      <c r="J1169" s="308">
        <v>4.4999999999999998E-2</v>
      </c>
      <c r="K1169" s="328">
        <f>VLOOKUP(G1169,Bahan,6,FALSE)</f>
        <v>4500000</v>
      </c>
      <c r="L1169" s="310">
        <f>J1169*K1169</f>
        <v>202500</v>
      </c>
    </row>
    <row r="1170" spans="5:13" ht="15" customHeight="1">
      <c r="F1170" s="306"/>
      <c r="G1170" s="301" t="s">
        <v>389</v>
      </c>
      <c r="H1170" s="302"/>
      <c r="I1170" s="307" t="s">
        <v>38</v>
      </c>
      <c r="J1170" s="308">
        <v>0.3</v>
      </c>
      <c r="K1170" s="328">
        <f>VLOOKUP(G1170,Bahan,6,FALSE)</f>
        <v>27970</v>
      </c>
      <c r="L1170" s="310">
        <f>J1170*K1170</f>
        <v>8391</v>
      </c>
    </row>
    <row r="1171" spans="5:13" ht="15" customHeight="1" thickBot="1">
      <c r="F1171" s="306"/>
      <c r="G1171" s="301" t="s">
        <v>390</v>
      </c>
      <c r="H1171" s="302"/>
      <c r="I1171" s="307" t="s">
        <v>188</v>
      </c>
      <c r="J1171" s="308">
        <v>0.1</v>
      </c>
      <c r="K1171" s="328">
        <f>VLOOKUP(G1171,Bahan,6,FALSE)</f>
        <v>7310</v>
      </c>
      <c r="L1171" s="310">
        <f>J1171*K1171</f>
        <v>731</v>
      </c>
    </row>
    <row r="1172" spans="5:13" ht="15" customHeight="1" thickBot="1">
      <c r="F1172" s="316"/>
      <c r="G1172" s="317"/>
      <c r="H1172" s="318"/>
      <c r="I1172" s="318"/>
      <c r="J1172" s="319" t="s">
        <v>189</v>
      </c>
      <c r="K1172" s="320"/>
      <c r="L1172" s="321">
        <f>SUM(L1169:L1171)</f>
        <v>211622</v>
      </c>
    </row>
    <row r="1173" spans="5:13" ht="15" customHeight="1" thickBot="1">
      <c r="F1173" s="300" t="s">
        <v>190</v>
      </c>
      <c r="G1173" s="301" t="s">
        <v>191</v>
      </c>
      <c r="H1173" s="302"/>
      <c r="I1173" s="302"/>
      <c r="J1173" s="351"/>
      <c r="K1173" s="328">
        <v>0</v>
      </c>
      <c r="L1173" s="310">
        <f>J1173*K1173</f>
        <v>0</v>
      </c>
    </row>
    <row r="1174" spans="5:13" ht="15" customHeight="1" thickBot="1">
      <c r="F1174" s="316"/>
      <c r="G1174" s="317"/>
      <c r="H1174" s="318"/>
      <c r="I1174" s="318"/>
      <c r="J1174" s="319" t="s">
        <v>192</v>
      </c>
      <c r="K1174" s="320"/>
      <c r="L1174" s="321">
        <f>L1173</f>
        <v>0</v>
      </c>
    </row>
    <row r="1175" spans="5:13" ht="15" customHeight="1">
      <c r="F1175" s="344" t="s">
        <v>193</v>
      </c>
      <c r="G1175" s="345" t="s">
        <v>194</v>
      </c>
      <c r="H1175" s="346"/>
      <c r="I1175" s="346"/>
      <c r="J1175" s="347"/>
      <c r="K1175" s="348">
        <v>0</v>
      </c>
      <c r="L1175" s="310">
        <f>SUM(L1162:L1174)/2</f>
        <v>324332</v>
      </c>
    </row>
    <row r="1176" spans="5:13" ht="15" customHeight="1" thickBot="1">
      <c r="F1176" s="331" t="s">
        <v>195</v>
      </c>
      <c r="G1176" s="332" t="s">
        <v>196</v>
      </c>
      <c r="H1176" s="333"/>
      <c r="I1176" s="333"/>
      <c r="J1176" s="350">
        <v>0.1</v>
      </c>
      <c r="K1176" s="335"/>
      <c r="L1176" s="330">
        <f>J1176*L1175</f>
        <v>32433.200000000001</v>
      </c>
    </row>
    <row r="1177" spans="5:13" ht="15" customHeight="1" thickBot="1">
      <c r="F1177" s="340" t="s">
        <v>197</v>
      </c>
      <c r="G1177" s="341" t="s">
        <v>198</v>
      </c>
      <c r="H1177" s="318"/>
      <c r="I1177" s="318"/>
      <c r="J1177" s="342"/>
      <c r="K1177" s="320">
        <v>0</v>
      </c>
      <c r="L1177" s="321">
        <f>ROUNDDOWN(L1175+L1176,0)</f>
        <v>356765</v>
      </c>
    </row>
    <row r="1178" spans="5:13" ht="15" customHeight="1">
      <c r="F1178" s="298"/>
      <c r="G1178" s="298"/>
      <c r="J1178" s="343"/>
    </row>
    <row r="1179" spans="5:13" ht="15" customHeight="1" thickBot="1">
      <c r="E1179" s="356" t="s">
        <v>393</v>
      </c>
      <c r="F1179" s="295" t="s">
        <v>394</v>
      </c>
      <c r="J1179" s="343"/>
      <c r="M1179" s="299">
        <f>L1199</f>
        <v>562765</v>
      </c>
    </row>
    <row r="1180" spans="5:13" ht="15" customHeight="1" thickBot="1">
      <c r="F1180" s="340" t="s">
        <v>136</v>
      </c>
      <c r="G1180" s="341" t="s">
        <v>162</v>
      </c>
      <c r="H1180" s="352" t="s">
        <v>163</v>
      </c>
      <c r="I1180" s="352" t="s">
        <v>138</v>
      </c>
      <c r="J1180" s="353" t="s">
        <v>164</v>
      </c>
      <c r="K1180" s="341" t="s">
        <v>165</v>
      </c>
      <c r="L1180" s="354" t="s">
        <v>166</v>
      </c>
    </row>
    <row r="1181" spans="5:13" ht="15" customHeight="1">
      <c r="F1181" s="300" t="s">
        <v>167</v>
      </c>
      <c r="G1181" s="301" t="s">
        <v>168</v>
      </c>
      <c r="H1181" s="302"/>
      <c r="I1181" s="302"/>
      <c r="J1181" s="351"/>
      <c r="K1181" s="328"/>
      <c r="L1181" s="310"/>
    </row>
    <row r="1182" spans="5:13" ht="15" customHeight="1">
      <c r="F1182" s="306"/>
      <c r="G1182" s="301" t="s">
        <v>169</v>
      </c>
      <c r="H1182" s="307" t="s">
        <v>170</v>
      </c>
      <c r="I1182" s="307" t="s">
        <v>171</v>
      </c>
      <c r="J1182" s="308">
        <v>0.66</v>
      </c>
      <c r="K1182" s="309">
        <f>VLOOKUP(G1182,Upah,8,FALSE)</f>
        <v>125000</v>
      </c>
      <c r="L1182" s="310">
        <f>J1182*K1182</f>
        <v>82500</v>
      </c>
    </row>
    <row r="1183" spans="5:13" ht="15" customHeight="1">
      <c r="F1183" s="306"/>
      <c r="G1183" s="301" t="s">
        <v>172</v>
      </c>
      <c r="H1183" s="307" t="s">
        <v>173</v>
      </c>
      <c r="I1183" s="307" t="s">
        <v>171</v>
      </c>
      <c r="J1183" s="308">
        <v>0.33</v>
      </c>
      <c r="K1183" s="309">
        <f>VLOOKUP(G1183,Upah,8,FALSE)</f>
        <v>150000</v>
      </c>
      <c r="L1183" s="310">
        <f>J1183*K1183</f>
        <v>49500</v>
      </c>
    </row>
    <row r="1184" spans="5:13" ht="15" customHeight="1">
      <c r="F1184" s="306"/>
      <c r="G1184" s="301" t="s">
        <v>174</v>
      </c>
      <c r="H1184" s="307" t="s">
        <v>175</v>
      </c>
      <c r="I1184" s="307" t="s">
        <v>171</v>
      </c>
      <c r="J1184" s="308">
        <v>3.3000000000000002E-2</v>
      </c>
      <c r="K1184" s="309">
        <f>VLOOKUP(G1184,Upah,8,FALSE)</f>
        <v>165000</v>
      </c>
      <c r="L1184" s="310">
        <f>J1184*K1184</f>
        <v>5445</v>
      </c>
    </row>
    <row r="1185" spans="6:12" ht="15" customHeight="1" thickBot="1">
      <c r="F1185" s="306"/>
      <c r="G1185" s="301" t="s">
        <v>176</v>
      </c>
      <c r="H1185" s="307" t="s">
        <v>177</v>
      </c>
      <c r="I1185" s="307" t="s">
        <v>171</v>
      </c>
      <c r="J1185" s="308">
        <v>3.3000000000000002E-2</v>
      </c>
      <c r="K1185" s="309">
        <f>VLOOKUP(G1185,Upah,8,FALSE)</f>
        <v>170000</v>
      </c>
      <c r="L1185" s="310">
        <f>J1185*K1185</f>
        <v>5610</v>
      </c>
    </row>
    <row r="1186" spans="6:12" ht="15" customHeight="1" thickBot="1">
      <c r="F1186" s="316"/>
      <c r="G1186" s="317"/>
      <c r="H1186" s="318"/>
      <c r="I1186" s="318"/>
      <c r="J1186" s="319" t="s">
        <v>178</v>
      </c>
      <c r="K1186" s="320"/>
      <c r="L1186" s="321">
        <f>SUM(L1182:L1185)</f>
        <v>143055</v>
      </c>
    </row>
    <row r="1187" spans="6:12" ht="15" customHeight="1">
      <c r="F1187" s="300" t="s">
        <v>179</v>
      </c>
      <c r="G1187" s="301" t="s">
        <v>180</v>
      </c>
      <c r="H1187" s="302"/>
      <c r="I1187" s="302"/>
      <c r="J1187" s="351"/>
      <c r="K1187" s="328"/>
      <c r="L1187" s="310"/>
    </row>
    <row r="1188" spans="6:12" ht="15" customHeight="1">
      <c r="F1188" s="306"/>
      <c r="G1188" s="301" t="s">
        <v>388</v>
      </c>
      <c r="H1188" s="302"/>
      <c r="I1188" s="307" t="s">
        <v>44</v>
      </c>
      <c r="J1188" s="308">
        <v>0.04</v>
      </c>
      <c r="K1188" s="328">
        <f t="shared" ref="K1188:K1193" si="15">VLOOKUP(G1188,Bahan,6,FALSE)</f>
        <v>4500000</v>
      </c>
      <c r="L1188" s="310">
        <f t="shared" ref="L1188:L1193" si="16">J1188*K1188</f>
        <v>180000</v>
      </c>
    </row>
    <row r="1189" spans="6:12" ht="15" customHeight="1">
      <c r="F1189" s="306"/>
      <c r="G1189" s="301" t="s">
        <v>395</v>
      </c>
      <c r="H1189" s="302"/>
      <c r="I1189" s="307" t="s">
        <v>38</v>
      </c>
      <c r="J1189" s="308">
        <v>0.4</v>
      </c>
      <c r="K1189" s="328">
        <f t="shared" si="15"/>
        <v>27970</v>
      </c>
      <c r="L1189" s="310">
        <f t="shared" si="16"/>
        <v>11188</v>
      </c>
    </row>
    <row r="1190" spans="6:12" ht="15" customHeight="1">
      <c r="F1190" s="306"/>
      <c r="G1190" s="301" t="s">
        <v>390</v>
      </c>
      <c r="H1190" s="302"/>
      <c r="I1190" s="307" t="s">
        <v>188</v>
      </c>
      <c r="J1190" s="308">
        <v>0.2</v>
      </c>
      <c r="K1190" s="328">
        <f t="shared" si="15"/>
        <v>7310</v>
      </c>
      <c r="L1190" s="310">
        <f t="shared" si="16"/>
        <v>1462</v>
      </c>
    </row>
    <row r="1191" spans="6:12" ht="15" customHeight="1">
      <c r="F1191" s="306"/>
      <c r="G1191" s="301" t="s">
        <v>396</v>
      </c>
      <c r="H1191" s="302"/>
      <c r="I1191" s="307" t="s">
        <v>44</v>
      </c>
      <c r="J1191" s="308">
        <v>1.4999999999999999E-2</v>
      </c>
      <c r="K1191" s="328">
        <f t="shared" si="15"/>
        <v>4410000</v>
      </c>
      <c r="L1191" s="310">
        <f t="shared" si="16"/>
        <v>66150</v>
      </c>
    </row>
    <row r="1192" spans="6:12" ht="15" customHeight="1">
      <c r="F1192" s="306"/>
      <c r="G1192" s="301" t="s">
        <v>397</v>
      </c>
      <c r="H1192" s="302"/>
      <c r="I1192" s="307" t="s">
        <v>202</v>
      </c>
      <c r="J1192" s="308">
        <v>0.35</v>
      </c>
      <c r="K1192" s="328">
        <f t="shared" si="15"/>
        <v>135000</v>
      </c>
      <c r="L1192" s="310">
        <f t="shared" si="16"/>
        <v>47250</v>
      </c>
    </row>
    <row r="1193" spans="6:12" ht="15" customHeight="1" thickBot="1">
      <c r="F1193" s="306"/>
      <c r="G1193" s="301" t="s">
        <v>181</v>
      </c>
      <c r="H1193" s="302"/>
      <c r="I1193" s="307" t="s">
        <v>182</v>
      </c>
      <c r="J1193" s="351">
        <v>2</v>
      </c>
      <c r="K1193" s="328">
        <f t="shared" si="15"/>
        <v>31250</v>
      </c>
      <c r="L1193" s="310">
        <f t="shared" si="16"/>
        <v>62500</v>
      </c>
    </row>
    <row r="1194" spans="6:12" ht="15" customHeight="1" thickBot="1">
      <c r="F1194" s="316"/>
      <c r="G1194" s="317"/>
      <c r="H1194" s="318"/>
      <c r="I1194" s="318"/>
      <c r="J1194" s="319" t="s">
        <v>189</v>
      </c>
      <c r="K1194" s="320"/>
      <c r="L1194" s="321">
        <f>SUM(L1188:L1193)</f>
        <v>368550</v>
      </c>
    </row>
    <row r="1195" spans="6:12" ht="15" customHeight="1" thickBot="1">
      <c r="F1195" s="300" t="s">
        <v>190</v>
      </c>
      <c r="G1195" s="301" t="s">
        <v>191</v>
      </c>
      <c r="H1195" s="302"/>
      <c r="I1195" s="302"/>
      <c r="J1195" s="351"/>
      <c r="K1195" s="328">
        <v>0</v>
      </c>
      <c r="L1195" s="310">
        <f>J1195*K1195</f>
        <v>0</v>
      </c>
    </row>
    <row r="1196" spans="6:12" ht="15" customHeight="1" thickBot="1">
      <c r="F1196" s="316"/>
      <c r="G1196" s="317"/>
      <c r="H1196" s="318"/>
      <c r="I1196" s="318"/>
      <c r="J1196" s="319" t="s">
        <v>192</v>
      </c>
      <c r="K1196" s="320"/>
      <c r="L1196" s="321">
        <f>L1195</f>
        <v>0</v>
      </c>
    </row>
    <row r="1197" spans="6:12" ht="15" customHeight="1">
      <c r="F1197" s="344" t="s">
        <v>193</v>
      </c>
      <c r="G1197" s="345" t="s">
        <v>194</v>
      </c>
      <c r="H1197" s="346"/>
      <c r="I1197" s="346"/>
      <c r="J1197" s="347"/>
      <c r="K1197" s="348">
        <v>0</v>
      </c>
      <c r="L1197" s="310">
        <f>SUM(L1181:L1196)/2</f>
        <v>511605</v>
      </c>
    </row>
    <row r="1198" spans="6:12" ht="15" customHeight="1" thickBot="1">
      <c r="F1198" s="331" t="s">
        <v>195</v>
      </c>
      <c r="G1198" s="332" t="s">
        <v>196</v>
      </c>
      <c r="H1198" s="333"/>
      <c r="I1198" s="333"/>
      <c r="J1198" s="350">
        <v>0.1</v>
      </c>
      <c r="K1198" s="335"/>
      <c r="L1198" s="330">
        <f>J1198*L1197</f>
        <v>51160.5</v>
      </c>
    </row>
    <row r="1199" spans="6:12" ht="15" customHeight="1" thickBot="1">
      <c r="F1199" s="340" t="s">
        <v>197</v>
      </c>
      <c r="G1199" s="341" t="s">
        <v>198</v>
      </c>
      <c r="H1199" s="318"/>
      <c r="I1199" s="318"/>
      <c r="J1199" s="342"/>
      <c r="K1199" s="320">
        <v>0</v>
      </c>
      <c r="L1199" s="321">
        <f>ROUNDDOWN(L1197+L1198,0)</f>
        <v>562765</v>
      </c>
    </row>
    <row r="1200" spans="6:12" ht="15" customHeight="1">
      <c r="F1200" s="298"/>
      <c r="G1200" s="298"/>
      <c r="J1200" s="343"/>
      <c r="K1200" s="355"/>
      <c r="L1200" s="299"/>
    </row>
    <row r="1201" spans="5:13" ht="15" customHeight="1" thickBot="1">
      <c r="E1201" s="356" t="s">
        <v>398</v>
      </c>
      <c r="F1201" s="295" t="s">
        <v>399</v>
      </c>
      <c r="J1201" s="343"/>
      <c r="M1201" s="299">
        <f>L1221</f>
        <v>577318</v>
      </c>
    </row>
    <row r="1202" spans="5:13" ht="15" customHeight="1" thickBot="1">
      <c r="F1202" s="340" t="s">
        <v>136</v>
      </c>
      <c r="G1202" s="341" t="s">
        <v>162</v>
      </c>
      <c r="H1202" s="352" t="s">
        <v>163</v>
      </c>
      <c r="I1202" s="352" t="s">
        <v>138</v>
      </c>
      <c r="J1202" s="353" t="s">
        <v>164</v>
      </c>
      <c r="K1202" s="341" t="s">
        <v>165</v>
      </c>
      <c r="L1202" s="354" t="s">
        <v>166</v>
      </c>
    </row>
    <row r="1203" spans="5:13" ht="15" customHeight="1">
      <c r="F1203" s="300" t="s">
        <v>167</v>
      </c>
      <c r="G1203" s="301" t="s">
        <v>168</v>
      </c>
      <c r="H1203" s="302"/>
      <c r="I1203" s="302"/>
      <c r="J1203" s="351"/>
      <c r="K1203" s="328"/>
      <c r="L1203" s="310"/>
    </row>
    <row r="1204" spans="5:13" ht="15" customHeight="1">
      <c r="F1204" s="306"/>
      <c r="G1204" s="301" t="s">
        <v>169</v>
      </c>
      <c r="H1204" s="307" t="s">
        <v>170</v>
      </c>
      <c r="I1204" s="307" t="s">
        <v>171</v>
      </c>
      <c r="J1204" s="308">
        <v>0.66</v>
      </c>
      <c r="K1204" s="309">
        <f>VLOOKUP(G1204,Upah,8,FALSE)</f>
        <v>125000</v>
      </c>
      <c r="L1204" s="310">
        <f>J1204*K1204</f>
        <v>82500</v>
      </c>
    </row>
    <row r="1205" spans="5:13" ht="15" customHeight="1">
      <c r="F1205" s="306"/>
      <c r="G1205" s="301" t="s">
        <v>172</v>
      </c>
      <c r="H1205" s="307" t="s">
        <v>173</v>
      </c>
      <c r="I1205" s="307" t="s">
        <v>171</v>
      </c>
      <c r="J1205" s="308">
        <v>0.33</v>
      </c>
      <c r="K1205" s="309">
        <f>VLOOKUP(G1205,Upah,8,FALSE)</f>
        <v>150000</v>
      </c>
      <c r="L1205" s="310">
        <f>J1205*K1205</f>
        <v>49500</v>
      </c>
    </row>
    <row r="1206" spans="5:13" ht="15" customHeight="1">
      <c r="F1206" s="306"/>
      <c r="G1206" s="301" t="s">
        <v>174</v>
      </c>
      <c r="H1206" s="307" t="s">
        <v>175</v>
      </c>
      <c r="I1206" s="307" t="s">
        <v>171</v>
      </c>
      <c r="J1206" s="308">
        <v>3.3000000000000002E-2</v>
      </c>
      <c r="K1206" s="309">
        <f>VLOOKUP(G1206,Upah,8,FALSE)</f>
        <v>165000</v>
      </c>
      <c r="L1206" s="310">
        <f>J1206*K1206</f>
        <v>5445</v>
      </c>
    </row>
    <row r="1207" spans="5:13" ht="15" customHeight="1" thickBot="1">
      <c r="F1207" s="306"/>
      <c r="G1207" s="301" t="s">
        <v>176</v>
      </c>
      <c r="H1207" s="307" t="s">
        <v>177</v>
      </c>
      <c r="I1207" s="307" t="s">
        <v>171</v>
      </c>
      <c r="J1207" s="308">
        <v>3.3000000000000002E-2</v>
      </c>
      <c r="K1207" s="309">
        <f>VLOOKUP(G1207,Upah,8,FALSE)</f>
        <v>170000</v>
      </c>
      <c r="L1207" s="310">
        <f>J1207*K1207</f>
        <v>5610</v>
      </c>
    </row>
    <row r="1208" spans="5:13" ht="15" customHeight="1" thickBot="1">
      <c r="F1208" s="316"/>
      <c r="G1208" s="317"/>
      <c r="H1208" s="318"/>
      <c r="I1208" s="318"/>
      <c r="J1208" s="319" t="s">
        <v>178</v>
      </c>
      <c r="K1208" s="320"/>
      <c r="L1208" s="321">
        <f>SUM(L1204:L1207)</f>
        <v>143055</v>
      </c>
    </row>
    <row r="1209" spans="5:13" ht="15" customHeight="1">
      <c r="F1209" s="300" t="s">
        <v>179</v>
      </c>
      <c r="G1209" s="301" t="s">
        <v>180</v>
      </c>
      <c r="H1209" s="302"/>
      <c r="I1209" s="302"/>
      <c r="J1209" s="351"/>
      <c r="K1209" s="328"/>
      <c r="L1209" s="310"/>
    </row>
    <row r="1210" spans="5:13" ht="15" customHeight="1">
      <c r="F1210" s="306"/>
      <c r="G1210" s="301" t="s">
        <v>388</v>
      </c>
      <c r="H1210" s="302"/>
      <c r="I1210" s="307" t="s">
        <v>44</v>
      </c>
      <c r="J1210" s="308">
        <v>0.04</v>
      </c>
      <c r="K1210" s="328">
        <f t="shared" ref="K1210:K1215" si="17">VLOOKUP(G1210,Bahan,6,FALSE)</f>
        <v>4500000</v>
      </c>
      <c r="L1210" s="310">
        <f t="shared" ref="L1210:L1215" si="18">J1210*K1210</f>
        <v>180000</v>
      </c>
    </row>
    <row r="1211" spans="5:13" ht="15" customHeight="1">
      <c r="F1211" s="306"/>
      <c r="G1211" s="301" t="s">
        <v>395</v>
      </c>
      <c r="H1211" s="302"/>
      <c r="I1211" s="307" t="s">
        <v>38</v>
      </c>
      <c r="J1211" s="308">
        <v>0.4</v>
      </c>
      <c r="K1211" s="328">
        <f t="shared" si="17"/>
        <v>27970</v>
      </c>
      <c r="L1211" s="310">
        <f t="shared" si="18"/>
        <v>11188</v>
      </c>
    </row>
    <row r="1212" spans="5:13" ht="15" customHeight="1">
      <c r="F1212" s="306"/>
      <c r="G1212" s="301" t="s">
        <v>390</v>
      </c>
      <c r="H1212" s="302"/>
      <c r="I1212" s="307" t="s">
        <v>188</v>
      </c>
      <c r="J1212" s="308">
        <v>0.2</v>
      </c>
      <c r="K1212" s="328">
        <f t="shared" si="17"/>
        <v>7310</v>
      </c>
      <c r="L1212" s="310">
        <f t="shared" si="18"/>
        <v>1462</v>
      </c>
    </row>
    <row r="1213" spans="5:13" ht="15" customHeight="1">
      <c r="F1213" s="306"/>
      <c r="G1213" s="301" t="s">
        <v>396</v>
      </c>
      <c r="H1213" s="302"/>
      <c r="I1213" s="307" t="s">
        <v>44</v>
      </c>
      <c r="J1213" s="308">
        <v>1.7999999999999999E-2</v>
      </c>
      <c r="K1213" s="328">
        <f t="shared" si="17"/>
        <v>4410000</v>
      </c>
      <c r="L1213" s="310">
        <f t="shared" si="18"/>
        <v>79380</v>
      </c>
    </row>
    <row r="1214" spans="5:13" ht="15" customHeight="1">
      <c r="F1214" s="306"/>
      <c r="G1214" s="301" t="s">
        <v>397</v>
      </c>
      <c r="H1214" s="302"/>
      <c r="I1214" s="307" t="s">
        <v>202</v>
      </c>
      <c r="J1214" s="308">
        <v>0.35</v>
      </c>
      <c r="K1214" s="328">
        <f t="shared" si="17"/>
        <v>135000</v>
      </c>
      <c r="L1214" s="310">
        <f t="shared" si="18"/>
        <v>47250</v>
      </c>
    </row>
    <row r="1215" spans="5:13" ht="15" customHeight="1" thickBot="1">
      <c r="F1215" s="306"/>
      <c r="G1215" s="301" t="s">
        <v>181</v>
      </c>
      <c r="H1215" s="302"/>
      <c r="I1215" s="307" t="s">
        <v>182</v>
      </c>
      <c r="J1215" s="351">
        <v>2</v>
      </c>
      <c r="K1215" s="328">
        <f t="shared" si="17"/>
        <v>31250</v>
      </c>
      <c r="L1215" s="310">
        <f t="shared" si="18"/>
        <v>62500</v>
      </c>
    </row>
    <row r="1216" spans="5:13" ht="15" customHeight="1" thickBot="1">
      <c r="F1216" s="316"/>
      <c r="G1216" s="317"/>
      <c r="H1216" s="318"/>
      <c r="I1216" s="318"/>
      <c r="J1216" s="319" t="s">
        <v>189</v>
      </c>
      <c r="K1216" s="320"/>
      <c r="L1216" s="321">
        <f>SUM(L1210:L1215)</f>
        <v>381780</v>
      </c>
    </row>
    <row r="1217" spans="5:13" ht="15" customHeight="1" thickBot="1">
      <c r="F1217" s="300" t="s">
        <v>190</v>
      </c>
      <c r="G1217" s="301" t="s">
        <v>191</v>
      </c>
      <c r="H1217" s="302"/>
      <c r="I1217" s="302"/>
      <c r="J1217" s="351"/>
      <c r="K1217" s="328">
        <v>0</v>
      </c>
      <c r="L1217" s="310">
        <f>J1217*K1217</f>
        <v>0</v>
      </c>
    </row>
    <row r="1218" spans="5:13" ht="15" customHeight="1" thickBot="1">
      <c r="F1218" s="316"/>
      <c r="G1218" s="317"/>
      <c r="H1218" s="318"/>
      <c r="I1218" s="318"/>
      <c r="J1218" s="319" t="s">
        <v>192</v>
      </c>
      <c r="K1218" s="320"/>
      <c r="L1218" s="321">
        <f>L1217</f>
        <v>0</v>
      </c>
    </row>
    <row r="1219" spans="5:13" ht="15" customHeight="1">
      <c r="F1219" s="344" t="s">
        <v>193</v>
      </c>
      <c r="G1219" s="345" t="s">
        <v>194</v>
      </c>
      <c r="H1219" s="346"/>
      <c r="I1219" s="346"/>
      <c r="J1219" s="347"/>
      <c r="K1219" s="348">
        <v>0</v>
      </c>
      <c r="L1219" s="310">
        <f>SUM(L1203:L1218)/2</f>
        <v>524835</v>
      </c>
    </row>
    <row r="1220" spans="5:13" ht="15" customHeight="1" thickBot="1">
      <c r="F1220" s="331" t="s">
        <v>195</v>
      </c>
      <c r="G1220" s="332" t="s">
        <v>196</v>
      </c>
      <c r="H1220" s="333"/>
      <c r="I1220" s="333"/>
      <c r="J1220" s="350">
        <v>0.1</v>
      </c>
      <c r="K1220" s="335"/>
      <c r="L1220" s="330">
        <f>J1220*L1219</f>
        <v>52483.5</v>
      </c>
    </row>
    <row r="1221" spans="5:13" ht="15" customHeight="1" thickBot="1">
      <c r="F1221" s="340" t="s">
        <v>197</v>
      </c>
      <c r="G1221" s="341" t="s">
        <v>198</v>
      </c>
      <c r="H1221" s="318"/>
      <c r="I1221" s="318"/>
      <c r="J1221" s="342"/>
      <c r="K1221" s="320">
        <v>0</v>
      </c>
      <c r="L1221" s="321">
        <f>ROUNDDOWN(L1219+L1220,0)</f>
        <v>577318</v>
      </c>
    </row>
    <row r="1222" spans="5:13" ht="15" customHeight="1">
      <c r="F1222" s="298"/>
      <c r="G1222" s="298"/>
      <c r="J1222" s="343"/>
      <c r="K1222" s="355"/>
      <c r="L1222" s="299"/>
    </row>
    <row r="1223" spans="5:13" ht="15" customHeight="1" thickBot="1">
      <c r="E1223" s="356" t="s">
        <v>400</v>
      </c>
      <c r="F1223" s="295" t="s">
        <v>401</v>
      </c>
      <c r="J1223" s="343"/>
      <c r="M1223" s="299">
        <f>L1243</f>
        <v>700265</v>
      </c>
    </row>
    <row r="1224" spans="5:13" ht="15" customHeight="1" thickBot="1">
      <c r="F1224" s="340" t="s">
        <v>136</v>
      </c>
      <c r="G1224" s="341" t="s">
        <v>162</v>
      </c>
      <c r="H1224" s="352" t="s">
        <v>163</v>
      </c>
      <c r="I1224" s="352" t="s">
        <v>138</v>
      </c>
      <c r="J1224" s="353" t="s">
        <v>164</v>
      </c>
      <c r="K1224" s="341" t="s">
        <v>165</v>
      </c>
      <c r="L1224" s="354" t="s">
        <v>166</v>
      </c>
    </row>
    <row r="1225" spans="5:13" ht="15" customHeight="1">
      <c r="F1225" s="300" t="s">
        <v>167</v>
      </c>
      <c r="G1225" s="301" t="s">
        <v>168</v>
      </c>
      <c r="H1225" s="302"/>
      <c r="I1225" s="302"/>
      <c r="J1225" s="351"/>
      <c r="K1225" s="328"/>
      <c r="L1225" s="310"/>
    </row>
    <row r="1226" spans="5:13" ht="15" customHeight="1">
      <c r="F1226" s="306"/>
      <c r="G1226" s="301" t="s">
        <v>169</v>
      </c>
      <c r="H1226" s="307" t="s">
        <v>170</v>
      </c>
      <c r="I1226" s="307" t="s">
        <v>171</v>
      </c>
      <c r="J1226" s="308">
        <v>0.66</v>
      </c>
      <c r="K1226" s="309">
        <f>VLOOKUP(G1226,Upah,8,FALSE)</f>
        <v>125000</v>
      </c>
      <c r="L1226" s="310">
        <f>J1226*K1226</f>
        <v>82500</v>
      </c>
    </row>
    <row r="1227" spans="5:13" ht="15" customHeight="1">
      <c r="F1227" s="306"/>
      <c r="G1227" s="301" t="s">
        <v>172</v>
      </c>
      <c r="H1227" s="307" t="s">
        <v>173</v>
      </c>
      <c r="I1227" s="307" t="s">
        <v>171</v>
      </c>
      <c r="J1227" s="308">
        <v>0.33</v>
      </c>
      <c r="K1227" s="309">
        <f>VLOOKUP(G1227,Upah,8,FALSE)</f>
        <v>150000</v>
      </c>
      <c r="L1227" s="310">
        <f>J1227*K1227</f>
        <v>49500</v>
      </c>
    </row>
    <row r="1228" spans="5:13" ht="15" customHeight="1">
      <c r="F1228" s="306"/>
      <c r="G1228" s="301" t="s">
        <v>174</v>
      </c>
      <c r="H1228" s="307" t="s">
        <v>175</v>
      </c>
      <c r="I1228" s="307" t="s">
        <v>171</v>
      </c>
      <c r="J1228" s="308">
        <v>3.3000000000000002E-2</v>
      </c>
      <c r="K1228" s="309">
        <f>VLOOKUP(G1228,Upah,8,FALSE)</f>
        <v>165000</v>
      </c>
      <c r="L1228" s="310">
        <f>J1228*K1228</f>
        <v>5445</v>
      </c>
    </row>
    <row r="1229" spans="5:13" ht="15" customHeight="1" thickBot="1">
      <c r="F1229" s="306"/>
      <c r="G1229" s="301" t="s">
        <v>176</v>
      </c>
      <c r="H1229" s="307" t="s">
        <v>177</v>
      </c>
      <c r="I1229" s="307" t="s">
        <v>171</v>
      </c>
      <c r="J1229" s="308">
        <v>3.3000000000000002E-2</v>
      </c>
      <c r="K1229" s="309">
        <f>VLOOKUP(G1229,Upah,8,FALSE)</f>
        <v>170000</v>
      </c>
      <c r="L1229" s="310">
        <f>J1229*K1229</f>
        <v>5610</v>
      </c>
    </row>
    <row r="1230" spans="5:13" ht="15" customHeight="1" thickBot="1">
      <c r="F1230" s="316"/>
      <c r="G1230" s="317"/>
      <c r="H1230" s="318"/>
      <c r="I1230" s="318"/>
      <c r="J1230" s="319" t="s">
        <v>178</v>
      </c>
      <c r="K1230" s="320"/>
      <c r="L1230" s="321">
        <f>SUM(L1226:L1229)</f>
        <v>143055</v>
      </c>
    </row>
    <row r="1231" spans="5:13" ht="15" customHeight="1">
      <c r="F1231" s="300" t="s">
        <v>179</v>
      </c>
      <c r="G1231" s="301" t="s">
        <v>180</v>
      </c>
      <c r="H1231" s="302"/>
      <c r="I1231" s="302"/>
      <c r="J1231" s="351"/>
      <c r="K1231" s="328"/>
      <c r="L1231" s="310"/>
    </row>
    <row r="1232" spans="5:13" ht="15" customHeight="1">
      <c r="F1232" s="306"/>
      <c r="G1232" s="301" t="s">
        <v>388</v>
      </c>
      <c r="H1232" s="302"/>
      <c r="I1232" s="307" t="s">
        <v>44</v>
      </c>
      <c r="J1232" s="308">
        <v>0.04</v>
      </c>
      <c r="K1232" s="328">
        <f t="shared" ref="K1232:K1237" si="19">VLOOKUP(G1232,Bahan,6,FALSE)</f>
        <v>4500000</v>
      </c>
      <c r="L1232" s="310">
        <f t="shared" ref="L1232:L1237" si="20">J1232*K1232</f>
        <v>180000</v>
      </c>
    </row>
    <row r="1233" spans="5:13" ht="15" customHeight="1">
      <c r="F1233" s="306"/>
      <c r="G1233" s="301" t="s">
        <v>395</v>
      </c>
      <c r="H1233" s="302"/>
      <c r="I1233" s="307" t="s">
        <v>38</v>
      </c>
      <c r="J1233" s="308">
        <v>0.4</v>
      </c>
      <c r="K1233" s="328">
        <f t="shared" si="19"/>
        <v>27970</v>
      </c>
      <c r="L1233" s="310">
        <f t="shared" si="20"/>
        <v>11188</v>
      </c>
    </row>
    <row r="1234" spans="5:13" ht="15" customHeight="1">
      <c r="F1234" s="306"/>
      <c r="G1234" s="301" t="s">
        <v>390</v>
      </c>
      <c r="H1234" s="302"/>
      <c r="I1234" s="307" t="s">
        <v>188</v>
      </c>
      <c r="J1234" s="308">
        <v>0.2</v>
      </c>
      <c r="K1234" s="328">
        <f t="shared" si="19"/>
        <v>7310</v>
      </c>
      <c r="L1234" s="310">
        <f t="shared" si="20"/>
        <v>1462</v>
      </c>
    </row>
    <row r="1235" spans="5:13" ht="15" customHeight="1">
      <c r="F1235" s="306"/>
      <c r="G1235" s="301" t="s">
        <v>396</v>
      </c>
      <c r="H1235" s="302"/>
      <c r="I1235" s="307" t="s">
        <v>44</v>
      </c>
      <c r="J1235" s="308">
        <v>1.4999999999999999E-2</v>
      </c>
      <c r="K1235" s="328">
        <f t="shared" si="19"/>
        <v>4410000</v>
      </c>
      <c r="L1235" s="310">
        <f t="shared" si="20"/>
        <v>66150</v>
      </c>
    </row>
    <row r="1236" spans="5:13" ht="15" customHeight="1">
      <c r="F1236" s="306"/>
      <c r="G1236" s="301" t="s">
        <v>397</v>
      </c>
      <c r="H1236" s="302"/>
      <c r="I1236" s="307" t="s">
        <v>202</v>
      </c>
      <c r="J1236" s="308">
        <v>0.35</v>
      </c>
      <c r="K1236" s="328">
        <f t="shared" si="19"/>
        <v>135000</v>
      </c>
      <c r="L1236" s="310">
        <f t="shared" si="20"/>
        <v>47250</v>
      </c>
    </row>
    <row r="1237" spans="5:13" ht="15" customHeight="1" thickBot="1">
      <c r="F1237" s="306"/>
      <c r="G1237" s="301" t="s">
        <v>181</v>
      </c>
      <c r="H1237" s="302"/>
      <c r="I1237" s="307" t="s">
        <v>182</v>
      </c>
      <c r="J1237" s="308">
        <v>6</v>
      </c>
      <c r="K1237" s="328">
        <f t="shared" si="19"/>
        <v>31250</v>
      </c>
      <c r="L1237" s="310">
        <f t="shared" si="20"/>
        <v>187500</v>
      </c>
    </row>
    <row r="1238" spans="5:13" ht="15" customHeight="1" thickBot="1">
      <c r="F1238" s="316"/>
      <c r="G1238" s="317"/>
      <c r="H1238" s="318"/>
      <c r="I1238" s="318"/>
      <c r="J1238" s="319" t="s">
        <v>189</v>
      </c>
      <c r="K1238" s="320"/>
      <c r="L1238" s="321">
        <f>SUM(L1232:L1237)</f>
        <v>493550</v>
      </c>
    </row>
    <row r="1239" spans="5:13" ht="15" customHeight="1" thickBot="1">
      <c r="F1239" s="300" t="s">
        <v>190</v>
      </c>
      <c r="G1239" s="301" t="s">
        <v>191</v>
      </c>
      <c r="H1239" s="302"/>
      <c r="I1239" s="302"/>
      <c r="J1239" s="351"/>
      <c r="K1239" s="328">
        <v>0</v>
      </c>
      <c r="L1239" s="310">
        <f>J1239*K1239</f>
        <v>0</v>
      </c>
    </row>
    <row r="1240" spans="5:13" ht="15" customHeight="1" thickBot="1">
      <c r="F1240" s="316"/>
      <c r="G1240" s="317"/>
      <c r="H1240" s="318"/>
      <c r="I1240" s="318"/>
      <c r="J1240" s="319" t="s">
        <v>192</v>
      </c>
      <c r="K1240" s="320"/>
      <c r="L1240" s="321">
        <f>L1239</f>
        <v>0</v>
      </c>
    </row>
    <row r="1241" spans="5:13" ht="15" customHeight="1">
      <c r="F1241" s="344" t="s">
        <v>193</v>
      </c>
      <c r="G1241" s="345" t="s">
        <v>194</v>
      </c>
      <c r="H1241" s="346"/>
      <c r="I1241" s="346"/>
      <c r="J1241" s="347"/>
      <c r="K1241" s="348">
        <v>0</v>
      </c>
      <c r="L1241" s="310">
        <f>SUM(L1225:L1240)/2</f>
        <v>636605</v>
      </c>
    </row>
    <row r="1242" spans="5:13" ht="15" customHeight="1" thickBot="1">
      <c r="F1242" s="331" t="s">
        <v>195</v>
      </c>
      <c r="G1242" s="332" t="s">
        <v>196</v>
      </c>
      <c r="H1242" s="333"/>
      <c r="I1242" s="333"/>
      <c r="J1242" s="350">
        <v>0.1</v>
      </c>
      <c r="K1242" s="335"/>
      <c r="L1242" s="330">
        <f>J1242*L1241</f>
        <v>63660.5</v>
      </c>
    </row>
    <row r="1243" spans="5:13" ht="15" customHeight="1" thickBot="1">
      <c r="F1243" s="340" t="s">
        <v>197</v>
      </c>
      <c r="G1243" s="341" t="s">
        <v>198</v>
      </c>
      <c r="H1243" s="318"/>
      <c r="I1243" s="318"/>
      <c r="J1243" s="342"/>
      <c r="K1243" s="320">
        <v>0</v>
      </c>
      <c r="L1243" s="321">
        <f>ROUNDDOWN(L1241+L1242,0)</f>
        <v>700265</v>
      </c>
    </row>
    <row r="1244" spans="5:13" ht="15" customHeight="1">
      <c r="F1244" s="298"/>
      <c r="G1244" s="298"/>
      <c r="J1244" s="343"/>
      <c r="K1244" s="355"/>
      <c r="L1244" s="299"/>
    </row>
    <row r="1245" spans="5:13" ht="15" customHeight="1" thickBot="1">
      <c r="E1245" s="356" t="s">
        <v>402</v>
      </c>
      <c r="F1245" s="295" t="s">
        <v>403</v>
      </c>
      <c r="J1245" s="343"/>
      <c r="M1245" s="299">
        <f>L1266</f>
        <v>681895</v>
      </c>
    </row>
    <row r="1246" spans="5:13" ht="15" customHeight="1" thickBot="1">
      <c r="F1246" s="340" t="s">
        <v>136</v>
      </c>
      <c r="G1246" s="341" t="s">
        <v>162</v>
      </c>
      <c r="H1246" s="352" t="s">
        <v>163</v>
      </c>
      <c r="I1246" s="352" t="s">
        <v>138</v>
      </c>
      <c r="J1246" s="353" t="s">
        <v>164</v>
      </c>
      <c r="K1246" s="341" t="s">
        <v>165</v>
      </c>
      <c r="L1246" s="354" t="s">
        <v>166</v>
      </c>
    </row>
    <row r="1247" spans="5:13" ht="15" customHeight="1">
      <c r="F1247" s="344" t="s">
        <v>167</v>
      </c>
      <c r="G1247" s="345" t="s">
        <v>168</v>
      </c>
      <c r="H1247" s="346"/>
      <c r="I1247" s="346"/>
      <c r="J1247" s="347"/>
      <c r="K1247" s="348"/>
      <c r="L1247" s="349"/>
    </row>
    <row r="1248" spans="5:13" ht="15" customHeight="1">
      <c r="F1248" s="306"/>
      <c r="G1248" s="301" t="s">
        <v>169</v>
      </c>
      <c r="H1248" s="307" t="s">
        <v>170</v>
      </c>
      <c r="I1248" s="307" t="s">
        <v>171</v>
      </c>
      <c r="J1248" s="308">
        <v>0.66</v>
      </c>
      <c r="K1248" s="309">
        <f>VLOOKUP(G1248,Upah,8,FALSE)</f>
        <v>125000</v>
      </c>
      <c r="L1248" s="310">
        <f>J1248*K1248</f>
        <v>82500</v>
      </c>
    </row>
    <row r="1249" spans="6:12" ht="15" customHeight="1">
      <c r="F1249" s="306"/>
      <c r="G1249" s="301" t="s">
        <v>172</v>
      </c>
      <c r="H1249" s="307" t="s">
        <v>173</v>
      </c>
      <c r="I1249" s="307" t="s">
        <v>171</v>
      </c>
      <c r="J1249" s="308">
        <v>0.33</v>
      </c>
      <c r="K1249" s="309">
        <f>VLOOKUP(G1249,Upah,8,FALSE)</f>
        <v>150000</v>
      </c>
      <c r="L1249" s="310">
        <f>J1249*K1249</f>
        <v>49500</v>
      </c>
    </row>
    <row r="1250" spans="6:12" ht="15" customHeight="1">
      <c r="F1250" s="306"/>
      <c r="G1250" s="301" t="s">
        <v>174</v>
      </c>
      <c r="H1250" s="307" t="s">
        <v>175</v>
      </c>
      <c r="I1250" s="307" t="s">
        <v>171</v>
      </c>
      <c r="J1250" s="308">
        <v>3.3000000000000002E-2</v>
      </c>
      <c r="K1250" s="309">
        <f>VLOOKUP(G1250,Upah,8,FALSE)</f>
        <v>165000</v>
      </c>
      <c r="L1250" s="310">
        <f>J1250*K1250</f>
        <v>5445</v>
      </c>
    </row>
    <row r="1251" spans="6:12" ht="15" customHeight="1" thickBot="1">
      <c r="F1251" s="306"/>
      <c r="G1251" s="301" t="s">
        <v>176</v>
      </c>
      <c r="H1251" s="307" t="s">
        <v>177</v>
      </c>
      <c r="I1251" s="307" t="s">
        <v>171</v>
      </c>
      <c r="J1251" s="308">
        <v>3.3000000000000002E-2</v>
      </c>
      <c r="K1251" s="309">
        <f>VLOOKUP(G1251,Upah,8,FALSE)</f>
        <v>170000</v>
      </c>
      <c r="L1251" s="310">
        <f>J1251*K1251</f>
        <v>5610</v>
      </c>
    </row>
    <row r="1252" spans="6:12" ht="15" customHeight="1" thickBot="1">
      <c r="F1252" s="316"/>
      <c r="G1252" s="317"/>
      <c r="H1252" s="318"/>
      <c r="I1252" s="318"/>
      <c r="J1252" s="319" t="s">
        <v>178</v>
      </c>
      <c r="K1252" s="320"/>
      <c r="L1252" s="321">
        <f>SUM(L1248:L1251)</f>
        <v>143055</v>
      </c>
    </row>
    <row r="1253" spans="6:12" ht="15" customHeight="1">
      <c r="F1253" s="300" t="s">
        <v>179</v>
      </c>
      <c r="G1253" s="301" t="s">
        <v>180</v>
      </c>
      <c r="H1253" s="302"/>
      <c r="I1253" s="302"/>
      <c r="J1253" s="351"/>
      <c r="K1253" s="328"/>
      <c r="L1253" s="310"/>
    </row>
    <row r="1254" spans="6:12" ht="15" customHeight="1">
      <c r="F1254" s="306"/>
      <c r="G1254" s="301" t="s">
        <v>388</v>
      </c>
      <c r="H1254" s="302"/>
      <c r="I1254" s="307" t="s">
        <v>44</v>
      </c>
      <c r="J1254" s="308">
        <v>0.03</v>
      </c>
      <c r="K1254" s="328">
        <f t="shared" ref="K1254:K1260" si="21">VLOOKUP(G1254,Bahan,6,FALSE)</f>
        <v>4500000</v>
      </c>
      <c r="L1254" s="310">
        <f t="shared" ref="L1254:L1260" si="22">J1254*K1254</f>
        <v>135000</v>
      </c>
    </row>
    <row r="1255" spans="6:12" ht="15" customHeight="1">
      <c r="F1255" s="306"/>
      <c r="G1255" s="301" t="s">
        <v>395</v>
      </c>
      <c r="H1255" s="302"/>
      <c r="I1255" s="307" t="s">
        <v>38</v>
      </c>
      <c r="J1255" s="308">
        <v>0.4</v>
      </c>
      <c r="K1255" s="328">
        <f t="shared" si="21"/>
        <v>27970</v>
      </c>
      <c r="L1255" s="310">
        <f t="shared" si="22"/>
        <v>11188</v>
      </c>
    </row>
    <row r="1256" spans="6:12" ht="15" customHeight="1">
      <c r="F1256" s="306"/>
      <c r="G1256" s="301" t="s">
        <v>390</v>
      </c>
      <c r="H1256" s="302"/>
      <c r="I1256" s="307" t="s">
        <v>188</v>
      </c>
      <c r="J1256" s="308">
        <v>0.2</v>
      </c>
      <c r="K1256" s="328">
        <f t="shared" si="21"/>
        <v>7310</v>
      </c>
      <c r="L1256" s="310">
        <f t="shared" si="22"/>
        <v>1462</v>
      </c>
    </row>
    <row r="1257" spans="6:12" ht="15" customHeight="1">
      <c r="F1257" s="306"/>
      <c r="G1257" s="301" t="s">
        <v>396</v>
      </c>
      <c r="H1257" s="302"/>
      <c r="I1257" s="307" t="s">
        <v>44</v>
      </c>
      <c r="J1257" s="308">
        <v>0.02</v>
      </c>
      <c r="K1257" s="328">
        <f t="shared" si="21"/>
        <v>4410000</v>
      </c>
      <c r="L1257" s="310">
        <f t="shared" si="22"/>
        <v>88200</v>
      </c>
    </row>
    <row r="1258" spans="6:12" ht="15" customHeight="1">
      <c r="F1258" s="306"/>
      <c r="G1258" s="301" t="s">
        <v>397</v>
      </c>
      <c r="H1258" s="302"/>
      <c r="I1258" s="307" t="s">
        <v>202</v>
      </c>
      <c r="J1258" s="308">
        <v>0.35</v>
      </c>
      <c r="K1258" s="328">
        <f t="shared" si="21"/>
        <v>135000</v>
      </c>
      <c r="L1258" s="310">
        <f t="shared" si="22"/>
        <v>47250</v>
      </c>
    </row>
    <row r="1259" spans="6:12" ht="15" customHeight="1">
      <c r="F1259" s="306"/>
      <c r="G1259" s="301" t="s">
        <v>181</v>
      </c>
      <c r="H1259" s="302"/>
      <c r="I1259" s="307" t="s">
        <v>182</v>
      </c>
      <c r="J1259" s="308">
        <v>3</v>
      </c>
      <c r="K1259" s="328">
        <f t="shared" si="21"/>
        <v>31250</v>
      </c>
      <c r="L1259" s="310">
        <f t="shared" si="22"/>
        <v>93750</v>
      </c>
    </row>
    <row r="1260" spans="6:12" ht="15" customHeight="1" thickBot="1">
      <c r="F1260" s="362"/>
      <c r="G1260" s="363" t="s">
        <v>404</v>
      </c>
      <c r="H1260" s="364"/>
      <c r="I1260" s="365" t="s">
        <v>405</v>
      </c>
      <c r="J1260" s="366">
        <v>4</v>
      </c>
      <c r="K1260" s="328">
        <f t="shared" si="21"/>
        <v>25000</v>
      </c>
      <c r="L1260" s="367">
        <f t="shared" si="22"/>
        <v>100000</v>
      </c>
    </row>
    <row r="1261" spans="6:12" ht="15" customHeight="1" thickBot="1">
      <c r="F1261" s="316"/>
      <c r="G1261" s="317"/>
      <c r="H1261" s="318"/>
      <c r="I1261" s="318"/>
      <c r="J1261" s="319" t="s">
        <v>189</v>
      </c>
      <c r="K1261" s="320"/>
      <c r="L1261" s="321">
        <f>SUM(L1254:L1260)</f>
        <v>476850</v>
      </c>
    </row>
    <row r="1262" spans="6:12" ht="15" customHeight="1" thickBot="1">
      <c r="F1262" s="300" t="s">
        <v>190</v>
      </c>
      <c r="G1262" s="301" t="s">
        <v>191</v>
      </c>
      <c r="H1262" s="302"/>
      <c r="I1262" s="302"/>
      <c r="J1262" s="351"/>
      <c r="K1262" s="328">
        <v>0</v>
      </c>
      <c r="L1262" s="310">
        <f>J1262*K1262</f>
        <v>0</v>
      </c>
    </row>
    <row r="1263" spans="6:12" ht="15" customHeight="1" thickBot="1">
      <c r="F1263" s="316"/>
      <c r="G1263" s="317"/>
      <c r="H1263" s="318"/>
      <c r="I1263" s="318"/>
      <c r="J1263" s="319" t="s">
        <v>192</v>
      </c>
      <c r="K1263" s="320"/>
      <c r="L1263" s="321">
        <f>L1262</f>
        <v>0</v>
      </c>
    </row>
    <row r="1264" spans="6:12" ht="15" customHeight="1">
      <c r="F1264" s="344" t="s">
        <v>193</v>
      </c>
      <c r="G1264" s="345" t="s">
        <v>194</v>
      </c>
      <c r="H1264" s="346"/>
      <c r="I1264" s="346"/>
      <c r="J1264" s="347"/>
      <c r="K1264" s="348">
        <v>0</v>
      </c>
      <c r="L1264" s="310">
        <f>SUM(L1248:L1263)/2</f>
        <v>619905</v>
      </c>
    </row>
    <row r="1265" spans="5:13" ht="15" customHeight="1" thickBot="1">
      <c r="F1265" s="331" t="s">
        <v>195</v>
      </c>
      <c r="G1265" s="332" t="s">
        <v>196</v>
      </c>
      <c r="H1265" s="333"/>
      <c r="I1265" s="333"/>
      <c r="J1265" s="350">
        <v>0.1</v>
      </c>
      <c r="K1265" s="335"/>
      <c r="L1265" s="330">
        <f>J1265*L1264</f>
        <v>61990.5</v>
      </c>
    </row>
    <row r="1266" spans="5:13" ht="15" customHeight="1" thickBot="1">
      <c r="F1266" s="340" t="s">
        <v>197</v>
      </c>
      <c r="G1266" s="341" t="s">
        <v>198</v>
      </c>
      <c r="H1266" s="318"/>
      <c r="I1266" s="318"/>
      <c r="J1266" s="342"/>
      <c r="K1266" s="320">
        <v>0</v>
      </c>
      <c r="L1266" s="321">
        <f>ROUNDDOWN(L1264+L1265,0)</f>
        <v>681895</v>
      </c>
    </row>
    <row r="1267" spans="5:13" ht="15" customHeight="1">
      <c r="F1267" s="298"/>
      <c r="G1267" s="298"/>
      <c r="J1267" s="343"/>
      <c r="K1267" s="355"/>
      <c r="L1267" s="299"/>
    </row>
    <row r="1268" spans="5:13" ht="15" customHeight="1" thickBot="1">
      <c r="E1268" s="356" t="s">
        <v>406</v>
      </c>
      <c r="F1268" s="295" t="s">
        <v>407</v>
      </c>
      <c r="J1268" s="343"/>
      <c r="M1268" s="299">
        <f>L1288</f>
        <v>512863</v>
      </c>
    </row>
    <row r="1269" spans="5:13" ht="15" customHeight="1" thickBot="1">
      <c r="F1269" s="340" t="s">
        <v>136</v>
      </c>
      <c r="G1269" s="341" t="s">
        <v>162</v>
      </c>
      <c r="H1269" s="352" t="s">
        <v>163</v>
      </c>
      <c r="I1269" s="352" t="s">
        <v>138</v>
      </c>
      <c r="J1269" s="353" t="s">
        <v>164</v>
      </c>
      <c r="K1269" s="341" t="s">
        <v>165</v>
      </c>
      <c r="L1269" s="354" t="s">
        <v>166</v>
      </c>
    </row>
    <row r="1270" spans="5:13" ht="15" customHeight="1">
      <c r="F1270" s="344" t="s">
        <v>167</v>
      </c>
      <c r="G1270" s="345" t="s">
        <v>168</v>
      </c>
      <c r="H1270" s="346"/>
      <c r="I1270" s="346"/>
      <c r="J1270" s="347"/>
      <c r="K1270" s="348"/>
      <c r="L1270" s="349"/>
    </row>
    <row r="1271" spans="5:13" ht="15" customHeight="1">
      <c r="F1271" s="306"/>
      <c r="G1271" s="301" t="s">
        <v>169</v>
      </c>
      <c r="H1271" s="307" t="s">
        <v>170</v>
      </c>
      <c r="I1271" s="307" t="s">
        <v>171</v>
      </c>
      <c r="J1271" s="308">
        <v>0.66</v>
      </c>
      <c r="K1271" s="309">
        <f>VLOOKUP(G1271,Upah,8,FALSE)</f>
        <v>125000</v>
      </c>
      <c r="L1271" s="310">
        <f>J1271*K1271</f>
        <v>82500</v>
      </c>
    </row>
    <row r="1272" spans="5:13" ht="15" customHeight="1">
      <c r="F1272" s="306"/>
      <c r="G1272" s="301" t="s">
        <v>172</v>
      </c>
      <c r="H1272" s="307" t="s">
        <v>173</v>
      </c>
      <c r="I1272" s="307" t="s">
        <v>171</v>
      </c>
      <c r="J1272" s="308">
        <v>0.33</v>
      </c>
      <c r="K1272" s="309">
        <f>VLOOKUP(G1272,Upah,8,FALSE)</f>
        <v>150000</v>
      </c>
      <c r="L1272" s="310">
        <f>J1272*K1272</f>
        <v>49500</v>
      </c>
    </row>
    <row r="1273" spans="5:13" ht="15" customHeight="1">
      <c r="F1273" s="306"/>
      <c r="G1273" s="301" t="s">
        <v>174</v>
      </c>
      <c r="H1273" s="307" t="s">
        <v>175</v>
      </c>
      <c r="I1273" s="307" t="s">
        <v>171</v>
      </c>
      <c r="J1273" s="308">
        <v>3.3000000000000002E-2</v>
      </c>
      <c r="K1273" s="309">
        <f>VLOOKUP(G1273,Upah,8,FALSE)</f>
        <v>165000</v>
      </c>
      <c r="L1273" s="310">
        <f>J1273*K1273</f>
        <v>5445</v>
      </c>
    </row>
    <row r="1274" spans="5:13" ht="15" customHeight="1" thickBot="1">
      <c r="F1274" s="306"/>
      <c r="G1274" s="301" t="s">
        <v>176</v>
      </c>
      <c r="H1274" s="307" t="s">
        <v>177</v>
      </c>
      <c r="I1274" s="307" t="s">
        <v>171</v>
      </c>
      <c r="J1274" s="308">
        <v>3.3000000000000002E-2</v>
      </c>
      <c r="K1274" s="309">
        <f>VLOOKUP(G1274,Upah,8,FALSE)</f>
        <v>170000</v>
      </c>
      <c r="L1274" s="310">
        <f>J1274*K1274</f>
        <v>5610</v>
      </c>
    </row>
    <row r="1275" spans="5:13" ht="15" customHeight="1" thickBot="1">
      <c r="F1275" s="316"/>
      <c r="G1275" s="317"/>
      <c r="H1275" s="318"/>
      <c r="I1275" s="318"/>
      <c r="J1275" s="319" t="s">
        <v>178</v>
      </c>
      <c r="K1275" s="320"/>
      <c r="L1275" s="321">
        <f>SUM(L1271:L1274)</f>
        <v>143055</v>
      </c>
    </row>
    <row r="1276" spans="5:13" ht="15" customHeight="1">
      <c r="F1276" s="300" t="s">
        <v>179</v>
      </c>
      <c r="G1276" s="301" t="s">
        <v>180</v>
      </c>
      <c r="H1276" s="302"/>
      <c r="I1276" s="302"/>
      <c r="J1276" s="351"/>
      <c r="K1276" s="328"/>
      <c r="L1276" s="310"/>
    </row>
    <row r="1277" spans="5:13" ht="15" customHeight="1">
      <c r="F1277" s="306"/>
      <c r="G1277" s="301" t="s">
        <v>388</v>
      </c>
      <c r="H1277" s="302"/>
      <c r="I1277" s="307" t="s">
        <v>44</v>
      </c>
      <c r="J1277" s="308">
        <v>0.03</v>
      </c>
      <c r="K1277" s="328">
        <f t="shared" ref="K1277:K1282" si="23">VLOOKUP(G1277,Bahan,6,FALSE)</f>
        <v>4500000</v>
      </c>
      <c r="L1277" s="310">
        <f t="shared" ref="L1277:L1282" si="24">J1277*K1277</f>
        <v>135000</v>
      </c>
    </row>
    <row r="1278" spans="5:13" ht="15" customHeight="1">
      <c r="F1278" s="306"/>
      <c r="G1278" s="301" t="s">
        <v>395</v>
      </c>
      <c r="H1278" s="302"/>
      <c r="I1278" s="307" t="s">
        <v>38</v>
      </c>
      <c r="J1278" s="308">
        <v>0.4</v>
      </c>
      <c r="K1278" s="328">
        <f t="shared" si="23"/>
        <v>27970</v>
      </c>
      <c r="L1278" s="310">
        <f t="shared" si="24"/>
        <v>11188</v>
      </c>
    </row>
    <row r="1279" spans="5:13" ht="15" customHeight="1">
      <c r="F1279" s="306"/>
      <c r="G1279" s="301" t="s">
        <v>390</v>
      </c>
      <c r="H1279" s="302"/>
      <c r="I1279" s="307" t="s">
        <v>188</v>
      </c>
      <c r="J1279" s="308">
        <v>0.15</v>
      </c>
      <c r="K1279" s="328">
        <f t="shared" si="23"/>
        <v>7310</v>
      </c>
      <c r="L1279" s="310">
        <f t="shared" si="24"/>
        <v>1096.5</v>
      </c>
    </row>
    <row r="1280" spans="5:13" ht="15" customHeight="1">
      <c r="F1280" s="306"/>
      <c r="G1280" s="301" t="s">
        <v>396</v>
      </c>
      <c r="H1280" s="302"/>
      <c r="I1280" s="307" t="s">
        <v>44</v>
      </c>
      <c r="J1280" s="308">
        <v>1.4999999999999999E-2</v>
      </c>
      <c r="K1280" s="328">
        <f t="shared" si="23"/>
        <v>4410000</v>
      </c>
      <c r="L1280" s="310">
        <f t="shared" si="24"/>
        <v>66150</v>
      </c>
    </row>
    <row r="1281" spans="5:13" ht="15" customHeight="1">
      <c r="F1281" s="306"/>
      <c r="G1281" s="301" t="s">
        <v>397</v>
      </c>
      <c r="H1281" s="302"/>
      <c r="I1281" s="307" t="s">
        <v>202</v>
      </c>
      <c r="J1281" s="308">
        <v>0.35</v>
      </c>
      <c r="K1281" s="328">
        <f t="shared" si="23"/>
        <v>135000</v>
      </c>
      <c r="L1281" s="310">
        <f t="shared" si="24"/>
        <v>47250</v>
      </c>
    </row>
    <row r="1282" spans="5:13" ht="15" customHeight="1" thickBot="1">
      <c r="F1282" s="362"/>
      <c r="G1282" s="363" t="s">
        <v>181</v>
      </c>
      <c r="H1282" s="364"/>
      <c r="I1282" s="365" t="s">
        <v>182</v>
      </c>
      <c r="J1282" s="366">
        <v>2</v>
      </c>
      <c r="K1282" s="328">
        <f t="shared" si="23"/>
        <v>31250</v>
      </c>
      <c r="L1282" s="367">
        <f t="shared" si="24"/>
        <v>62500</v>
      </c>
    </row>
    <row r="1283" spans="5:13" ht="15" customHeight="1" thickBot="1">
      <c r="F1283" s="316"/>
      <c r="G1283" s="317"/>
      <c r="H1283" s="318"/>
      <c r="I1283" s="318"/>
      <c r="J1283" s="319" t="s">
        <v>189</v>
      </c>
      <c r="K1283" s="320"/>
      <c r="L1283" s="321">
        <f>SUM(L1277:L1282)</f>
        <v>323184.5</v>
      </c>
    </row>
    <row r="1284" spans="5:13" ht="15" customHeight="1" thickBot="1">
      <c r="F1284" s="300" t="s">
        <v>190</v>
      </c>
      <c r="G1284" s="301" t="s">
        <v>191</v>
      </c>
      <c r="H1284" s="302"/>
      <c r="I1284" s="302"/>
      <c r="J1284" s="351"/>
      <c r="K1284" s="328">
        <v>0</v>
      </c>
      <c r="L1284" s="310">
        <f>J1284*K1284</f>
        <v>0</v>
      </c>
    </row>
    <row r="1285" spans="5:13" ht="15" customHeight="1" thickBot="1">
      <c r="F1285" s="316"/>
      <c r="G1285" s="317"/>
      <c r="H1285" s="318"/>
      <c r="I1285" s="318"/>
      <c r="J1285" s="319" t="s">
        <v>192</v>
      </c>
      <c r="K1285" s="320"/>
      <c r="L1285" s="321">
        <f>L1284</f>
        <v>0</v>
      </c>
    </row>
    <row r="1286" spans="5:13" ht="15" customHeight="1">
      <c r="F1286" s="344" t="s">
        <v>193</v>
      </c>
      <c r="G1286" s="345" t="s">
        <v>194</v>
      </c>
      <c r="H1286" s="346"/>
      <c r="I1286" s="346"/>
      <c r="J1286" s="347"/>
      <c r="K1286" s="348">
        <v>0</v>
      </c>
      <c r="L1286" s="310">
        <f>SUM(L1271:L1285)/2</f>
        <v>466239.5</v>
      </c>
    </row>
    <row r="1287" spans="5:13" ht="15" customHeight="1" thickBot="1">
      <c r="F1287" s="331" t="s">
        <v>195</v>
      </c>
      <c r="G1287" s="332" t="s">
        <v>196</v>
      </c>
      <c r="H1287" s="333"/>
      <c r="I1287" s="333"/>
      <c r="J1287" s="350">
        <v>0.1</v>
      </c>
      <c r="K1287" s="335"/>
      <c r="L1287" s="330">
        <f>J1287*L1286</f>
        <v>46623.950000000004</v>
      </c>
    </row>
    <row r="1288" spans="5:13" ht="15" customHeight="1" thickBot="1">
      <c r="F1288" s="340" t="s">
        <v>197</v>
      </c>
      <c r="G1288" s="341" t="s">
        <v>198</v>
      </c>
      <c r="H1288" s="318"/>
      <c r="I1288" s="318"/>
      <c r="J1288" s="342"/>
      <c r="K1288" s="320">
        <v>0</v>
      </c>
      <c r="L1288" s="321">
        <f>ROUNDDOWN(L1286+L1287,0)</f>
        <v>512863</v>
      </c>
    </row>
    <row r="1289" spans="5:13" ht="15" customHeight="1">
      <c r="F1289" s="298"/>
      <c r="G1289" s="298"/>
      <c r="J1289" s="343"/>
      <c r="K1289" s="355"/>
      <c r="L1289" s="299"/>
    </row>
    <row r="1290" spans="5:13" ht="15" customHeight="1" thickBot="1">
      <c r="E1290" s="356" t="s">
        <v>408</v>
      </c>
      <c r="F1290" s="295" t="s">
        <v>409</v>
      </c>
      <c r="J1290" s="343"/>
      <c r="M1290" s="299">
        <f>L1307</f>
        <v>197606</v>
      </c>
    </row>
    <row r="1291" spans="5:13" ht="15" customHeight="1" thickBot="1">
      <c r="F1291" s="340" t="s">
        <v>136</v>
      </c>
      <c r="G1291" s="341" t="s">
        <v>162</v>
      </c>
      <c r="H1291" s="352" t="s">
        <v>163</v>
      </c>
      <c r="I1291" s="352" t="s">
        <v>138</v>
      </c>
      <c r="J1291" s="353" t="s">
        <v>164</v>
      </c>
      <c r="K1291" s="341" t="s">
        <v>165</v>
      </c>
      <c r="L1291" s="354" t="s">
        <v>166</v>
      </c>
    </row>
    <row r="1292" spans="5:13" ht="15" customHeight="1">
      <c r="F1292" s="300" t="s">
        <v>167</v>
      </c>
      <c r="G1292" s="301" t="s">
        <v>168</v>
      </c>
      <c r="H1292" s="302"/>
      <c r="I1292" s="302"/>
      <c r="J1292" s="351"/>
      <c r="K1292" s="328"/>
      <c r="L1292" s="310"/>
    </row>
    <row r="1293" spans="5:13" ht="15" customHeight="1">
      <c r="F1293" s="306"/>
      <c r="G1293" s="301" t="s">
        <v>169</v>
      </c>
      <c r="H1293" s="307" t="s">
        <v>170</v>
      </c>
      <c r="I1293" s="307" t="s">
        <v>171</v>
      </c>
      <c r="J1293" s="308">
        <v>0.15</v>
      </c>
      <c r="K1293" s="309">
        <f>VLOOKUP(G1293,Upah,8,FALSE)</f>
        <v>125000</v>
      </c>
      <c r="L1293" s="310">
        <f>J1293*K1293</f>
        <v>18750</v>
      </c>
    </row>
    <row r="1294" spans="5:13" ht="15" customHeight="1">
      <c r="F1294" s="306"/>
      <c r="G1294" s="301" t="s">
        <v>172</v>
      </c>
      <c r="H1294" s="307" t="s">
        <v>173</v>
      </c>
      <c r="I1294" s="307" t="s">
        <v>171</v>
      </c>
      <c r="J1294" s="308">
        <v>0.05</v>
      </c>
      <c r="K1294" s="309">
        <f>VLOOKUP(G1294,Upah,8,FALSE)</f>
        <v>150000</v>
      </c>
      <c r="L1294" s="310">
        <f>J1294*K1294</f>
        <v>7500</v>
      </c>
    </row>
    <row r="1295" spans="5:13" ht="15" customHeight="1">
      <c r="F1295" s="306"/>
      <c r="G1295" s="301" t="s">
        <v>174</v>
      </c>
      <c r="H1295" s="307" t="s">
        <v>175</v>
      </c>
      <c r="I1295" s="307" t="s">
        <v>171</v>
      </c>
      <c r="J1295" s="308">
        <v>5.0000000000000001E-3</v>
      </c>
      <c r="K1295" s="309">
        <f>VLOOKUP(G1295,Upah,8,FALSE)</f>
        <v>165000</v>
      </c>
      <c r="L1295" s="310">
        <f>J1295*K1295</f>
        <v>825</v>
      </c>
    </row>
    <row r="1296" spans="5:13" ht="15" customHeight="1" thickBot="1">
      <c r="F1296" s="306"/>
      <c r="G1296" s="301" t="s">
        <v>176</v>
      </c>
      <c r="H1296" s="307" t="s">
        <v>177</v>
      </c>
      <c r="I1296" s="307" t="s">
        <v>171</v>
      </c>
      <c r="J1296" s="308">
        <v>8.0000000000000002E-3</v>
      </c>
      <c r="K1296" s="309">
        <f>VLOOKUP(G1296,Upah,8,FALSE)</f>
        <v>170000</v>
      </c>
      <c r="L1296" s="310">
        <f>J1296*K1296</f>
        <v>1360</v>
      </c>
    </row>
    <row r="1297" spans="5:13" ht="15" customHeight="1" thickBot="1">
      <c r="F1297" s="316"/>
      <c r="G1297" s="317"/>
      <c r="H1297" s="318"/>
      <c r="I1297" s="318"/>
      <c r="J1297" s="319" t="s">
        <v>178</v>
      </c>
      <c r="K1297" s="320"/>
      <c r="L1297" s="321">
        <f>SUM(L1293:L1296)</f>
        <v>28435</v>
      </c>
    </row>
    <row r="1298" spans="5:13" ht="15" customHeight="1">
      <c r="F1298" s="300" t="s">
        <v>179</v>
      </c>
      <c r="G1298" s="301" t="s">
        <v>180</v>
      </c>
      <c r="H1298" s="302"/>
      <c r="I1298" s="302"/>
      <c r="J1298" s="351"/>
      <c r="K1298" s="328"/>
      <c r="L1298" s="310"/>
    </row>
    <row r="1299" spans="5:13" ht="15" customHeight="1">
      <c r="F1299" s="306"/>
      <c r="G1299" s="301" t="s">
        <v>410</v>
      </c>
      <c r="H1299" s="302"/>
      <c r="I1299" s="307" t="s">
        <v>44</v>
      </c>
      <c r="J1299" s="308">
        <v>2.64E-2</v>
      </c>
      <c r="K1299" s="328">
        <f>VLOOKUP(G1299,Bahan,6,FALSE)</f>
        <v>4500000</v>
      </c>
      <c r="L1299" s="310">
        <f>J1299*K1299</f>
        <v>118800</v>
      </c>
    </row>
    <row r="1300" spans="5:13" ht="15" customHeight="1">
      <c r="F1300" s="306"/>
      <c r="G1300" s="301" t="s">
        <v>395</v>
      </c>
      <c r="H1300" s="302"/>
      <c r="I1300" s="307" t="s">
        <v>38</v>
      </c>
      <c r="J1300" s="308">
        <v>0.6</v>
      </c>
      <c r="K1300" s="328">
        <f>VLOOKUP(G1300,Bahan,6,FALSE)</f>
        <v>27970</v>
      </c>
      <c r="L1300" s="310">
        <f>J1300*K1300</f>
        <v>16782</v>
      </c>
    </row>
    <row r="1301" spans="5:13" ht="15" customHeight="1" thickBot="1">
      <c r="F1301" s="306"/>
      <c r="G1301" s="301" t="s">
        <v>181</v>
      </c>
      <c r="H1301" s="302"/>
      <c r="I1301" s="307" t="s">
        <v>182</v>
      </c>
      <c r="J1301" s="308">
        <v>0.5</v>
      </c>
      <c r="K1301" s="328">
        <f>VLOOKUP(G1301,Bahan,6,FALSE)</f>
        <v>31250</v>
      </c>
      <c r="L1301" s="310">
        <f>J1301*K1301</f>
        <v>15625</v>
      </c>
    </row>
    <row r="1302" spans="5:13" ht="15" customHeight="1" thickBot="1">
      <c r="F1302" s="316"/>
      <c r="G1302" s="317"/>
      <c r="H1302" s="318"/>
      <c r="I1302" s="318"/>
      <c r="J1302" s="319" t="s">
        <v>189</v>
      </c>
      <c r="K1302" s="320"/>
      <c r="L1302" s="321">
        <f>SUM(L1299:L1301)</f>
        <v>151207</v>
      </c>
    </row>
    <row r="1303" spans="5:13" ht="15" customHeight="1" thickBot="1">
      <c r="F1303" s="300" t="s">
        <v>190</v>
      </c>
      <c r="G1303" s="301" t="s">
        <v>191</v>
      </c>
      <c r="H1303" s="302"/>
      <c r="I1303" s="302"/>
      <c r="J1303" s="351"/>
      <c r="K1303" s="328">
        <v>0</v>
      </c>
      <c r="L1303" s="310">
        <f>J1303*K1303</f>
        <v>0</v>
      </c>
    </row>
    <row r="1304" spans="5:13" ht="15" customHeight="1" thickBot="1">
      <c r="F1304" s="316"/>
      <c r="G1304" s="317"/>
      <c r="H1304" s="318"/>
      <c r="I1304" s="318"/>
      <c r="J1304" s="319" t="s">
        <v>192</v>
      </c>
      <c r="K1304" s="320"/>
      <c r="L1304" s="321">
        <f>L1303</f>
        <v>0</v>
      </c>
    </row>
    <row r="1305" spans="5:13" ht="15" customHeight="1">
      <c r="F1305" s="344" t="s">
        <v>193</v>
      </c>
      <c r="G1305" s="345" t="s">
        <v>194</v>
      </c>
      <c r="H1305" s="346"/>
      <c r="I1305" s="346"/>
      <c r="J1305" s="347"/>
      <c r="K1305" s="348">
        <v>0</v>
      </c>
      <c r="L1305" s="310">
        <f>SUM(L1293:L1304)/2</f>
        <v>179642</v>
      </c>
    </row>
    <row r="1306" spans="5:13" ht="15" customHeight="1" thickBot="1">
      <c r="F1306" s="331" t="s">
        <v>195</v>
      </c>
      <c r="G1306" s="332" t="s">
        <v>196</v>
      </c>
      <c r="H1306" s="333"/>
      <c r="I1306" s="333"/>
      <c r="J1306" s="350">
        <v>0.1</v>
      </c>
      <c r="K1306" s="335"/>
      <c r="L1306" s="330">
        <f>J1306*L1305</f>
        <v>17964.2</v>
      </c>
    </row>
    <row r="1307" spans="5:13" ht="15" customHeight="1" thickBot="1">
      <c r="F1307" s="340" t="s">
        <v>197</v>
      </c>
      <c r="G1307" s="341" t="s">
        <v>198</v>
      </c>
      <c r="H1307" s="318"/>
      <c r="I1307" s="318"/>
      <c r="J1307" s="342"/>
      <c r="K1307" s="320">
        <v>0</v>
      </c>
      <c r="L1307" s="321">
        <f>ROUNDDOWN(L1305+L1306,0)</f>
        <v>197606</v>
      </c>
    </row>
    <row r="1308" spans="5:13" ht="15" customHeight="1">
      <c r="F1308" s="298"/>
      <c r="G1308" s="298"/>
      <c r="J1308" s="343"/>
      <c r="K1308" s="355"/>
      <c r="L1308" s="299"/>
    </row>
    <row r="1309" spans="5:13" ht="15" customHeight="1" thickBot="1">
      <c r="E1309" s="356" t="s">
        <v>411</v>
      </c>
      <c r="F1309" s="295" t="s">
        <v>412</v>
      </c>
      <c r="J1309" s="343"/>
      <c r="M1309" s="299">
        <f>L1333</f>
        <v>6041556</v>
      </c>
    </row>
    <row r="1310" spans="5:13" ht="15" customHeight="1" thickBot="1">
      <c r="F1310" s="340" t="s">
        <v>136</v>
      </c>
      <c r="G1310" s="341" t="s">
        <v>162</v>
      </c>
      <c r="H1310" s="352" t="s">
        <v>163</v>
      </c>
      <c r="I1310" s="352" t="s">
        <v>138</v>
      </c>
      <c r="J1310" s="353" t="s">
        <v>164</v>
      </c>
      <c r="K1310" s="341" t="s">
        <v>165</v>
      </c>
      <c r="L1310" s="354" t="s">
        <v>166</v>
      </c>
    </row>
    <row r="1311" spans="5:13" ht="15" customHeight="1">
      <c r="F1311" s="300" t="s">
        <v>167</v>
      </c>
      <c r="G1311" s="301" t="s">
        <v>168</v>
      </c>
      <c r="H1311" s="302"/>
      <c r="I1311" s="302"/>
      <c r="J1311" s="351"/>
      <c r="K1311" s="328"/>
      <c r="L1311" s="310"/>
    </row>
    <row r="1312" spans="5:13" ht="15" customHeight="1">
      <c r="F1312" s="306"/>
      <c r="G1312" s="301" t="s">
        <v>169</v>
      </c>
      <c r="H1312" s="307" t="s">
        <v>170</v>
      </c>
      <c r="I1312" s="307" t="s">
        <v>171</v>
      </c>
      <c r="J1312" s="308">
        <v>5.3</v>
      </c>
      <c r="K1312" s="309">
        <f t="shared" ref="K1312:K1317" si="25">VLOOKUP(G1312,Upah,8,FALSE)</f>
        <v>125000</v>
      </c>
      <c r="L1312" s="310">
        <f t="shared" ref="L1312:L1317" si="26">J1312*K1312</f>
        <v>662500</v>
      </c>
    </row>
    <row r="1313" spans="6:12" ht="15" customHeight="1">
      <c r="F1313" s="306"/>
      <c r="G1313" s="301" t="s">
        <v>216</v>
      </c>
      <c r="H1313" s="307" t="s">
        <v>217</v>
      </c>
      <c r="I1313" s="307" t="s">
        <v>171</v>
      </c>
      <c r="J1313" s="308">
        <v>0.27500000000000002</v>
      </c>
      <c r="K1313" s="309">
        <f t="shared" si="25"/>
        <v>150000</v>
      </c>
      <c r="L1313" s="310">
        <f t="shared" si="26"/>
        <v>41250</v>
      </c>
    </row>
    <row r="1314" spans="6:12" ht="15" customHeight="1">
      <c r="F1314" s="306"/>
      <c r="G1314" s="301" t="s">
        <v>413</v>
      </c>
      <c r="H1314" s="307" t="s">
        <v>173</v>
      </c>
      <c r="I1314" s="307" t="s">
        <v>171</v>
      </c>
      <c r="J1314" s="308">
        <v>1.3</v>
      </c>
      <c r="K1314" s="309">
        <f t="shared" si="25"/>
        <v>150000</v>
      </c>
      <c r="L1314" s="310">
        <f t="shared" si="26"/>
        <v>195000</v>
      </c>
    </row>
    <row r="1315" spans="6:12" ht="15" customHeight="1">
      <c r="F1315" s="306"/>
      <c r="G1315" s="301" t="s">
        <v>414</v>
      </c>
      <c r="H1315" s="307" t="s">
        <v>380</v>
      </c>
      <c r="I1315" s="307" t="s">
        <v>171</v>
      </c>
      <c r="J1315" s="308">
        <v>1.05</v>
      </c>
      <c r="K1315" s="309">
        <f t="shared" si="25"/>
        <v>150000</v>
      </c>
      <c r="L1315" s="310">
        <f t="shared" si="26"/>
        <v>157500</v>
      </c>
    </row>
    <row r="1316" spans="6:12" ht="15" customHeight="1">
      <c r="F1316" s="306"/>
      <c r="G1316" s="301" t="s">
        <v>232</v>
      </c>
      <c r="H1316" s="307" t="s">
        <v>175</v>
      </c>
      <c r="I1316" s="307" t="s">
        <v>171</v>
      </c>
      <c r="J1316" s="308">
        <v>0.26200000000000001</v>
      </c>
      <c r="K1316" s="309">
        <f t="shared" si="25"/>
        <v>165000</v>
      </c>
      <c r="L1316" s="310">
        <f t="shared" si="26"/>
        <v>43230</v>
      </c>
    </row>
    <row r="1317" spans="6:12" ht="15" customHeight="1" thickBot="1">
      <c r="F1317" s="306"/>
      <c r="G1317" s="301" t="s">
        <v>176</v>
      </c>
      <c r="H1317" s="307" t="s">
        <v>177</v>
      </c>
      <c r="I1317" s="307" t="s">
        <v>171</v>
      </c>
      <c r="J1317" s="308">
        <v>0.26500000000000001</v>
      </c>
      <c r="K1317" s="309">
        <f t="shared" si="25"/>
        <v>170000</v>
      </c>
      <c r="L1317" s="310">
        <f t="shared" si="26"/>
        <v>45050</v>
      </c>
    </row>
    <row r="1318" spans="6:12" ht="15" customHeight="1" thickBot="1">
      <c r="F1318" s="316"/>
      <c r="G1318" s="317"/>
      <c r="H1318" s="318"/>
      <c r="I1318" s="318"/>
      <c r="J1318" s="319" t="s">
        <v>178</v>
      </c>
      <c r="K1318" s="320"/>
      <c r="L1318" s="321">
        <f>SUM(L1312:L1317)</f>
        <v>1144530</v>
      </c>
    </row>
    <row r="1319" spans="6:12" ht="15" customHeight="1">
      <c r="F1319" s="300" t="s">
        <v>179</v>
      </c>
      <c r="G1319" s="301" t="s">
        <v>180</v>
      </c>
      <c r="H1319" s="302"/>
      <c r="I1319" s="302"/>
      <c r="J1319" s="351"/>
      <c r="K1319" s="328"/>
      <c r="L1319" s="310"/>
    </row>
    <row r="1320" spans="6:12" ht="15" customHeight="1">
      <c r="F1320" s="306"/>
      <c r="G1320" s="301" t="s">
        <v>388</v>
      </c>
      <c r="H1320" s="302"/>
      <c r="I1320" s="307" t="s">
        <v>44</v>
      </c>
      <c r="J1320" s="308">
        <v>0.2</v>
      </c>
      <c r="K1320" s="328">
        <f t="shared" ref="K1320:K1327" si="27">VLOOKUP(G1320,Bahan,6,FALSE)</f>
        <v>4500000</v>
      </c>
      <c r="L1320" s="310">
        <f t="shared" ref="L1320:L1327" si="28">J1320*K1320</f>
        <v>900000</v>
      </c>
    </row>
    <row r="1321" spans="6:12" ht="15" customHeight="1">
      <c r="F1321" s="306"/>
      <c r="G1321" s="301" t="s">
        <v>415</v>
      </c>
      <c r="H1321" s="302"/>
      <c r="I1321" s="307" t="s">
        <v>38</v>
      </c>
      <c r="J1321" s="308">
        <v>1.5</v>
      </c>
      <c r="K1321" s="328">
        <f t="shared" si="27"/>
        <v>27970</v>
      </c>
      <c r="L1321" s="310">
        <f t="shared" si="28"/>
        <v>41955</v>
      </c>
    </row>
    <row r="1322" spans="6:12" ht="15" customHeight="1">
      <c r="F1322" s="306"/>
      <c r="G1322" s="301" t="s">
        <v>390</v>
      </c>
      <c r="H1322" s="302"/>
      <c r="I1322" s="307" t="s">
        <v>188</v>
      </c>
      <c r="J1322" s="308">
        <v>0.4</v>
      </c>
      <c r="K1322" s="328">
        <f t="shared" si="27"/>
        <v>7310</v>
      </c>
      <c r="L1322" s="310">
        <f t="shared" si="28"/>
        <v>2924</v>
      </c>
    </row>
    <row r="1323" spans="6:12" ht="15" customHeight="1">
      <c r="F1323" s="306"/>
      <c r="G1323" s="301" t="s">
        <v>327</v>
      </c>
      <c r="H1323" s="302"/>
      <c r="I1323" s="307" t="s">
        <v>38</v>
      </c>
      <c r="J1323" s="308">
        <v>157.5</v>
      </c>
      <c r="K1323" s="328">
        <f t="shared" si="27"/>
        <v>12920</v>
      </c>
      <c r="L1323" s="310">
        <f t="shared" si="28"/>
        <v>2034900</v>
      </c>
    </row>
    <row r="1324" spans="6:12" ht="15" customHeight="1">
      <c r="F1324" s="306"/>
      <c r="G1324" s="301" t="s">
        <v>328</v>
      </c>
      <c r="H1324" s="302"/>
      <c r="I1324" s="307" t="s">
        <v>38</v>
      </c>
      <c r="J1324" s="308">
        <v>2.25</v>
      </c>
      <c r="K1324" s="328">
        <f t="shared" si="27"/>
        <v>27260</v>
      </c>
      <c r="L1324" s="310">
        <f t="shared" si="28"/>
        <v>61335</v>
      </c>
    </row>
    <row r="1325" spans="6:12" ht="15" customHeight="1">
      <c r="F1325" s="306"/>
      <c r="G1325" s="301" t="s">
        <v>183</v>
      </c>
      <c r="H1325" s="302"/>
      <c r="I1325" s="307" t="s">
        <v>38</v>
      </c>
      <c r="J1325" s="308">
        <v>336</v>
      </c>
      <c r="K1325" s="328">
        <f t="shared" si="27"/>
        <v>1880</v>
      </c>
      <c r="L1325" s="310">
        <f t="shared" si="28"/>
        <v>631680</v>
      </c>
    </row>
    <row r="1326" spans="6:12" ht="15" customHeight="1">
      <c r="F1326" s="306"/>
      <c r="G1326" s="301" t="s">
        <v>1705</v>
      </c>
      <c r="H1326" s="302"/>
      <c r="I1326" s="307" t="s">
        <v>44</v>
      </c>
      <c r="J1326" s="308">
        <v>0.54</v>
      </c>
      <c r="K1326" s="328">
        <f t="shared" si="27"/>
        <v>350000</v>
      </c>
      <c r="L1326" s="310">
        <f t="shared" si="28"/>
        <v>189000</v>
      </c>
    </row>
    <row r="1327" spans="6:12" ht="15" customHeight="1" thickBot="1">
      <c r="F1327" s="306"/>
      <c r="G1327" s="301" t="s">
        <v>1703</v>
      </c>
      <c r="H1327" s="302"/>
      <c r="I1327" s="307" t="s">
        <v>44</v>
      </c>
      <c r="J1327" s="308">
        <v>0.81</v>
      </c>
      <c r="K1327" s="328">
        <f t="shared" si="27"/>
        <v>600000</v>
      </c>
      <c r="L1327" s="310">
        <f t="shared" si="28"/>
        <v>486000.00000000006</v>
      </c>
    </row>
    <row r="1328" spans="6:12" ht="15" customHeight="1" thickBot="1">
      <c r="F1328" s="316"/>
      <c r="G1328" s="317"/>
      <c r="H1328" s="318"/>
      <c r="I1328" s="318"/>
      <c r="J1328" s="319" t="s">
        <v>189</v>
      </c>
      <c r="K1328" s="320"/>
      <c r="L1328" s="321">
        <f>SUM(L1320:L1327)</f>
        <v>4347794</v>
      </c>
    </row>
    <row r="1329" spans="5:13" ht="15" customHeight="1" thickBot="1">
      <c r="F1329" s="300" t="s">
        <v>190</v>
      </c>
      <c r="G1329" s="301" t="s">
        <v>191</v>
      </c>
      <c r="H1329" s="302"/>
      <c r="I1329" s="302"/>
      <c r="J1329" s="351"/>
      <c r="K1329" s="328">
        <v>0</v>
      </c>
      <c r="L1329" s="310">
        <f>J1329*K1329</f>
        <v>0</v>
      </c>
    </row>
    <row r="1330" spans="5:13" ht="15" customHeight="1" thickBot="1">
      <c r="F1330" s="316"/>
      <c r="G1330" s="317"/>
      <c r="H1330" s="318"/>
      <c r="I1330" s="318"/>
      <c r="J1330" s="319" t="s">
        <v>192</v>
      </c>
      <c r="K1330" s="320"/>
      <c r="L1330" s="321">
        <f>L1329</f>
        <v>0</v>
      </c>
    </row>
    <row r="1331" spans="5:13" ht="15" customHeight="1">
      <c r="F1331" s="344" t="s">
        <v>193</v>
      </c>
      <c r="G1331" s="345" t="s">
        <v>194</v>
      </c>
      <c r="H1331" s="346"/>
      <c r="I1331" s="346"/>
      <c r="J1331" s="347"/>
      <c r="K1331" s="348">
        <v>0</v>
      </c>
      <c r="L1331" s="310">
        <f>SUM(L1311:L1330)/2</f>
        <v>5492324</v>
      </c>
    </row>
    <row r="1332" spans="5:13" ht="15" customHeight="1" thickBot="1">
      <c r="F1332" s="331" t="s">
        <v>195</v>
      </c>
      <c r="G1332" s="332" t="s">
        <v>196</v>
      </c>
      <c r="H1332" s="333"/>
      <c r="I1332" s="333"/>
      <c r="J1332" s="350">
        <v>0.1</v>
      </c>
      <c r="K1332" s="335"/>
      <c r="L1332" s="330">
        <f>J1332*L1331</f>
        <v>549232.4</v>
      </c>
    </row>
    <row r="1333" spans="5:13" ht="15" customHeight="1" thickBot="1">
      <c r="F1333" s="340" t="s">
        <v>197</v>
      </c>
      <c r="G1333" s="341" t="s">
        <v>198</v>
      </c>
      <c r="H1333" s="318"/>
      <c r="I1333" s="318"/>
      <c r="J1333" s="342"/>
      <c r="K1333" s="320">
        <v>0</v>
      </c>
      <c r="L1333" s="321">
        <f>ROUNDDOWN(L1331+L1332,0)</f>
        <v>6041556</v>
      </c>
    </row>
    <row r="1334" spans="5:13" ht="15" customHeight="1">
      <c r="F1334" s="298"/>
      <c r="G1334" s="298"/>
      <c r="J1334" s="343"/>
      <c r="K1334" s="355"/>
      <c r="L1334" s="299"/>
    </row>
    <row r="1335" spans="5:13" ht="15" customHeight="1" thickBot="1">
      <c r="E1335" s="356" t="s">
        <v>416</v>
      </c>
      <c r="F1335" s="295" t="s">
        <v>417</v>
      </c>
      <c r="J1335" s="343"/>
      <c r="M1335" s="299">
        <f>L1359</f>
        <v>7336880</v>
      </c>
    </row>
    <row r="1336" spans="5:13" ht="15" customHeight="1" thickBot="1">
      <c r="F1336" s="340" t="s">
        <v>136</v>
      </c>
      <c r="G1336" s="341" t="s">
        <v>162</v>
      </c>
      <c r="H1336" s="352" t="s">
        <v>163</v>
      </c>
      <c r="I1336" s="352" t="s">
        <v>138</v>
      </c>
      <c r="J1336" s="353" t="s">
        <v>164</v>
      </c>
      <c r="K1336" s="341" t="s">
        <v>165</v>
      </c>
      <c r="L1336" s="354" t="s">
        <v>166</v>
      </c>
    </row>
    <row r="1337" spans="5:13" ht="15" customHeight="1">
      <c r="F1337" s="300" t="s">
        <v>167</v>
      </c>
      <c r="G1337" s="301" t="s">
        <v>168</v>
      </c>
      <c r="H1337" s="302"/>
      <c r="I1337" s="302"/>
      <c r="J1337" s="351"/>
      <c r="K1337" s="328"/>
      <c r="L1337" s="310"/>
    </row>
    <row r="1338" spans="5:13" ht="15" customHeight="1">
      <c r="F1338" s="306"/>
      <c r="G1338" s="301" t="s">
        <v>169</v>
      </c>
      <c r="H1338" s="307" t="s">
        <v>170</v>
      </c>
      <c r="I1338" s="307" t="s">
        <v>171</v>
      </c>
      <c r="J1338" s="308">
        <v>5.65</v>
      </c>
      <c r="K1338" s="309">
        <f t="shared" ref="K1338:K1343" si="29">VLOOKUP(G1338,Upah,8,FALSE)</f>
        <v>125000</v>
      </c>
      <c r="L1338" s="310">
        <f t="shared" ref="L1338:L1343" si="30">J1338*K1338</f>
        <v>706250</v>
      </c>
    </row>
    <row r="1339" spans="5:13" ht="15" customHeight="1">
      <c r="F1339" s="306"/>
      <c r="G1339" s="301" t="s">
        <v>216</v>
      </c>
      <c r="H1339" s="307" t="s">
        <v>217</v>
      </c>
      <c r="I1339" s="307" t="s">
        <v>171</v>
      </c>
      <c r="J1339" s="308">
        <v>0.27500000000000002</v>
      </c>
      <c r="K1339" s="309">
        <f t="shared" si="29"/>
        <v>150000</v>
      </c>
      <c r="L1339" s="310">
        <f t="shared" si="30"/>
        <v>41250</v>
      </c>
    </row>
    <row r="1340" spans="5:13" ht="15" customHeight="1">
      <c r="F1340" s="306"/>
      <c r="G1340" s="301" t="s">
        <v>413</v>
      </c>
      <c r="H1340" s="307" t="s">
        <v>173</v>
      </c>
      <c r="I1340" s="307" t="s">
        <v>171</v>
      </c>
      <c r="J1340" s="308">
        <v>1.56</v>
      </c>
      <c r="K1340" s="309">
        <f t="shared" si="29"/>
        <v>150000</v>
      </c>
      <c r="L1340" s="310">
        <f t="shared" si="30"/>
        <v>234000</v>
      </c>
    </row>
    <row r="1341" spans="5:13" ht="15" customHeight="1">
      <c r="F1341" s="306"/>
      <c r="G1341" s="301" t="s">
        <v>414</v>
      </c>
      <c r="H1341" s="307" t="s">
        <v>380</v>
      </c>
      <c r="I1341" s="307" t="s">
        <v>171</v>
      </c>
      <c r="J1341" s="308">
        <v>1.4</v>
      </c>
      <c r="K1341" s="309">
        <f t="shared" si="29"/>
        <v>150000</v>
      </c>
      <c r="L1341" s="310">
        <f t="shared" si="30"/>
        <v>210000</v>
      </c>
    </row>
    <row r="1342" spans="5:13" ht="15" customHeight="1">
      <c r="F1342" s="306"/>
      <c r="G1342" s="301" t="s">
        <v>232</v>
      </c>
      <c r="H1342" s="307" t="s">
        <v>175</v>
      </c>
      <c r="I1342" s="307" t="s">
        <v>171</v>
      </c>
      <c r="J1342" s="308">
        <v>0.32300000000000001</v>
      </c>
      <c r="K1342" s="309">
        <f t="shared" si="29"/>
        <v>165000</v>
      </c>
      <c r="L1342" s="310">
        <f t="shared" si="30"/>
        <v>53295</v>
      </c>
    </row>
    <row r="1343" spans="5:13" ht="15" customHeight="1" thickBot="1">
      <c r="F1343" s="306"/>
      <c r="G1343" s="301" t="s">
        <v>176</v>
      </c>
      <c r="H1343" s="307" t="s">
        <v>177</v>
      </c>
      <c r="I1343" s="307" t="s">
        <v>171</v>
      </c>
      <c r="J1343" s="308">
        <v>0.28299999999999997</v>
      </c>
      <c r="K1343" s="309">
        <f t="shared" si="29"/>
        <v>170000</v>
      </c>
      <c r="L1343" s="310">
        <f t="shared" si="30"/>
        <v>48109.999999999993</v>
      </c>
    </row>
    <row r="1344" spans="5:13" ht="15" customHeight="1" thickBot="1">
      <c r="F1344" s="316"/>
      <c r="G1344" s="317"/>
      <c r="H1344" s="318"/>
      <c r="I1344" s="318"/>
      <c r="J1344" s="319" t="s">
        <v>178</v>
      </c>
      <c r="K1344" s="320"/>
      <c r="L1344" s="321">
        <f>SUM(L1338:L1343)</f>
        <v>1292905</v>
      </c>
    </row>
    <row r="1345" spans="6:12" ht="15" customHeight="1">
      <c r="F1345" s="300" t="s">
        <v>179</v>
      </c>
      <c r="G1345" s="301" t="s">
        <v>180</v>
      </c>
      <c r="H1345" s="302"/>
      <c r="I1345" s="302"/>
      <c r="J1345" s="351"/>
      <c r="K1345" s="328"/>
      <c r="L1345" s="310"/>
    </row>
    <row r="1346" spans="6:12" ht="15" customHeight="1">
      <c r="F1346" s="306"/>
      <c r="G1346" s="301" t="s">
        <v>388</v>
      </c>
      <c r="H1346" s="302"/>
      <c r="I1346" s="307" t="s">
        <v>44</v>
      </c>
      <c r="J1346" s="308">
        <v>0.27</v>
      </c>
      <c r="K1346" s="328">
        <f t="shared" ref="K1346:K1353" si="31">VLOOKUP(G1346,Bahan,6,FALSE)</f>
        <v>4500000</v>
      </c>
      <c r="L1346" s="310">
        <f t="shared" ref="L1346:L1353" si="32">J1346*K1346</f>
        <v>1215000</v>
      </c>
    </row>
    <row r="1347" spans="6:12" ht="15" customHeight="1">
      <c r="F1347" s="306"/>
      <c r="G1347" s="301" t="s">
        <v>415</v>
      </c>
      <c r="H1347" s="302"/>
      <c r="I1347" s="307" t="s">
        <v>38</v>
      </c>
      <c r="J1347" s="308">
        <v>2</v>
      </c>
      <c r="K1347" s="328">
        <f t="shared" si="31"/>
        <v>27970</v>
      </c>
      <c r="L1347" s="310">
        <f t="shared" si="32"/>
        <v>55940</v>
      </c>
    </row>
    <row r="1348" spans="6:12" ht="15" customHeight="1">
      <c r="F1348" s="306"/>
      <c r="G1348" s="301" t="s">
        <v>390</v>
      </c>
      <c r="H1348" s="302"/>
      <c r="I1348" s="307" t="s">
        <v>188</v>
      </c>
      <c r="J1348" s="308">
        <v>0.6</v>
      </c>
      <c r="K1348" s="328">
        <f t="shared" si="31"/>
        <v>7310</v>
      </c>
      <c r="L1348" s="310">
        <f t="shared" si="32"/>
        <v>4386</v>
      </c>
    </row>
    <row r="1349" spans="6:12" ht="15" customHeight="1">
      <c r="F1349" s="306"/>
      <c r="G1349" s="301" t="s">
        <v>327</v>
      </c>
      <c r="H1349" s="302"/>
      <c r="I1349" s="307" t="s">
        <v>38</v>
      </c>
      <c r="J1349" s="308">
        <v>210</v>
      </c>
      <c r="K1349" s="328">
        <f t="shared" si="31"/>
        <v>12920</v>
      </c>
      <c r="L1349" s="310">
        <f t="shared" si="32"/>
        <v>2713200</v>
      </c>
    </row>
    <row r="1350" spans="6:12" ht="15" customHeight="1">
      <c r="F1350" s="306"/>
      <c r="G1350" s="301" t="s">
        <v>328</v>
      </c>
      <c r="H1350" s="302"/>
      <c r="I1350" s="307" t="s">
        <v>38</v>
      </c>
      <c r="J1350" s="308">
        <v>3</v>
      </c>
      <c r="K1350" s="328">
        <f t="shared" si="31"/>
        <v>27260</v>
      </c>
      <c r="L1350" s="310">
        <f t="shared" si="32"/>
        <v>81780</v>
      </c>
    </row>
    <row r="1351" spans="6:12" ht="15" customHeight="1">
      <c r="F1351" s="306"/>
      <c r="G1351" s="301" t="s">
        <v>183</v>
      </c>
      <c r="H1351" s="302"/>
      <c r="I1351" s="307" t="s">
        <v>38</v>
      </c>
      <c r="J1351" s="308">
        <v>336</v>
      </c>
      <c r="K1351" s="328">
        <f t="shared" si="31"/>
        <v>1880</v>
      </c>
      <c r="L1351" s="310">
        <f t="shared" si="32"/>
        <v>631680</v>
      </c>
    </row>
    <row r="1352" spans="6:12" ht="15" customHeight="1">
      <c r="F1352" s="306"/>
      <c r="G1352" s="301" t="s">
        <v>1705</v>
      </c>
      <c r="H1352" s="302"/>
      <c r="I1352" s="307" t="s">
        <v>44</v>
      </c>
      <c r="J1352" s="308">
        <v>0.54</v>
      </c>
      <c r="K1352" s="328">
        <f t="shared" si="31"/>
        <v>350000</v>
      </c>
      <c r="L1352" s="310">
        <f t="shared" si="32"/>
        <v>189000</v>
      </c>
    </row>
    <row r="1353" spans="6:12" ht="15" customHeight="1" thickBot="1">
      <c r="F1353" s="306"/>
      <c r="G1353" s="301" t="s">
        <v>1703</v>
      </c>
      <c r="H1353" s="302"/>
      <c r="I1353" s="307" t="s">
        <v>44</v>
      </c>
      <c r="J1353" s="308">
        <v>0.81</v>
      </c>
      <c r="K1353" s="328">
        <f t="shared" si="31"/>
        <v>600000</v>
      </c>
      <c r="L1353" s="310">
        <f t="shared" si="32"/>
        <v>486000.00000000006</v>
      </c>
    </row>
    <row r="1354" spans="6:12" ht="15" customHeight="1" thickBot="1">
      <c r="F1354" s="316"/>
      <c r="G1354" s="317"/>
      <c r="H1354" s="318"/>
      <c r="I1354" s="318"/>
      <c r="J1354" s="319" t="s">
        <v>189</v>
      </c>
      <c r="K1354" s="320"/>
      <c r="L1354" s="321">
        <f>SUM(L1346:L1353)</f>
        <v>5376986</v>
      </c>
    </row>
    <row r="1355" spans="6:12" ht="15" customHeight="1" thickBot="1">
      <c r="F1355" s="300" t="s">
        <v>190</v>
      </c>
      <c r="G1355" s="301" t="s">
        <v>191</v>
      </c>
      <c r="H1355" s="302"/>
      <c r="I1355" s="302"/>
      <c r="J1355" s="351"/>
      <c r="K1355" s="328">
        <v>0</v>
      </c>
      <c r="L1355" s="310">
        <f>J1355*K1355</f>
        <v>0</v>
      </c>
    </row>
    <row r="1356" spans="6:12" ht="15" customHeight="1" thickBot="1">
      <c r="F1356" s="316"/>
      <c r="G1356" s="317"/>
      <c r="H1356" s="318"/>
      <c r="I1356" s="318"/>
      <c r="J1356" s="319" t="s">
        <v>192</v>
      </c>
      <c r="K1356" s="320"/>
      <c r="L1356" s="321">
        <f>L1355</f>
        <v>0</v>
      </c>
    </row>
    <row r="1357" spans="6:12" ht="15" customHeight="1">
      <c r="F1357" s="344" t="s">
        <v>193</v>
      </c>
      <c r="G1357" s="345" t="s">
        <v>194</v>
      </c>
      <c r="H1357" s="346"/>
      <c r="I1357" s="346"/>
      <c r="J1357" s="347"/>
      <c r="K1357" s="348">
        <v>0</v>
      </c>
      <c r="L1357" s="310">
        <f>SUM(L1336:L1356)/2</f>
        <v>6669891</v>
      </c>
    </row>
    <row r="1358" spans="6:12" ht="15" customHeight="1" thickBot="1">
      <c r="F1358" s="331" t="s">
        <v>195</v>
      </c>
      <c r="G1358" s="332" t="s">
        <v>196</v>
      </c>
      <c r="H1358" s="333"/>
      <c r="I1358" s="333"/>
      <c r="J1358" s="350">
        <v>0.1</v>
      </c>
      <c r="K1358" s="335"/>
      <c r="L1358" s="330">
        <f>J1358*L1357</f>
        <v>666989.10000000009</v>
      </c>
    </row>
    <row r="1359" spans="6:12" ht="15" customHeight="1" thickBot="1">
      <c r="F1359" s="340" t="s">
        <v>197</v>
      </c>
      <c r="G1359" s="341" t="s">
        <v>198</v>
      </c>
      <c r="H1359" s="318"/>
      <c r="I1359" s="318"/>
      <c r="J1359" s="342"/>
      <c r="K1359" s="320">
        <v>0</v>
      </c>
      <c r="L1359" s="321">
        <f>ROUNDDOWN(L1357+L1358,0)</f>
        <v>7336880</v>
      </c>
    </row>
    <row r="1360" spans="6:12" ht="15" customHeight="1">
      <c r="F1360" s="298"/>
      <c r="G1360" s="298"/>
      <c r="J1360" s="343"/>
      <c r="K1360" s="355"/>
      <c r="L1360" s="299"/>
    </row>
    <row r="1361" spans="5:13" ht="15" customHeight="1" thickBot="1">
      <c r="E1361" s="356" t="s">
        <v>418</v>
      </c>
      <c r="F1361" s="295" t="s">
        <v>419</v>
      </c>
      <c r="J1361" s="343"/>
      <c r="M1361" s="299">
        <f>L1388</f>
        <v>12055620</v>
      </c>
    </row>
    <row r="1362" spans="5:13" ht="15" customHeight="1" thickBot="1">
      <c r="F1362" s="340" t="s">
        <v>136</v>
      </c>
      <c r="G1362" s="341" t="s">
        <v>162</v>
      </c>
      <c r="H1362" s="352" t="s">
        <v>163</v>
      </c>
      <c r="I1362" s="352" t="s">
        <v>138</v>
      </c>
      <c r="J1362" s="353" t="s">
        <v>164</v>
      </c>
      <c r="K1362" s="341" t="s">
        <v>165</v>
      </c>
      <c r="L1362" s="354" t="s">
        <v>166</v>
      </c>
    </row>
    <row r="1363" spans="5:13" ht="15" customHeight="1">
      <c r="F1363" s="300" t="s">
        <v>167</v>
      </c>
      <c r="G1363" s="301" t="s">
        <v>168</v>
      </c>
      <c r="H1363" s="302"/>
      <c r="I1363" s="302"/>
      <c r="J1363" s="351"/>
      <c r="K1363" s="328"/>
      <c r="L1363" s="310"/>
    </row>
    <row r="1364" spans="5:13" ht="15" customHeight="1">
      <c r="F1364" s="306"/>
      <c r="G1364" s="301" t="s">
        <v>169</v>
      </c>
      <c r="H1364" s="307" t="s">
        <v>170</v>
      </c>
      <c r="I1364" s="307" t="s">
        <v>171</v>
      </c>
      <c r="J1364" s="308">
        <v>7.05</v>
      </c>
      <c r="K1364" s="309">
        <f t="shared" ref="K1364:K1369" si="33">VLOOKUP(G1364,Upah,8,FALSE)</f>
        <v>125000</v>
      </c>
      <c r="L1364" s="310">
        <f t="shared" ref="L1364:L1369" si="34">J1364*K1364</f>
        <v>881250</v>
      </c>
    </row>
    <row r="1365" spans="5:13" ht="15" customHeight="1">
      <c r="F1365" s="306"/>
      <c r="G1365" s="301" t="s">
        <v>216</v>
      </c>
      <c r="H1365" s="307" t="s">
        <v>217</v>
      </c>
      <c r="I1365" s="307" t="s">
        <v>171</v>
      </c>
      <c r="J1365" s="308">
        <v>0.27500000000000002</v>
      </c>
      <c r="K1365" s="309">
        <f t="shared" si="33"/>
        <v>150000</v>
      </c>
      <c r="L1365" s="310">
        <f t="shared" si="34"/>
        <v>41250</v>
      </c>
    </row>
    <row r="1366" spans="5:13" ht="15" customHeight="1">
      <c r="F1366" s="306"/>
      <c r="G1366" s="301" t="s">
        <v>413</v>
      </c>
      <c r="H1366" s="307" t="s">
        <v>173</v>
      </c>
      <c r="I1366" s="307" t="s">
        <v>171</v>
      </c>
      <c r="J1366" s="308">
        <v>1.65</v>
      </c>
      <c r="K1366" s="309">
        <f t="shared" si="33"/>
        <v>150000</v>
      </c>
      <c r="L1366" s="310">
        <f t="shared" si="34"/>
        <v>247500</v>
      </c>
    </row>
    <row r="1367" spans="5:13" ht="15" customHeight="1">
      <c r="F1367" s="306"/>
      <c r="G1367" s="301" t="s">
        <v>414</v>
      </c>
      <c r="H1367" s="307" t="s">
        <v>380</v>
      </c>
      <c r="I1367" s="307" t="s">
        <v>171</v>
      </c>
      <c r="J1367" s="308">
        <v>2.1</v>
      </c>
      <c r="K1367" s="309">
        <f t="shared" si="33"/>
        <v>150000</v>
      </c>
      <c r="L1367" s="310">
        <f t="shared" si="34"/>
        <v>315000</v>
      </c>
    </row>
    <row r="1368" spans="5:13" ht="15" customHeight="1">
      <c r="F1368" s="306"/>
      <c r="G1368" s="301" t="s">
        <v>232</v>
      </c>
      <c r="H1368" s="307" t="s">
        <v>175</v>
      </c>
      <c r="I1368" s="307" t="s">
        <v>171</v>
      </c>
      <c r="J1368" s="308">
        <v>0.40300000000000002</v>
      </c>
      <c r="K1368" s="309">
        <f t="shared" si="33"/>
        <v>165000</v>
      </c>
      <c r="L1368" s="310">
        <f t="shared" si="34"/>
        <v>66495</v>
      </c>
    </row>
    <row r="1369" spans="5:13" ht="15" customHeight="1" thickBot="1">
      <c r="F1369" s="306"/>
      <c r="G1369" s="301" t="s">
        <v>176</v>
      </c>
      <c r="H1369" s="307" t="s">
        <v>177</v>
      </c>
      <c r="I1369" s="307" t="s">
        <v>171</v>
      </c>
      <c r="J1369" s="308">
        <v>0.35299999999999998</v>
      </c>
      <c r="K1369" s="309">
        <f t="shared" si="33"/>
        <v>170000</v>
      </c>
      <c r="L1369" s="310">
        <f t="shared" si="34"/>
        <v>60010</v>
      </c>
    </row>
    <row r="1370" spans="5:13" ht="15" customHeight="1" thickBot="1">
      <c r="F1370" s="316"/>
      <c r="G1370" s="317"/>
      <c r="H1370" s="318"/>
      <c r="I1370" s="318"/>
      <c r="J1370" s="319" t="s">
        <v>178</v>
      </c>
      <c r="K1370" s="320"/>
      <c r="L1370" s="321">
        <f>SUM(L1364:L1369)</f>
        <v>1611505</v>
      </c>
    </row>
    <row r="1371" spans="5:13" ht="15" customHeight="1">
      <c r="F1371" s="300" t="s">
        <v>179</v>
      </c>
      <c r="G1371" s="301" t="s">
        <v>180</v>
      </c>
      <c r="H1371" s="302"/>
      <c r="I1371" s="302"/>
      <c r="J1371" s="351"/>
      <c r="K1371" s="328"/>
      <c r="L1371" s="310"/>
    </row>
    <row r="1372" spans="5:13" ht="15" customHeight="1">
      <c r="F1372" s="306"/>
      <c r="G1372" s="301" t="s">
        <v>388</v>
      </c>
      <c r="H1372" s="302"/>
      <c r="I1372" s="307" t="s">
        <v>44</v>
      </c>
      <c r="J1372" s="308">
        <v>0.4</v>
      </c>
      <c r="K1372" s="328">
        <f t="shared" ref="K1372:K1382" si="35">VLOOKUP(G1372,Bahan,6,FALSE)</f>
        <v>4500000</v>
      </c>
      <c r="L1372" s="310">
        <f t="shared" ref="L1372:L1382" si="36">J1372*K1372</f>
        <v>1800000</v>
      </c>
    </row>
    <row r="1373" spans="5:13" ht="15" customHeight="1">
      <c r="F1373" s="306"/>
      <c r="G1373" s="301" t="s">
        <v>415</v>
      </c>
      <c r="H1373" s="302"/>
      <c r="I1373" s="307" t="s">
        <v>38</v>
      </c>
      <c r="J1373" s="308">
        <v>4</v>
      </c>
      <c r="K1373" s="328">
        <f t="shared" si="35"/>
        <v>27970</v>
      </c>
      <c r="L1373" s="310">
        <f t="shared" si="36"/>
        <v>111880</v>
      </c>
    </row>
    <row r="1374" spans="5:13" ht="15" customHeight="1">
      <c r="F1374" s="306"/>
      <c r="G1374" s="301" t="s">
        <v>390</v>
      </c>
      <c r="H1374" s="302"/>
      <c r="I1374" s="307" t="s">
        <v>188</v>
      </c>
      <c r="J1374" s="308">
        <v>2</v>
      </c>
      <c r="K1374" s="328">
        <f t="shared" si="35"/>
        <v>7310</v>
      </c>
      <c r="L1374" s="310">
        <f t="shared" si="36"/>
        <v>14620</v>
      </c>
    </row>
    <row r="1375" spans="5:13" ht="15" customHeight="1">
      <c r="F1375" s="306"/>
      <c r="G1375" s="301" t="s">
        <v>327</v>
      </c>
      <c r="H1375" s="302"/>
      <c r="I1375" s="307" t="s">
        <v>38</v>
      </c>
      <c r="J1375" s="308">
        <v>315</v>
      </c>
      <c r="K1375" s="328">
        <f t="shared" si="35"/>
        <v>12920</v>
      </c>
      <c r="L1375" s="310">
        <f t="shared" si="36"/>
        <v>4069800</v>
      </c>
    </row>
    <row r="1376" spans="5:13" ht="15" customHeight="1">
      <c r="F1376" s="306"/>
      <c r="G1376" s="301" t="s">
        <v>328</v>
      </c>
      <c r="H1376" s="302"/>
      <c r="I1376" s="307" t="s">
        <v>38</v>
      </c>
      <c r="J1376" s="308">
        <v>4.5</v>
      </c>
      <c r="K1376" s="328">
        <f t="shared" si="35"/>
        <v>27260</v>
      </c>
      <c r="L1376" s="310">
        <f t="shared" si="36"/>
        <v>122670</v>
      </c>
    </row>
    <row r="1377" spans="5:13" ht="15" customHeight="1">
      <c r="F1377" s="306"/>
      <c r="G1377" s="301" t="s">
        <v>183</v>
      </c>
      <c r="H1377" s="302"/>
      <c r="I1377" s="307" t="s">
        <v>38</v>
      </c>
      <c r="J1377" s="308">
        <v>336</v>
      </c>
      <c r="K1377" s="328">
        <f t="shared" si="35"/>
        <v>1880</v>
      </c>
      <c r="L1377" s="310">
        <f t="shared" si="36"/>
        <v>631680</v>
      </c>
    </row>
    <row r="1378" spans="5:13" ht="15" customHeight="1">
      <c r="F1378" s="306"/>
      <c r="G1378" s="301" t="s">
        <v>1705</v>
      </c>
      <c r="H1378" s="302"/>
      <c r="I1378" s="307" t="s">
        <v>44</v>
      </c>
      <c r="J1378" s="308">
        <v>0.54</v>
      </c>
      <c r="K1378" s="328">
        <f t="shared" si="35"/>
        <v>350000</v>
      </c>
      <c r="L1378" s="310">
        <f t="shared" si="36"/>
        <v>189000</v>
      </c>
    </row>
    <row r="1379" spans="5:13" ht="15" customHeight="1">
      <c r="F1379" s="306"/>
      <c r="G1379" s="301" t="s">
        <v>1703</v>
      </c>
      <c r="H1379" s="302"/>
      <c r="I1379" s="307" t="s">
        <v>44</v>
      </c>
      <c r="J1379" s="308">
        <v>0.81</v>
      </c>
      <c r="K1379" s="328">
        <f t="shared" si="35"/>
        <v>600000</v>
      </c>
      <c r="L1379" s="310">
        <f t="shared" si="36"/>
        <v>486000.00000000006</v>
      </c>
    </row>
    <row r="1380" spans="5:13" ht="15" customHeight="1">
      <c r="F1380" s="306"/>
      <c r="G1380" s="301" t="s">
        <v>420</v>
      </c>
      <c r="H1380" s="302"/>
      <c r="I1380" s="307" t="s">
        <v>292</v>
      </c>
      <c r="J1380" s="308">
        <v>0.15</v>
      </c>
      <c r="K1380" s="328">
        <f t="shared" si="35"/>
        <v>5500000</v>
      </c>
      <c r="L1380" s="310">
        <f t="shared" si="36"/>
        <v>825000</v>
      </c>
    </row>
    <row r="1381" spans="5:13" ht="15" customHeight="1">
      <c r="F1381" s="306"/>
      <c r="G1381" s="301" t="s">
        <v>397</v>
      </c>
      <c r="H1381" s="302"/>
      <c r="I1381" s="307" t="s">
        <v>202</v>
      </c>
      <c r="J1381" s="308">
        <v>3.5</v>
      </c>
      <c r="K1381" s="328">
        <f t="shared" si="35"/>
        <v>135000</v>
      </c>
      <c r="L1381" s="310">
        <f t="shared" si="36"/>
        <v>472500</v>
      </c>
    </row>
    <row r="1382" spans="5:13" ht="15" customHeight="1" thickBot="1">
      <c r="F1382" s="306"/>
      <c r="G1382" s="301" t="s">
        <v>181</v>
      </c>
      <c r="H1382" s="302"/>
      <c r="I1382" s="307" t="s">
        <v>182</v>
      </c>
      <c r="J1382" s="351">
        <v>20</v>
      </c>
      <c r="K1382" s="328">
        <f t="shared" si="35"/>
        <v>31250</v>
      </c>
      <c r="L1382" s="310">
        <f t="shared" si="36"/>
        <v>625000</v>
      </c>
    </row>
    <row r="1383" spans="5:13" ht="15" customHeight="1" thickBot="1">
      <c r="F1383" s="316"/>
      <c r="G1383" s="317"/>
      <c r="H1383" s="318"/>
      <c r="I1383" s="318"/>
      <c r="J1383" s="319" t="s">
        <v>189</v>
      </c>
      <c r="K1383" s="320"/>
      <c r="L1383" s="321">
        <f>SUM(L1372:L1382)</f>
        <v>9348150</v>
      </c>
    </row>
    <row r="1384" spans="5:13" ht="15" customHeight="1" thickBot="1">
      <c r="F1384" s="300" t="s">
        <v>190</v>
      </c>
      <c r="G1384" s="301" t="s">
        <v>191</v>
      </c>
      <c r="H1384" s="302"/>
      <c r="I1384" s="302"/>
      <c r="J1384" s="351"/>
      <c r="K1384" s="328">
        <v>0</v>
      </c>
      <c r="L1384" s="310">
        <f>J1384*K1384</f>
        <v>0</v>
      </c>
    </row>
    <row r="1385" spans="5:13" ht="15" customHeight="1" thickBot="1">
      <c r="F1385" s="316"/>
      <c r="G1385" s="317"/>
      <c r="H1385" s="318"/>
      <c r="I1385" s="318"/>
      <c r="J1385" s="319" t="s">
        <v>192</v>
      </c>
      <c r="K1385" s="320"/>
      <c r="L1385" s="321">
        <f>L1384</f>
        <v>0</v>
      </c>
    </row>
    <row r="1386" spans="5:13" ht="15" customHeight="1">
      <c r="F1386" s="344" t="s">
        <v>193</v>
      </c>
      <c r="G1386" s="345" t="s">
        <v>194</v>
      </c>
      <c r="H1386" s="346"/>
      <c r="I1386" s="346"/>
      <c r="J1386" s="347"/>
      <c r="K1386" s="348">
        <v>0</v>
      </c>
      <c r="L1386" s="310">
        <f>SUM(L1363:L1385)/2</f>
        <v>10959655</v>
      </c>
    </row>
    <row r="1387" spans="5:13" ht="15" customHeight="1" thickBot="1">
      <c r="F1387" s="331" t="s">
        <v>195</v>
      </c>
      <c r="G1387" s="332" t="s">
        <v>196</v>
      </c>
      <c r="H1387" s="333"/>
      <c r="I1387" s="333"/>
      <c r="J1387" s="350">
        <v>0.1</v>
      </c>
      <c r="K1387" s="335"/>
      <c r="L1387" s="330">
        <f>J1387*L1386</f>
        <v>1095965.5</v>
      </c>
    </row>
    <row r="1388" spans="5:13" ht="15" customHeight="1" thickBot="1">
      <c r="F1388" s="340" t="s">
        <v>197</v>
      </c>
      <c r="G1388" s="341" t="s">
        <v>198</v>
      </c>
      <c r="H1388" s="318"/>
      <c r="I1388" s="318"/>
      <c r="J1388" s="342"/>
      <c r="K1388" s="320">
        <v>0</v>
      </c>
      <c r="L1388" s="321">
        <f>ROUNDDOWN(L1386+L1387,0)</f>
        <v>12055620</v>
      </c>
    </row>
    <row r="1389" spans="5:13" ht="15" customHeight="1">
      <c r="F1389" s="298"/>
      <c r="G1389" s="298"/>
      <c r="J1389" s="343"/>
      <c r="K1389" s="355"/>
      <c r="L1389" s="299"/>
    </row>
    <row r="1390" spans="5:13" ht="15" customHeight="1" thickBot="1">
      <c r="E1390" s="356" t="s">
        <v>421</v>
      </c>
      <c r="F1390" s="295" t="s">
        <v>422</v>
      </c>
      <c r="J1390" s="343"/>
      <c r="M1390" s="299">
        <f>L1417</f>
        <v>9561601</v>
      </c>
    </row>
    <row r="1391" spans="5:13" ht="15" customHeight="1" thickBot="1">
      <c r="F1391" s="340" t="s">
        <v>136</v>
      </c>
      <c r="G1391" s="341" t="s">
        <v>162</v>
      </c>
      <c r="H1391" s="352" t="s">
        <v>163</v>
      </c>
      <c r="I1391" s="352" t="s">
        <v>138</v>
      </c>
      <c r="J1391" s="353" t="s">
        <v>164</v>
      </c>
      <c r="K1391" s="341" t="s">
        <v>165</v>
      </c>
      <c r="L1391" s="354" t="s">
        <v>166</v>
      </c>
    </row>
    <row r="1392" spans="5:13" ht="15" customHeight="1">
      <c r="F1392" s="300" t="s">
        <v>167</v>
      </c>
      <c r="G1392" s="301" t="s">
        <v>168</v>
      </c>
      <c r="H1392" s="302"/>
      <c r="I1392" s="302"/>
      <c r="J1392" s="351"/>
      <c r="K1392" s="328"/>
      <c r="L1392" s="310"/>
    </row>
    <row r="1393" spans="6:12" ht="15" customHeight="1">
      <c r="F1393" s="306"/>
      <c r="G1393" s="301" t="s">
        <v>169</v>
      </c>
      <c r="H1393" s="307" t="s">
        <v>170</v>
      </c>
      <c r="I1393" s="307" t="s">
        <v>171</v>
      </c>
      <c r="J1393" s="308">
        <v>6.35</v>
      </c>
      <c r="K1393" s="309">
        <f t="shared" ref="K1393:K1398" si="37">VLOOKUP(G1393,Upah,8,FALSE)</f>
        <v>125000</v>
      </c>
      <c r="L1393" s="310">
        <f t="shared" ref="L1393:L1398" si="38">J1393*K1393</f>
        <v>793750</v>
      </c>
    </row>
    <row r="1394" spans="6:12" ht="15" customHeight="1">
      <c r="F1394" s="306"/>
      <c r="G1394" s="301" t="s">
        <v>216</v>
      </c>
      <c r="H1394" s="307" t="s">
        <v>217</v>
      </c>
      <c r="I1394" s="307" t="s">
        <v>171</v>
      </c>
      <c r="J1394" s="308">
        <v>0.27500000000000002</v>
      </c>
      <c r="K1394" s="309">
        <f t="shared" si="37"/>
        <v>150000</v>
      </c>
      <c r="L1394" s="310">
        <f t="shared" si="38"/>
        <v>41250</v>
      </c>
    </row>
    <row r="1395" spans="6:12" ht="15" customHeight="1">
      <c r="F1395" s="306"/>
      <c r="G1395" s="301" t="s">
        <v>413</v>
      </c>
      <c r="H1395" s="307" t="s">
        <v>173</v>
      </c>
      <c r="I1395" s="307" t="s">
        <v>171</v>
      </c>
      <c r="J1395" s="308">
        <v>1.65</v>
      </c>
      <c r="K1395" s="309">
        <f t="shared" si="37"/>
        <v>150000</v>
      </c>
      <c r="L1395" s="310">
        <f t="shared" si="38"/>
        <v>247500</v>
      </c>
    </row>
    <row r="1396" spans="6:12" ht="15" customHeight="1">
      <c r="F1396" s="306"/>
      <c r="G1396" s="301" t="s">
        <v>414</v>
      </c>
      <c r="H1396" s="307" t="s">
        <v>380</v>
      </c>
      <c r="I1396" s="307" t="s">
        <v>171</v>
      </c>
      <c r="J1396" s="308">
        <v>1.4</v>
      </c>
      <c r="K1396" s="309">
        <f t="shared" si="37"/>
        <v>150000</v>
      </c>
      <c r="L1396" s="310">
        <f t="shared" si="38"/>
        <v>210000</v>
      </c>
    </row>
    <row r="1397" spans="6:12" ht="15" customHeight="1">
      <c r="F1397" s="306"/>
      <c r="G1397" s="301" t="s">
        <v>232</v>
      </c>
      <c r="H1397" s="307" t="s">
        <v>175</v>
      </c>
      <c r="I1397" s="307" t="s">
        <v>171</v>
      </c>
      <c r="J1397" s="308">
        <v>0.33300000000000002</v>
      </c>
      <c r="K1397" s="309">
        <f t="shared" si="37"/>
        <v>165000</v>
      </c>
      <c r="L1397" s="310">
        <f t="shared" si="38"/>
        <v>54945</v>
      </c>
    </row>
    <row r="1398" spans="6:12" ht="15" customHeight="1" thickBot="1">
      <c r="F1398" s="306"/>
      <c r="G1398" s="301" t="s">
        <v>176</v>
      </c>
      <c r="H1398" s="307" t="s">
        <v>177</v>
      </c>
      <c r="I1398" s="307" t="s">
        <v>171</v>
      </c>
      <c r="J1398" s="308">
        <v>0.318</v>
      </c>
      <c r="K1398" s="309">
        <f t="shared" si="37"/>
        <v>170000</v>
      </c>
      <c r="L1398" s="310">
        <f t="shared" si="38"/>
        <v>54060</v>
      </c>
    </row>
    <row r="1399" spans="6:12" ht="15" customHeight="1" thickBot="1">
      <c r="F1399" s="316"/>
      <c r="G1399" s="317"/>
      <c r="H1399" s="318"/>
      <c r="I1399" s="318"/>
      <c r="J1399" s="319" t="s">
        <v>178</v>
      </c>
      <c r="K1399" s="320"/>
      <c r="L1399" s="321">
        <f>SUM(L1393:L1398)</f>
        <v>1401505</v>
      </c>
    </row>
    <row r="1400" spans="6:12" ht="15" customHeight="1">
      <c r="F1400" s="300" t="s">
        <v>179</v>
      </c>
      <c r="G1400" s="301" t="s">
        <v>180</v>
      </c>
      <c r="H1400" s="302"/>
      <c r="I1400" s="302"/>
      <c r="J1400" s="351"/>
      <c r="K1400" s="328"/>
      <c r="L1400" s="310"/>
    </row>
    <row r="1401" spans="6:12" ht="15" customHeight="1">
      <c r="F1401" s="306"/>
      <c r="G1401" s="301" t="s">
        <v>388</v>
      </c>
      <c r="H1401" s="302"/>
      <c r="I1401" s="307" t="s">
        <v>44</v>
      </c>
      <c r="J1401" s="308">
        <v>0.32</v>
      </c>
      <c r="K1401" s="328">
        <f t="shared" ref="K1401:K1411" si="39">VLOOKUP(G1401,Bahan,6,FALSE)</f>
        <v>4500000</v>
      </c>
      <c r="L1401" s="310">
        <f t="shared" ref="L1401:L1411" si="40">J1401*K1401</f>
        <v>1440000</v>
      </c>
    </row>
    <row r="1402" spans="6:12" ht="15" customHeight="1">
      <c r="F1402" s="306"/>
      <c r="G1402" s="301" t="s">
        <v>415</v>
      </c>
      <c r="H1402" s="302"/>
      <c r="I1402" s="307" t="s">
        <v>38</v>
      </c>
      <c r="J1402" s="308">
        <v>3.2</v>
      </c>
      <c r="K1402" s="328">
        <f t="shared" si="39"/>
        <v>27970</v>
      </c>
      <c r="L1402" s="310">
        <f t="shared" si="40"/>
        <v>89504</v>
      </c>
    </row>
    <row r="1403" spans="6:12" ht="15" customHeight="1">
      <c r="F1403" s="306"/>
      <c r="G1403" s="301" t="s">
        <v>390</v>
      </c>
      <c r="H1403" s="302"/>
      <c r="I1403" s="307" t="s">
        <v>188</v>
      </c>
      <c r="J1403" s="308">
        <v>1.6</v>
      </c>
      <c r="K1403" s="328">
        <f t="shared" si="39"/>
        <v>7310</v>
      </c>
      <c r="L1403" s="310">
        <f t="shared" si="40"/>
        <v>11696</v>
      </c>
    </row>
    <row r="1404" spans="6:12" ht="15" customHeight="1">
      <c r="F1404" s="306"/>
      <c r="G1404" s="301" t="s">
        <v>327</v>
      </c>
      <c r="H1404" s="302"/>
      <c r="I1404" s="307" t="s">
        <v>38</v>
      </c>
      <c r="J1404" s="308">
        <v>210</v>
      </c>
      <c r="K1404" s="328">
        <f t="shared" si="39"/>
        <v>12920</v>
      </c>
      <c r="L1404" s="310">
        <f t="shared" si="40"/>
        <v>2713200</v>
      </c>
    </row>
    <row r="1405" spans="6:12" ht="15" customHeight="1">
      <c r="F1405" s="306"/>
      <c r="G1405" s="301" t="s">
        <v>328</v>
      </c>
      <c r="H1405" s="302"/>
      <c r="I1405" s="307" t="s">
        <v>38</v>
      </c>
      <c r="J1405" s="308">
        <v>3</v>
      </c>
      <c r="K1405" s="328">
        <f t="shared" si="39"/>
        <v>27260</v>
      </c>
      <c r="L1405" s="310">
        <f t="shared" si="40"/>
        <v>81780</v>
      </c>
    </row>
    <row r="1406" spans="6:12" ht="15" customHeight="1">
      <c r="F1406" s="306"/>
      <c r="G1406" s="301" t="s">
        <v>183</v>
      </c>
      <c r="H1406" s="302"/>
      <c r="I1406" s="307" t="s">
        <v>38</v>
      </c>
      <c r="J1406" s="308">
        <v>336</v>
      </c>
      <c r="K1406" s="328">
        <f t="shared" si="39"/>
        <v>1880</v>
      </c>
      <c r="L1406" s="310">
        <f t="shared" si="40"/>
        <v>631680</v>
      </c>
    </row>
    <row r="1407" spans="6:12" ht="15" customHeight="1">
      <c r="F1407" s="306"/>
      <c r="G1407" s="301" t="s">
        <v>1705</v>
      </c>
      <c r="H1407" s="302"/>
      <c r="I1407" s="307" t="s">
        <v>44</v>
      </c>
      <c r="J1407" s="308">
        <v>0.54</v>
      </c>
      <c r="K1407" s="328">
        <f t="shared" si="39"/>
        <v>350000</v>
      </c>
      <c r="L1407" s="310">
        <f t="shared" si="40"/>
        <v>189000</v>
      </c>
    </row>
    <row r="1408" spans="6:12" ht="15" customHeight="1">
      <c r="F1408" s="306"/>
      <c r="G1408" s="301" t="s">
        <v>1703</v>
      </c>
      <c r="H1408" s="302"/>
      <c r="I1408" s="307" t="s">
        <v>44</v>
      </c>
      <c r="J1408" s="308">
        <v>0.81</v>
      </c>
      <c r="K1408" s="328">
        <f t="shared" si="39"/>
        <v>600000</v>
      </c>
      <c r="L1408" s="310">
        <f t="shared" si="40"/>
        <v>486000.00000000006</v>
      </c>
    </row>
    <row r="1409" spans="5:13" ht="15" customHeight="1">
      <c r="F1409" s="306"/>
      <c r="G1409" s="301" t="s">
        <v>420</v>
      </c>
      <c r="H1409" s="302"/>
      <c r="I1409" s="307" t="s">
        <v>44</v>
      </c>
      <c r="J1409" s="308">
        <v>0.14000000000000001</v>
      </c>
      <c r="K1409" s="328">
        <f t="shared" si="39"/>
        <v>5500000</v>
      </c>
      <c r="L1409" s="310">
        <f t="shared" si="40"/>
        <v>770000.00000000012</v>
      </c>
    </row>
    <row r="1410" spans="5:13" ht="15" customHeight="1">
      <c r="F1410" s="306"/>
      <c r="G1410" s="301" t="s">
        <v>397</v>
      </c>
      <c r="H1410" s="302"/>
      <c r="I1410" s="307" t="s">
        <v>423</v>
      </c>
      <c r="J1410" s="308">
        <v>2.8</v>
      </c>
      <c r="K1410" s="328">
        <f t="shared" si="39"/>
        <v>135000</v>
      </c>
      <c r="L1410" s="310">
        <f t="shared" si="40"/>
        <v>378000</v>
      </c>
    </row>
    <row r="1411" spans="5:13" ht="15" customHeight="1" thickBot="1">
      <c r="F1411" s="306"/>
      <c r="G1411" s="301" t="s">
        <v>181</v>
      </c>
      <c r="H1411" s="302"/>
      <c r="I1411" s="307" t="s">
        <v>182</v>
      </c>
      <c r="J1411" s="308">
        <v>16</v>
      </c>
      <c r="K1411" s="328">
        <f t="shared" si="39"/>
        <v>31250</v>
      </c>
      <c r="L1411" s="310">
        <f t="shared" si="40"/>
        <v>500000</v>
      </c>
    </row>
    <row r="1412" spans="5:13" ht="15" customHeight="1" thickBot="1">
      <c r="F1412" s="316"/>
      <c r="G1412" s="317"/>
      <c r="H1412" s="318"/>
      <c r="I1412" s="318"/>
      <c r="J1412" s="319" t="s">
        <v>189</v>
      </c>
      <c r="K1412" s="320"/>
      <c r="L1412" s="321">
        <f>SUM(L1401:L1411)</f>
        <v>7290860</v>
      </c>
    </row>
    <row r="1413" spans="5:13" ht="15" customHeight="1" thickBot="1">
      <c r="F1413" s="300" t="s">
        <v>190</v>
      </c>
      <c r="G1413" s="301" t="s">
        <v>191</v>
      </c>
      <c r="H1413" s="302"/>
      <c r="I1413" s="302"/>
      <c r="J1413" s="351"/>
      <c r="K1413" s="328">
        <v>0</v>
      </c>
      <c r="L1413" s="310">
        <f>J1413*K1413</f>
        <v>0</v>
      </c>
    </row>
    <row r="1414" spans="5:13" ht="15" customHeight="1" thickBot="1">
      <c r="F1414" s="316"/>
      <c r="G1414" s="317"/>
      <c r="H1414" s="318"/>
      <c r="I1414" s="318"/>
      <c r="J1414" s="319" t="s">
        <v>192</v>
      </c>
      <c r="K1414" s="320"/>
      <c r="L1414" s="321">
        <f>L1413</f>
        <v>0</v>
      </c>
    </row>
    <row r="1415" spans="5:13" ht="15" customHeight="1">
      <c r="F1415" s="344" t="s">
        <v>193</v>
      </c>
      <c r="G1415" s="345" t="s">
        <v>194</v>
      </c>
      <c r="H1415" s="346"/>
      <c r="I1415" s="346"/>
      <c r="J1415" s="347"/>
      <c r="K1415" s="348">
        <v>0</v>
      </c>
      <c r="L1415" s="310">
        <f>SUM(L1392:L1414)/2</f>
        <v>8692365</v>
      </c>
    </row>
    <row r="1416" spans="5:13" ht="15" customHeight="1" thickBot="1">
      <c r="F1416" s="331" t="s">
        <v>195</v>
      </c>
      <c r="G1416" s="332" t="s">
        <v>196</v>
      </c>
      <c r="H1416" s="333"/>
      <c r="I1416" s="333"/>
      <c r="J1416" s="350">
        <v>0.1</v>
      </c>
      <c r="K1416" s="335"/>
      <c r="L1416" s="330">
        <f>J1416*L1415</f>
        <v>869236.5</v>
      </c>
    </row>
    <row r="1417" spans="5:13" ht="15" customHeight="1" thickBot="1">
      <c r="F1417" s="340" t="s">
        <v>197</v>
      </c>
      <c r="G1417" s="341" t="s">
        <v>198</v>
      </c>
      <c r="H1417" s="318"/>
      <c r="I1417" s="318"/>
      <c r="J1417" s="342"/>
      <c r="K1417" s="320">
        <v>0</v>
      </c>
      <c r="L1417" s="321">
        <f>ROUNDDOWN(L1415+L1416,0)</f>
        <v>9561601</v>
      </c>
    </row>
    <row r="1418" spans="5:13" ht="15" customHeight="1">
      <c r="F1418" s="298"/>
      <c r="G1418" s="298"/>
      <c r="J1418" s="343"/>
      <c r="K1418" s="355"/>
      <c r="L1418" s="299"/>
    </row>
    <row r="1419" spans="5:13" ht="15" customHeight="1" thickBot="1">
      <c r="E1419" s="356" t="s">
        <v>424</v>
      </c>
      <c r="F1419" s="295" t="s">
        <v>425</v>
      </c>
      <c r="J1419" s="343"/>
      <c r="M1419" s="299">
        <f>L1446</f>
        <v>8939854</v>
      </c>
    </row>
    <row r="1420" spans="5:13" ht="15" customHeight="1" thickBot="1">
      <c r="F1420" s="340" t="s">
        <v>136</v>
      </c>
      <c r="G1420" s="341" t="s">
        <v>162</v>
      </c>
      <c r="H1420" s="352" t="s">
        <v>163</v>
      </c>
      <c r="I1420" s="352" t="s">
        <v>138</v>
      </c>
      <c r="J1420" s="353" t="s">
        <v>164</v>
      </c>
      <c r="K1420" s="341" t="s">
        <v>165</v>
      </c>
      <c r="L1420" s="354" t="s">
        <v>166</v>
      </c>
    </row>
    <row r="1421" spans="5:13" ht="15" customHeight="1">
      <c r="F1421" s="300" t="s">
        <v>167</v>
      </c>
      <c r="G1421" s="301" t="s">
        <v>168</v>
      </c>
      <c r="H1421" s="302"/>
      <c r="I1421" s="302"/>
      <c r="J1421" s="351"/>
      <c r="K1421" s="328"/>
      <c r="L1421" s="310"/>
    </row>
    <row r="1422" spans="5:13" ht="15" customHeight="1">
      <c r="F1422" s="306"/>
      <c r="G1422" s="301" t="s">
        <v>169</v>
      </c>
      <c r="H1422" s="307" t="s">
        <v>170</v>
      </c>
      <c r="I1422" s="307" t="s">
        <v>171</v>
      </c>
      <c r="J1422" s="308">
        <v>5.3</v>
      </c>
      <c r="K1422" s="309">
        <f t="shared" ref="K1422:K1427" si="41">VLOOKUP(G1422,Upah,8,FALSE)</f>
        <v>125000</v>
      </c>
      <c r="L1422" s="310">
        <f t="shared" ref="L1422:L1427" si="42">J1422*K1422</f>
        <v>662500</v>
      </c>
    </row>
    <row r="1423" spans="5:13" ht="15" customHeight="1">
      <c r="F1423" s="306"/>
      <c r="G1423" s="301" t="s">
        <v>216</v>
      </c>
      <c r="H1423" s="307" t="s">
        <v>217</v>
      </c>
      <c r="I1423" s="307" t="s">
        <v>171</v>
      </c>
      <c r="J1423" s="308">
        <v>0.27500000000000002</v>
      </c>
      <c r="K1423" s="309">
        <f t="shared" si="41"/>
        <v>150000</v>
      </c>
      <c r="L1423" s="310">
        <f t="shared" si="42"/>
        <v>41250</v>
      </c>
    </row>
    <row r="1424" spans="5:13" ht="15" customHeight="1">
      <c r="F1424" s="306"/>
      <c r="G1424" s="301" t="s">
        <v>413</v>
      </c>
      <c r="H1424" s="307" t="s">
        <v>173</v>
      </c>
      <c r="I1424" s="307" t="s">
        <v>171</v>
      </c>
      <c r="J1424" s="308">
        <v>1.3</v>
      </c>
      <c r="K1424" s="309">
        <f t="shared" si="41"/>
        <v>150000</v>
      </c>
      <c r="L1424" s="310">
        <f t="shared" si="42"/>
        <v>195000</v>
      </c>
    </row>
    <row r="1425" spans="6:12" ht="15" customHeight="1">
      <c r="F1425" s="306"/>
      <c r="G1425" s="301" t="s">
        <v>414</v>
      </c>
      <c r="H1425" s="307" t="s">
        <v>380</v>
      </c>
      <c r="I1425" s="307" t="s">
        <v>171</v>
      </c>
      <c r="J1425" s="308">
        <v>1.05</v>
      </c>
      <c r="K1425" s="309">
        <f t="shared" si="41"/>
        <v>150000</v>
      </c>
      <c r="L1425" s="310">
        <f t="shared" si="42"/>
        <v>157500</v>
      </c>
    </row>
    <row r="1426" spans="6:12" ht="15" customHeight="1">
      <c r="F1426" s="306"/>
      <c r="G1426" s="301" t="s">
        <v>232</v>
      </c>
      <c r="H1426" s="307" t="s">
        <v>175</v>
      </c>
      <c r="I1426" s="307" t="s">
        <v>171</v>
      </c>
      <c r="J1426" s="308">
        <v>0.26500000000000001</v>
      </c>
      <c r="K1426" s="309">
        <f t="shared" si="41"/>
        <v>165000</v>
      </c>
      <c r="L1426" s="310">
        <f t="shared" si="42"/>
        <v>43725</v>
      </c>
    </row>
    <row r="1427" spans="6:12" ht="15" customHeight="1" thickBot="1">
      <c r="F1427" s="306"/>
      <c r="G1427" s="301" t="s">
        <v>176</v>
      </c>
      <c r="H1427" s="307" t="s">
        <v>177</v>
      </c>
      <c r="I1427" s="307" t="s">
        <v>171</v>
      </c>
      <c r="J1427" s="308">
        <v>0.26500000000000001</v>
      </c>
      <c r="K1427" s="309">
        <f t="shared" si="41"/>
        <v>170000</v>
      </c>
      <c r="L1427" s="310">
        <f t="shared" si="42"/>
        <v>45050</v>
      </c>
    </row>
    <row r="1428" spans="6:12" ht="15" customHeight="1" thickBot="1">
      <c r="F1428" s="316"/>
      <c r="G1428" s="317"/>
      <c r="H1428" s="318"/>
      <c r="I1428" s="318"/>
      <c r="J1428" s="319" t="s">
        <v>178</v>
      </c>
      <c r="K1428" s="320"/>
      <c r="L1428" s="321">
        <f>SUM(L1422:L1427)</f>
        <v>1145025</v>
      </c>
    </row>
    <row r="1429" spans="6:12" ht="15" customHeight="1">
      <c r="F1429" s="300" t="s">
        <v>179</v>
      </c>
      <c r="G1429" s="301" t="s">
        <v>180</v>
      </c>
      <c r="H1429" s="302"/>
      <c r="I1429" s="302"/>
      <c r="J1429" s="351"/>
      <c r="K1429" s="328"/>
      <c r="L1429" s="310"/>
    </row>
    <row r="1430" spans="6:12" ht="15" customHeight="1">
      <c r="F1430" s="306"/>
      <c r="G1430" s="301" t="s">
        <v>388</v>
      </c>
      <c r="H1430" s="302"/>
      <c r="I1430" s="307" t="s">
        <v>44</v>
      </c>
      <c r="J1430" s="308">
        <v>0.32</v>
      </c>
      <c r="K1430" s="328">
        <f t="shared" ref="K1430:K1440" si="43">VLOOKUP(G1430,Bahan,6,FALSE)</f>
        <v>4500000</v>
      </c>
      <c r="L1430" s="310">
        <f t="shared" ref="L1430:L1440" si="44">J1430*K1430</f>
        <v>1440000</v>
      </c>
    </row>
    <row r="1431" spans="6:12" ht="15" customHeight="1">
      <c r="F1431" s="306"/>
      <c r="G1431" s="301" t="s">
        <v>415</v>
      </c>
      <c r="H1431" s="302"/>
      <c r="I1431" s="307" t="s">
        <v>38</v>
      </c>
      <c r="J1431" s="308">
        <v>3.2</v>
      </c>
      <c r="K1431" s="328">
        <f t="shared" si="43"/>
        <v>27970</v>
      </c>
      <c r="L1431" s="310">
        <f t="shared" si="44"/>
        <v>89504</v>
      </c>
    </row>
    <row r="1432" spans="6:12" ht="15" customHeight="1">
      <c r="F1432" s="306"/>
      <c r="G1432" s="301" t="s">
        <v>390</v>
      </c>
      <c r="H1432" s="302"/>
      <c r="I1432" s="307" t="s">
        <v>188</v>
      </c>
      <c r="J1432" s="308">
        <v>1.6</v>
      </c>
      <c r="K1432" s="328">
        <f t="shared" si="43"/>
        <v>7310</v>
      </c>
      <c r="L1432" s="310">
        <f t="shared" si="44"/>
        <v>11696</v>
      </c>
    </row>
    <row r="1433" spans="6:12" ht="15" customHeight="1">
      <c r="F1433" s="306"/>
      <c r="G1433" s="301" t="s">
        <v>327</v>
      </c>
      <c r="H1433" s="302"/>
      <c r="I1433" s="307" t="s">
        <v>38</v>
      </c>
      <c r="J1433" s="308">
        <v>157.5</v>
      </c>
      <c r="K1433" s="328">
        <f t="shared" si="43"/>
        <v>12920</v>
      </c>
      <c r="L1433" s="310">
        <f t="shared" si="44"/>
        <v>2034900</v>
      </c>
    </row>
    <row r="1434" spans="6:12" ht="15" customHeight="1">
      <c r="F1434" s="306"/>
      <c r="G1434" s="301" t="s">
        <v>328</v>
      </c>
      <c r="H1434" s="302"/>
      <c r="I1434" s="307" t="s">
        <v>38</v>
      </c>
      <c r="J1434" s="308">
        <v>2.25</v>
      </c>
      <c r="K1434" s="328">
        <f t="shared" si="43"/>
        <v>27260</v>
      </c>
      <c r="L1434" s="310">
        <f t="shared" si="44"/>
        <v>61335</v>
      </c>
    </row>
    <row r="1435" spans="6:12" ht="15" customHeight="1">
      <c r="F1435" s="306"/>
      <c r="G1435" s="301" t="s">
        <v>183</v>
      </c>
      <c r="H1435" s="302"/>
      <c r="I1435" s="307" t="s">
        <v>38</v>
      </c>
      <c r="J1435" s="308">
        <v>336</v>
      </c>
      <c r="K1435" s="328">
        <f t="shared" si="43"/>
        <v>1880</v>
      </c>
      <c r="L1435" s="310">
        <f t="shared" si="44"/>
        <v>631680</v>
      </c>
    </row>
    <row r="1436" spans="6:12" ht="15" customHeight="1">
      <c r="F1436" s="306"/>
      <c r="G1436" s="301" t="s">
        <v>1705</v>
      </c>
      <c r="H1436" s="302"/>
      <c r="I1436" s="307" t="s">
        <v>44</v>
      </c>
      <c r="J1436" s="308">
        <v>0.54</v>
      </c>
      <c r="K1436" s="328">
        <f t="shared" si="43"/>
        <v>350000</v>
      </c>
      <c r="L1436" s="310">
        <f t="shared" si="44"/>
        <v>189000</v>
      </c>
    </row>
    <row r="1437" spans="6:12" ht="15" customHeight="1">
      <c r="F1437" s="306"/>
      <c r="G1437" s="301" t="s">
        <v>1703</v>
      </c>
      <c r="H1437" s="302"/>
      <c r="I1437" s="307" t="s">
        <v>44</v>
      </c>
      <c r="J1437" s="308">
        <v>0.81</v>
      </c>
      <c r="K1437" s="328">
        <f t="shared" si="43"/>
        <v>600000</v>
      </c>
      <c r="L1437" s="310">
        <f t="shared" si="44"/>
        <v>486000.00000000006</v>
      </c>
    </row>
    <row r="1438" spans="6:12" ht="15" customHeight="1">
      <c r="F1438" s="306"/>
      <c r="G1438" s="301" t="s">
        <v>420</v>
      </c>
      <c r="H1438" s="302"/>
      <c r="I1438" s="307" t="s">
        <v>44</v>
      </c>
      <c r="J1438" s="308">
        <v>0.12</v>
      </c>
      <c r="K1438" s="328">
        <f t="shared" si="43"/>
        <v>5500000</v>
      </c>
      <c r="L1438" s="310">
        <f t="shared" si="44"/>
        <v>660000</v>
      </c>
    </row>
    <row r="1439" spans="6:12" ht="15" customHeight="1">
      <c r="F1439" s="306"/>
      <c r="G1439" s="301" t="s">
        <v>397</v>
      </c>
      <c r="H1439" s="302"/>
      <c r="I1439" s="307" t="s">
        <v>423</v>
      </c>
      <c r="J1439" s="308">
        <v>2.8</v>
      </c>
      <c r="K1439" s="328">
        <f t="shared" si="43"/>
        <v>135000</v>
      </c>
      <c r="L1439" s="310">
        <f t="shared" si="44"/>
        <v>378000</v>
      </c>
    </row>
    <row r="1440" spans="6:12" ht="15" customHeight="1" thickBot="1">
      <c r="F1440" s="306"/>
      <c r="G1440" s="301" t="s">
        <v>181</v>
      </c>
      <c r="H1440" s="302"/>
      <c r="I1440" s="307" t="s">
        <v>182</v>
      </c>
      <c r="J1440" s="308">
        <v>32</v>
      </c>
      <c r="K1440" s="328">
        <f t="shared" si="43"/>
        <v>31250</v>
      </c>
      <c r="L1440" s="310">
        <f t="shared" si="44"/>
        <v>1000000</v>
      </c>
    </row>
    <row r="1441" spans="5:13" ht="15" customHeight="1" thickBot="1">
      <c r="F1441" s="316"/>
      <c r="G1441" s="317"/>
      <c r="H1441" s="318"/>
      <c r="I1441" s="318"/>
      <c r="J1441" s="319" t="s">
        <v>189</v>
      </c>
      <c r="K1441" s="320"/>
      <c r="L1441" s="321">
        <f>SUM(L1430:L1440)</f>
        <v>6982115</v>
      </c>
    </row>
    <row r="1442" spans="5:13" ht="15" customHeight="1" thickBot="1">
      <c r="F1442" s="300" t="s">
        <v>190</v>
      </c>
      <c r="G1442" s="301" t="s">
        <v>191</v>
      </c>
      <c r="H1442" s="302"/>
      <c r="I1442" s="302"/>
      <c r="J1442" s="351"/>
      <c r="K1442" s="328">
        <v>0</v>
      </c>
      <c r="L1442" s="310">
        <f>J1442*K1442</f>
        <v>0</v>
      </c>
    </row>
    <row r="1443" spans="5:13" ht="15" customHeight="1" thickBot="1">
      <c r="F1443" s="316"/>
      <c r="G1443" s="317"/>
      <c r="H1443" s="318"/>
      <c r="I1443" s="318"/>
      <c r="J1443" s="319" t="s">
        <v>192</v>
      </c>
      <c r="K1443" s="320"/>
      <c r="L1443" s="321">
        <f>L1442</f>
        <v>0</v>
      </c>
    </row>
    <row r="1444" spans="5:13" ht="15" customHeight="1">
      <c r="F1444" s="344" t="s">
        <v>193</v>
      </c>
      <c r="G1444" s="345" t="s">
        <v>194</v>
      </c>
      <c r="H1444" s="346"/>
      <c r="I1444" s="346"/>
      <c r="J1444" s="347"/>
      <c r="K1444" s="348">
        <v>0</v>
      </c>
      <c r="L1444" s="310">
        <f>SUM(L1420:L1443)/2</f>
        <v>8127140</v>
      </c>
    </row>
    <row r="1445" spans="5:13" ht="15" customHeight="1" thickBot="1">
      <c r="F1445" s="331" t="s">
        <v>195</v>
      </c>
      <c r="G1445" s="332" t="s">
        <v>196</v>
      </c>
      <c r="H1445" s="333"/>
      <c r="I1445" s="333"/>
      <c r="J1445" s="350">
        <v>0.1</v>
      </c>
      <c r="K1445" s="335"/>
      <c r="L1445" s="330">
        <f>J1445*L1444</f>
        <v>812714</v>
      </c>
    </row>
    <row r="1446" spans="5:13" ht="15" customHeight="1" thickBot="1">
      <c r="F1446" s="340" t="s">
        <v>197</v>
      </c>
      <c r="G1446" s="341" t="s">
        <v>198</v>
      </c>
      <c r="H1446" s="318"/>
      <c r="I1446" s="318"/>
      <c r="J1446" s="342"/>
      <c r="K1446" s="320">
        <v>0</v>
      </c>
      <c r="L1446" s="321">
        <f>ROUNDDOWN(L1444+L1445,0)</f>
        <v>8939854</v>
      </c>
    </row>
    <row r="1447" spans="5:13" ht="15" customHeight="1">
      <c r="F1447" s="298"/>
      <c r="G1447" s="298"/>
      <c r="J1447" s="343"/>
      <c r="K1447" s="355"/>
      <c r="L1447" s="299"/>
    </row>
    <row r="1448" spans="5:13" ht="15" customHeight="1" thickBot="1">
      <c r="E1448" s="356" t="s">
        <v>426</v>
      </c>
      <c r="F1448" s="295" t="s">
        <v>427</v>
      </c>
      <c r="J1448" s="343"/>
      <c r="M1448" s="299">
        <f>L1475</f>
        <v>7854434</v>
      </c>
    </row>
    <row r="1449" spans="5:13" ht="15" customHeight="1" thickBot="1">
      <c r="F1449" s="340" t="s">
        <v>136</v>
      </c>
      <c r="G1449" s="341" t="s">
        <v>162</v>
      </c>
      <c r="H1449" s="352" t="s">
        <v>163</v>
      </c>
      <c r="I1449" s="352" t="s">
        <v>138</v>
      </c>
      <c r="J1449" s="353" t="s">
        <v>164</v>
      </c>
      <c r="K1449" s="341" t="s">
        <v>165</v>
      </c>
      <c r="L1449" s="354" t="s">
        <v>166</v>
      </c>
    </row>
    <row r="1450" spans="5:13" ht="15" customHeight="1">
      <c r="F1450" s="300" t="s">
        <v>167</v>
      </c>
      <c r="G1450" s="301" t="s">
        <v>168</v>
      </c>
      <c r="H1450" s="302"/>
      <c r="I1450" s="302"/>
      <c r="J1450" s="351"/>
      <c r="K1450" s="328"/>
      <c r="L1450" s="310"/>
    </row>
    <row r="1451" spans="5:13" ht="15" customHeight="1">
      <c r="F1451" s="306"/>
      <c r="G1451" s="301" t="s">
        <v>169</v>
      </c>
      <c r="H1451" s="307" t="s">
        <v>170</v>
      </c>
      <c r="I1451" s="307" t="s">
        <v>171</v>
      </c>
      <c r="J1451" s="308">
        <v>0.53</v>
      </c>
      <c r="K1451" s="309">
        <f t="shared" ref="K1451:K1456" si="45">VLOOKUP(G1451,Upah,8,FALSE)</f>
        <v>125000</v>
      </c>
      <c r="L1451" s="310">
        <f t="shared" ref="L1451:L1456" si="46">J1451*K1451</f>
        <v>66250</v>
      </c>
    </row>
    <row r="1452" spans="5:13" ht="15" customHeight="1">
      <c r="F1452" s="306"/>
      <c r="G1452" s="301" t="s">
        <v>216</v>
      </c>
      <c r="H1452" s="307" t="s">
        <v>217</v>
      </c>
      <c r="I1452" s="307" t="s">
        <v>171</v>
      </c>
      <c r="J1452" s="308">
        <v>0.27500000000000002</v>
      </c>
      <c r="K1452" s="309">
        <f t="shared" si="45"/>
        <v>150000</v>
      </c>
      <c r="L1452" s="310">
        <f t="shared" si="46"/>
        <v>41250</v>
      </c>
    </row>
    <row r="1453" spans="5:13" ht="15" customHeight="1">
      <c r="F1453" s="306"/>
      <c r="G1453" s="301" t="s">
        <v>413</v>
      </c>
      <c r="H1453" s="307" t="s">
        <v>173</v>
      </c>
      <c r="I1453" s="307" t="s">
        <v>171</v>
      </c>
      <c r="J1453" s="308">
        <v>1.3</v>
      </c>
      <c r="K1453" s="309">
        <f t="shared" si="45"/>
        <v>150000</v>
      </c>
      <c r="L1453" s="310">
        <f t="shared" si="46"/>
        <v>195000</v>
      </c>
    </row>
    <row r="1454" spans="5:13" ht="15" customHeight="1">
      <c r="F1454" s="306"/>
      <c r="G1454" s="301" t="s">
        <v>414</v>
      </c>
      <c r="H1454" s="307" t="s">
        <v>380</v>
      </c>
      <c r="I1454" s="307" t="s">
        <v>171</v>
      </c>
      <c r="J1454" s="308">
        <v>1.05</v>
      </c>
      <c r="K1454" s="309">
        <f t="shared" si="45"/>
        <v>150000</v>
      </c>
      <c r="L1454" s="310">
        <f t="shared" si="46"/>
        <v>157500</v>
      </c>
    </row>
    <row r="1455" spans="5:13" ht="15" customHeight="1">
      <c r="F1455" s="306"/>
      <c r="G1455" s="301" t="s">
        <v>232</v>
      </c>
      <c r="H1455" s="307" t="s">
        <v>175</v>
      </c>
      <c r="I1455" s="307" t="s">
        <v>171</v>
      </c>
      <c r="J1455" s="308">
        <v>0.26200000000000001</v>
      </c>
      <c r="K1455" s="309">
        <f t="shared" si="45"/>
        <v>165000</v>
      </c>
      <c r="L1455" s="310">
        <f t="shared" si="46"/>
        <v>43230</v>
      </c>
    </row>
    <row r="1456" spans="5:13" ht="15" customHeight="1" thickBot="1">
      <c r="F1456" s="306"/>
      <c r="G1456" s="301" t="s">
        <v>176</v>
      </c>
      <c r="H1456" s="307" t="s">
        <v>177</v>
      </c>
      <c r="I1456" s="307" t="s">
        <v>171</v>
      </c>
      <c r="J1456" s="308">
        <v>0.26500000000000001</v>
      </c>
      <c r="K1456" s="309">
        <f t="shared" si="45"/>
        <v>170000</v>
      </c>
      <c r="L1456" s="310">
        <f t="shared" si="46"/>
        <v>45050</v>
      </c>
    </row>
    <row r="1457" spans="6:12" ht="15" customHeight="1" thickBot="1">
      <c r="F1457" s="316"/>
      <c r="G1457" s="317"/>
      <c r="H1457" s="318"/>
      <c r="I1457" s="318"/>
      <c r="J1457" s="319" t="s">
        <v>178</v>
      </c>
      <c r="K1457" s="320"/>
      <c r="L1457" s="321">
        <f>SUM(L1451:L1456)</f>
        <v>548280</v>
      </c>
    </row>
    <row r="1458" spans="6:12" ht="15" customHeight="1">
      <c r="F1458" s="300" t="s">
        <v>179</v>
      </c>
      <c r="G1458" s="301" t="s">
        <v>180</v>
      </c>
      <c r="H1458" s="302"/>
      <c r="I1458" s="302"/>
      <c r="J1458" s="351"/>
      <c r="K1458" s="328"/>
      <c r="L1458" s="310"/>
    </row>
    <row r="1459" spans="6:12" ht="15" customHeight="1">
      <c r="F1459" s="306"/>
      <c r="G1459" s="301" t="s">
        <v>388</v>
      </c>
      <c r="H1459" s="302"/>
      <c r="I1459" s="307" t="s">
        <v>44</v>
      </c>
      <c r="J1459" s="308">
        <v>0.24</v>
      </c>
      <c r="K1459" s="328">
        <f t="shared" ref="K1459:K1469" si="47">VLOOKUP(G1459,Bahan,6,FALSE)</f>
        <v>4500000</v>
      </c>
      <c r="L1459" s="310">
        <f t="shared" ref="L1459:L1469" si="48">J1459*K1459</f>
        <v>1080000</v>
      </c>
    </row>
    <row r="1460" spans="6:12" ht="15" customHeight="1">
      <c r="F1460" s="306"/>
      <c r="G1460" s="301" t="s">
        <v>415</v>
      </c>
      <c r="H1460" s="302"/>
      <c r="I1460" s="307" t="s">
        <v>38</v>
      </c>
      <c r="J1460" s="308">
        <v>3.2</v>
      </c>
      <c r="K1460" s="328">
        <f t="shared" si="47"/>
        <v>27970</v>
      </c>
      <c r="L1460" s="310">
        <f t="shared" si="48"/>
        <v>89504</v>
      </c>
    </row>
    <row r="1461" spans="6:12" ht="15" customHeight="1">
      <c r="F1461" s="306"/>
      <c r="G1461" s="301" t="s">
        <v>390</v>
      </c>
      <c r="H1461" s="302"/>
      <c r="I1461" s="307" t="s">
        <v>188</v>
      </c>
      <c r="J1461" s="308">
        <v>1.6</v>
      </c>
      <c r="K1461" s="328">
        <f t="shared" si="47"/>
        <v>7310</v>
      </c>
      <c r="L1461" s="310">
        <f t="shared" si="48"/>
        <v>11696</v>
      </c>
    </row>
    <row r="1462" spans="6:12" ht="15" customHeight="1">
      <c r="F1462" s="306"/>
      <c r="G1462" s="301" t="s">
        <v>327</v>
      </c>
      <c r="H1462" s="302"/>
      <c r="I1462" s="307" t="s">
        <v>38</v>
      </c>
      <c r="J1462" s="308">
        <v>157.5</v>
      </c>
      <c r="K1462" s="328">
        <f t="shared" si="47"/>
        <v>12920</v>
      </c>
      <c r="L1462" s="310">
        <f t="shared" si="48"/>
        <v>2034900</v>
      </c>
    </row>
    <row r="1463" spans="6:12" ht="15" customHeight="1">
      <c r="F1463" s="306"/>
      <c r="G1463" s="301" t="s">
        <v>328</v>
      </c>
      <c r="H1463" s="302"/>
      <c r="I1463" s="307" t="s">
        <v>38</v>
      </c>
      <c r="J1463" s="308">
        <v>2.25</v>
      </c>
      <c r="K1463" s="328">
        <f t="shared" si="47"/>
        <v>27260</v>
      </c>
      <c r="L1463" s="310">
        <f t="shared" si="48"/>
        <v>61335</v>
      </c>
    </row>
    <row r="1464" spans="6:12" ht="15" customHeight="1">
      <c r="F1464" s="306"/>
      <c r="G1464" s="301" t="s">
        <v>183</v>
      </c>
      <c r="H1464" s="302"/>
      <c r="I1464" s="307" t="s">
        <v>38</v>
      </c>
      <c r="J1464" s="308">
        <v>336</v>
      </c>
      <c r="K1464" s="328">
        <f t="shared" si="47"/>
        <v>1880</v>
      </c>
      <c r="L1464" s="310">
        <f t="shared" si="48"/>
        <v>631680</v>
      </c>
    </row>
    <row r="1465" spans="6:12" ht="15" customHeight="1">
      <c r="F1465" s="306"/>
      <c r="G1465" s="301" t="s">
        <v>1705</v>
      </c>
      <c r="H1465" s="302"/>
      <c r="I1465" s="307" t="s">
        <v>44</v>
      </c>
      <c r="J1465" s="308">
        <v>0.54</v>
      </c>
      <c r="K1465" s="328">
        <f t="shared" si="47"/>
        <v>350000</v>
      </c>
      <c r="L1465" s="310">
        <f t="shared" si="48"/>
        <v>189000</v>
      </c>
    </row>
    <row r="1466" spans="6:12" ht="15" customHeight="1">
      <c r="F1466" s="306"/>
      <c r="G1466" s="301" t="s">
        <v>1703</v>
      </c>
      <c r="H1466" s="302"/>
      <c r="I1466" s="307" t="s">
        <v>44</v>
      </c>
      <c r="J1466" s="308">
        <v>0.81</v>
      </c>
      <c r="K1466" s="328">
        <f t="shared" si="47"/>
        <v>600000</v>
      </c>
      <c r="L1466" s="310">
        <f t="shared" si="48"/>
        <v>486000.00000000006</v>
      </c>
    </row>
    <row r="1467" spans="6:12" ht="15" customHeight="1">
      <c r="F1467" s="306"/>
      <c r="G1467" s="301" t="s">
        <v>420</v>
      </c>
      <c r="H1467" s="302"/>
      <c r="I1467" s="307" t="s">
        <v>44</v>
      </c>
      <c r="J1467" s="308">
        <v>0.16</v>
      </c>
      <c r="K1467" s="328">
        <f t="shared" si="47"/>
        <v>5500000</v>
      </c>
      <c r="L1467" s="310">
        <f t="shared" si="48"/>
        <v>880000</v>
      </c>
    </row>
    <row r="1468" spans="6:12" ht="15" customHeight="1">
      <c r="F1468" s="306"/>
      <c r="G1468" s="301" t="s">
        <v>397</v>
      </c>
      <c r="H1468" s="302"/>
      <c r="I1468" s="307" t="s">
        <v>423</v>
      </c>
      <c r="J1468" s="308">
        <v>2.8</v>
      </c>
      <c r="K1468" s="328">
        <f t="shared" si="47"/>
        <v>135000</v>
      </c>
      <c r="L1468" s="310">
        <f t="shared" si="48"/>
        <v>378000</v>
      </c>
    </row>
    <row r="1469" spans="6:12" ht="15" customHeight="1" thickBot="1">
      <c r="F1469" s="306"/>
      <c r="G1469" s="301" t="s">
        <v>181</v>
      </c>
      <c r="H1469" s="302"/>
      <c r="I1469" s="307" t="s">
        <v>182</v>
      </c>
      <c r="J1469" s="308">
        <v>24</v>
      </c>
      <c r="K1469" s="328">
        <f t="shared" si="47"/>
        <v>31250</v>
      </c>
      <c r="L1469" s="310">
        <f t="shared" si="48"/>
        <v>750000</v>
      </c>
    </row>
    <row r="1470" spans="6:12" ht="15" customHeight="1" thickBot="1">
      <c r="F1470" s="316"/>
      <c r="G1470" s="317"/>
      <c r="H1470" s="318"/>
      <c r="I1470" s="318"/>
      <c r="J1470" s="319" t="s">
        <v>189</v>
      </c>
      <c r="K1470" s="320"/>
      <c r="L1470" s="321">
        <f>SUM(L1459:L1469)</f>
        <v>6592115</v>
      </c>
    </row>
    <row r="1471" spans="6:12" ht="15" customHeight="1" thickBot="1">
      <c r="F1471" s="300" t="s">
        <v>190</v>
      </c>
      <c r="G1471" s="301" t="s">
        <v>191</v>
      </c>
      <c r="H1471" s="302"/>
      <c r="I1471" s="302"/>
      <c r="J1471" s="351"/>
      <c r="K1471" s="328">
        <v>0</v>
      </c>
      <c r="L1471" s="310">
        <f>J1471*K1471</f>
        <v>0</v>
      </c>
    </row>
    <row r="1472" spans="6:12" ht="15" customHeight="1" thickBot="1">
      <c r="F1472" s="316"/>
      <c r="G1472" s="317"/>
      <c r="H1472" s="318"/>
      <c r="I1472" s="318"/>
      <c r="J1472" s="319" t="s">
        <v>192</v>
      </c>
      <c r="K1472" s="320"/>
      <c r="L1472" s="321">
        <f>L1471</f>
        <v>0</v>
      </c>
    </row>
    <row r="1473" spans="5:13" ht="15" customHeight="1">
      <c r="F1473" s="344" t="s">
        <v>193</v>
      </c>
      <c r="G1473" s="345" t="s">
        <v>194</v>
      </c>
      <c r="H1473" s="346"/>
      <c r="I1473" s="346"/>
      <c r="J1473" s="347"/>
      <c r="K1473" s="348">
        <v>0</v>
      </c>
      <c r="L1473" s="310">
        <f>SUM(L1451:L1472)/2</f>
        <v>7140395</v>
      </c>
    </row>
    <row r="1474" spans="5:13" ht="15" customHeight="1" thickBot="1">
      <c r="F1474" s="331" t="s">
        <v>195</v>
      </c>
      <c r="G1474" s="332" t="s">
        <v>196</v>
      </c>
      <c r="H1474" s="333"/>
      <c r="I1474" s="333"/>
      <c r="J1474" s="350">
        <v>0.1</v>
      </c>
      <c r="K1474" s="335"/>
      <c r="L1474" s="330">
        <f>J1474*L1473</f>
        <v>714039.5</v>
      </c>
    </row>
    <row r="1475" spans="5:13" ht="15" customHeight="1" thickBot="1">
      <c r="F1475" s="340" t="s">
        <v>197</v>
      </c>
      <c r="G1475" s="341" t="s">
        <v>198</v>
      </c>
      <c r="H1475" s="318"/>
      <c r="I1475" s="318"/>
      <c r="J1475" s="342"/>
      <c r="K1475" s="320">
        <v>0</v>
      </c>
      <c r="L1475" s="321">
        <f>ROUNDDOWN(L1473+L1474,0)</f>
        <v>7854434</v>
      </c>
    </row>
    <row r="1476" spans="5:13" ht="15" customHeight="1">
      <c r="F1476" s="298"/>
      <c r="G1476" s="298"/>
      <c r="J1476" s="343"/>
    </row>
    <row r="1477" spans="5:13" ht="15" customHeight="1" thickBot="1">
      <c r="E1477" s="356" t="s">
        <v>428</v>
      </c>
      <c r="F1477" s="295" t="s">
        <v>429</v>
      </c>
      <c r="J1477" s="343"/>
      <c r="M1477" s="299">
        <f>L1504</f>
        <v>8761221</v>
      </c>
    </row>
    <row r="1478" spans="5:13" ht="15" customHeight="1" thickBot="1">
      <c r="F1478" s="340" t="s">
        <v>136</v>
      </c>
      <c r="G1478" s="341" t="s">
        <v>162</v>
      </c>
      <c r="H1478" s="352" t="s">
        <v>163</v>
      </c>
      <c r="I1478" s="352" t="s">
        <v>138</v>
      </c>
      <c r="J1478" s="353" t="s">
        <v>164</v>
      </c>
      <c r="K1478" s="341" t="s">
        <v>165</v>
      </c>
      <c r="L1478" s="354" t="s">
        <v>166</v>
      </c>
    </row>
    <row r="1479" spans="5:13" ht="15" customHeight="1">
      <c r="F1479" s="300" t="s">
        <v>167</v>
      </c>
      <c r="G1479" s="301" t="s">
        <v>168</v>
      </c>
      <c r="H1479" s="302"/>
      <c r="I1479" s="302"/>
      <c r="J1479" s="351"/>
      <c r="K1479" s="328"/>
      <c r="L1479" s="310"/>
    </row>
    <row r="1480" spans="5:13" ht="15" customHeight="1">
      <c r="F1480" s="306"/>
      <c r="G1480" s="301" t="s">
        <v>169</v>
      </c>
      <c r="H1480" s="307" t="s">
        <v>170</v>
      </c>
      <c r="I1480" s="307" t="s">
        <v>171</v>
      </c>
      <c r="J1480" s="308">
        <v>5.65</v>
      </c>
      <c r="K1480" s="309">
        <f t="shared" ref="K1480:K1485" si="49">VLOOKUP(G1480,Upah,8,FALSE)</f>
        <v>125000</v>
      </c>
      <c r="L1480" s="310">
        <f t="shared" ref="L1480:L1485" si="50">J1480*K1480</f>
        <v>706250</v>
      </c>
    </row>
    <row r="1481" spans="5:13" ht="15" customHeight="1">
      <c r="F1481" s="306"/>
      <c r="G1481" s="301" t="s">
        <v>216</v>
      </c>
      <c r="H1481" s="307" t="s">
        <v>217</v>
      </c>
      <c r="I1481" s="307" t="s">
        <v>171</v>
      </c>
      <c r="J1481" s="308">
        <v>0.27500000000000002</v>
      </c>
      <c r="K1481" s="309">
        <f t="shared" si="49"/>
        <v>150000</v>
      </c>
      <c r="L1481" s="310">
        <f t="shared" si="50"/>
        <v>41250</v>
      </c>
    </row>
    <row r="1482" spans="5:13" ht="15" customHeight="1">
      <c r="F1482" s="306"/>
      <c r="G1482" s="301" t="s">
        <v>413</v>
      </c>
      <c r="H1482" s="307" t="s">
        <v>173</v>
      </c>
      <c r="I1482" s="307" t="s">
        <v>171</v>
      </c>
      <c r="J1482" s="308">
        <v>1.56</v>
      </c>
      <c r="K1482" s="309">
        <f t="shared" si="49"/>
        <v>150000</v>
      </c>
      <c r="L1482" s="310">
        <f t="shared" si="50"/>
        <v>234000</v>
      </c>
    </row>
    <row r="1483" spans="5:13" ht="15" customHeight="1">
      <c r="F1483" s="306"/>
      <c r="G1483" s="301" t="s">
        <v>414</v>
      </c>
      <c r="H1483" s="307" t="s">
        <v>380</v>
      </c>
      <c r="I1483" s="307" t="s">
        <v>171</v>
      </c>
      <c r="J1483" s="308">
        <v>1.4</v>
      </c>
      <c r="K1483" s="309">
        <f t="shared" si="49"/>
        <v>150000</v>
      </c>
      <c r="L1483" s="310">
        <f t="shared" si="50"/>
        <v>210000</v>
      </c>
    </row>
    <row r="1484" spans="5:13" ht="15" customHeight="1">
      <c r="F1484" s="306"/>
      <c r="G1484" s="301" t="s">
        <v>232</v>
      </c>
      <c r="H1484" s="307" t="s">
        <v>175</v>
      </c>
      <c r="I1484" s="307" t="s">
        <v>171</v>
      </c>
      <c r="J1484" s="308">
        <v>0.32300000000000001</v>
      </c>
      <c r="K1484" s="309">
        <f t="shared" si="49"/>
        <v>165000</v>
      </c>
      <c r="L1484" s="310">
        <f t="shared" si="50"/>
        <v>53295</v>
      </c>
    </row>
    <row r="1485" spans="5:13" ht="15" customHeight="1" thickBot="1">
      <c r="F1485" s="306"/>
      <c r="G1485" s="301" t="s">
        <v>176</v>
      </c>
      <c r="H1485" s="307" t="s">
        <v>177</v>
      </c>
      <c r="I1485" s="307" t="s">
        <v>171</v>
      </c>
      <c r="J1485" s="308">
        <v>0.28299999999999997</v>
      </c>
      <c r="K1485" s="309">
        <f t="shared" si="49"/>
        <v>170000</v>
      </c>
      <c r="L1485" s="310">
        <f t="shared" si="50"/>
        <v>48109.999999999993</v>
      </c>
    </row>
    <row r="1486" spans="5:13" ht="15" customHeight="1" thickBot="1">
      <c r="F1486" s="316"/>
      <c r="G1486" s="317"/>
      <c r="H1486" s="318"/>
      <c r="I1486" s="318"/>
      <c r="J1486" s="319" t="s">
        <v>178</v>
      </c>
      <c r="K1486" s="320"/>
      <c r="L1486" s="321">
        <f>SUM(L1480:L1485)</f>
        <v>1292905</v>
      </c>
    </row>
    <row r="1487" spans="5:13" ht="15" customHeight="1">
      <c r="F1487" s="300" t="s">
        <v>179</v>
      </c>
      <c r="G1487" s="301" t="s">
        <v>180</v>
      </c>
      <c r="H1487" s="302"/>
      <c r="I1487" s="302"/>
      <c r="J1487" s="351"/>
      <c r="K1487" s="328"/>
      <c r="L1487" s="310"/>
    </row>
    <row r="1488" spans="5:13" ht="15" customHeight="1">
      <c r="F1488" s="306"/>
      <c r="G1488" s="301" t="s">
        <v>388</v>
      </c>
      <c r="H1488" s="302"/>
      <c r="I1488" s="307" t="s">
        <v>44</v>
      </c>
      <c r="J1488" s="308">
        <v>0.25</v>
      </c>
      <c r="K1488" s="328">
        <f t="shared" ref="K1488:K1498" si="51">VLOOKUP(G1488,Bahan,6,FALSE)</f>
        <v>4500000</v>
      </c>
      <c r="L1488" s="310">
        <f t="shared" ref="L1488:L1498" si="52">J1488*K1488</f>
        <v>1125000</v>
      </c>
    </row>
    <row r="1489" spans="6:12" ht="15" customHeight="1">
      <c r="F1489" s="306"/>
      <c r="G1489" s="301" t="s">
        <v>415</v>
      </c>
      <c r="H1489" s="302"/>
      <c r="I1489" s="307" t="s">
        <v>38</v>
      </c>
      <c r="J1489" s="308">
        <v>3</v>
      </c>
      <c r="K1489" s="328">
        <f t="shared" si="51"/>
        <v>27970</v>
      </c>
      <c r="L1489" s="310">
        <f t="shared" si="52"/>
        <v>83910</v>
      </c>
    </row>
    <row r="1490" spans="6:12" ht="15" customHeight="1">
      <c r="F1490" s="306"/>
      <c r="G1490" s="301" t="s">
        <v>390</v>
      </c>
      <c r="H1490" s="302"/>
      <c r="I1490" s="307" t="s">
        <v>188</v>
      </c>
      <c r="J1490" s="308">
        <v>1.2</v>
      </c>
      <c r="K1490" s="328">
        <f t="shared" si="51"/>
        <v>7310</v>
      </c>
      <c r="L1490" s="310">
        <f t="shared" si="52"/>
        <v>8772</v>
      </c>
    </row>
    <row r="1491" spans="6:12" ht="15" customHeight="1">
      <c r="F1491" s="306"/>
      <c r="G1491" s="301" t="s">
        <v>327</v>
      </c>
      <c r="H1491" s="302"/>
      <c r="I1491" s="307" t="s">
        <v>38</v>
      </c>
      <c r="J1491" s="308">
        <v>210</v>
      </c>
      <c r="K1491" s="328">
        <f t="shared" si="51"/>
        <v>12920</v>
      </c>
      <c r="L1491" s="310">
        <f t="shared" si="52"/>
        <v>2713200</v>
      </c>
    </row>
    <row r="1492" spans="6:12" ht="15" customHeight="1">
      <c r="F1492" s="306"/>
      <c r="G1492" s="301" t="s">
        <v>328</v>
      </c>
      <c r="H1492" s="302"/>
      <c r="I1492" s="307" t="s">
        <v>38</v>
      </c>
      <c r="J1492" s="308">
        <v>3</v>
      </c>
      <c r="K1492" s="328">
        <f t="shared" si="51"/>
        <v>27260</v>
      </c>
      <c r="L1492" s="310">
        <f t="shared" si="52"/>
        <v>81780</v>
      </c>
    </row>
    <row r="1493" spans="6:12" ht="15" customHeight="1">
      <c r="F1493" s="306"/>
      <c r="G1493" s="301" t="s">
        <v>183</v>
      </c>
      <c r="H1493" s="302"/>
      <c r="I1493" s="307" t="s">
        <v>38</v>
      </c>
      <c r="J1493" s="308">
        <v>336</v>
      </c>
      <c r="K1493" s="328">
        <f t="shared" si="51"/>
        <v>1880</v>
      </c>
      <c r="L1493" s="310">
        <f t="shared" si="52"/>
        <v>631680</v>
      </c>
    </row>
    <row r="1494" spans="6:12" ht="15" customHeight="1">
      <c r="F1494" s="306"/>
      <c r="G1494" s="301" t="s">
        <v>1705</v>
      </c>
      <c r="H1494" s="302"/>
      <c r="I1494" s="307" t="s">
        <v>44</v>
      </c>
      <c r="J1494" s="308">
        <v>0.54</v>
      </c>
      <c r="K1494" s="328">
        <f t="shared" si="51"/>
        <v>350000</v>
      </c>
      <c r="L1494" s="310">
        <f t="shared" si="52"/>
        <v>189000</v>
      </c>
    </row>
    <row r="1495" spans="6:12" ht="15" customHeight="1">
      <c r="F1495" s="306"/>
      <c r="G1495" s="301" t="s">
        <v>1703</v>
      </c>
      <c r="H1495" s="302"/>
      <c r="I1495" s="307" t="s">
        <v>44</v>
      </c>
      <c r="J1495" s="308">
        <v>0.81</v>
      </c>
      <c r="K1495" s="328">
        <f t="shared" si="51"/>
        <v>600000</v>
      </c>
      <c r="L1495" s="310">
        <f t="shared" si="52"/>
        <v>486000.00000000006</v>
      </c>
    </row>
    <row r="1496" spans="6:12" ht="15" customHeight="1">
      <c r="F1496" s="306"/>
      <c r="G1496" s="301" t="s">
        <v>420</v>
      </c>
      <c r="H1496" s="302"/>
      <c r="I1496" s="307" t="s">
        <v>44</v>
      </c>
      <c r="J1496" s="308">
        <v>0.105</v>
      </c>
      <c r="K1496" s="328">
        <f t="shared" si="51"/>
        <v>5500000</v>
      </c>
      <c r="L1496" s="310">
        <f t="shared" si="52"/>
        <v>577500</v>
      </c>
    </row>
    <row r="1497" spans="6:12" ht="15" customHeight="1">
      <c r="F1497" s="306"/>
      <c r="G1497" s="301" t="s">
        <v>397</v>
      </c>
      <c r="H1497" s="302"/>
      <c r="I1497" s="307" t="s">
        <v>423</v>
      </c>
      <c r="J1497" s="308">
        <v>2.5</v>
      </c>
      <c r="K1497" s="328">
        <f t="shared" si="51"/>
        <v>135000</v>
      </c>
      <c r="L1497" s="310">
        <f t="shared" si="52"/>
        <v>337500</v>
      </c>
    </row>
    <row r="1498" spans="6:12" ht="15" customHeight="1" thickBot="1">
      <c r="F1498" s="306"/>
      <c r="G1498" s="301" t="s">
        <v>181</v>
      </c>
      <c r="H1498" s="302"/>
      <c r="I1498" s="307" t="s">
        <v>182</v>
      </c>
      <c r="J1498" s="308">
        <v>14</v>
      </c>
      <c r="K1498" s="328">
        <f t="shared" si="51"/>
        <v>31250</v>
      </c>
      <c r="L1498" s="310">
        <f t="shared" si="52"/>
        <v>437500</v>
      </c>
    </row>
    <row r="1499" spans="6:12" ht="15" customHeight="1" thickBot="1">
      <c r="F1499" s="316"/>
      <c r="G1499" s="317"/>
      <c r="H1499" s="318"/>
      <c r="I1499" s="318"/>
      <c r="J1499" s="319" t="s">
        <v>189</v>
      </c>
      <c r="K1499" s="320"/>
      <c r="L1499" s="321">
        <f>SUM(L1488:L1498)</f>
        <v>6671842</v>
      </c>
    </row>
    <row r="1500" spans="6:12" ht="15" customHeight="1" thickBot="1">
      <c r="F1500" s="300" t="s">
        <v>190</v>
      </c>
      <c r="G1500" s="301" t="s">
        <v>191</v>
      </c>
      <c r="H1500" s="302"/>
      <c r="I1500" s="302"/>
      <c r="J1500" s="351"/>
      <c r="K1500" s="328">
        <v>0</v>
      </c>
      <c r="L1500" s="310">
        <f>J1500*K1500</f>
        <v>0</v>
      </c>
    </row>
    <row r="1501" spans="6:12" ht="15" customHeight="1" thickBot="1">
      <c r="F1501" s="316"/>
      <c r="G1501" s="317"/>
      <c r="H1501" s="318"/>
      <c r="I1501" s="318"/>
      <c r="J1501" s="319" t="s">
        <v>192</v>
      </c>
      <c r="K1501" s="320"/>
      <c r="L1501" s="321">
        <f>L1500</f>
        <v>0</v>
      </c>
    </row>
    <row r="1502" spans="6:12" ht="15" customHeight="1">
      <c r="F1502" s="344" t="s">
        <v>193</v>
      </c>
      <c r="G1502" s="345" t="s">
        <v>194</v>
      </c>
      <c r="H1502" s="346"/>
      <c r="I1502" s="346"/>
      <c r="J1502" s="347"/>
      <c r="K1502" s="348">
        <v>0</v>
      </c>
      <c r="L1502" s="310">
        <f>SUM(L1479:L1501)/2</f>
        <v>7964747</v>
      </c>
    </row>
    <row r="1503" spans="6:12" ht="15" customHeight="1" thickBot="1">
      <c r="F1503" s="331" t="s">
        <v>195</v>
      </c>
      <c r="G1503" s="332" t="s">
        <v>196</v>
      </c>
      <c r="H1503" s="333"/>
      <c r="I1503" s="333"/>
      <c r="J1503" s="350">
        <v>0.1</v>
      </c>
      <c r="K1503" s="335"/>
      <c r="L1503" s="330">
        <f>J1503*L1502</f>
        <v>796474.70000000007</v>
      </c>
    </row>
    <row r="1504" spans="6:12" ht="15" customHeight="1" thickBot="1">
      <c r="F1504" s="340" t="s">
        <v>197</v>
      </c>
      <c r="G1504" s="341" t="s">
        <v>198</v>
      </c>
      <c r="H1504" s="318"/>
      <c r="I1504" s="318"/>
      <c r="J1504" s="342"/>
      <c r="K1504" s="320">
        <v>0</v>
      </c>
      <c r="L1504" s="321">
        <f>ROUNDDOWN(L1502+L1503,0)</f>
        <v>8761221</v>
      </c>
    </row>
    <row r="1505" spans="5:13" ht="15" customHeight="1">
      <c r="F1505" s="298"/>
      <c r="G1505" s="298"/>
      <c r="J1505" s="343"/>
    </row>
    <row r="1506" spans="5:13" ht="15" customHeight="1" thickBot="1">
      <c r="E1506" s="356" t="s">
        <v>430</v>
      </c>
      <c r="F1506" s="295" t="s">
        <v>431</v>
      </c>
      <c r="J1506" s="343"/>
      <c r="M1506" s="299">
        <f>L1530</f>
        <v>129930</v>
      </c>
    </row>
    <row r="1507" spans="5:13" ht="15" customHeight="1" thickBot="1">
      <c r="F1507" s="340" t="s">
        <v>136</v>
      </c>
      <c r="G1507" s="341" t="s">
        <v>162</v>
      </c>
      <c r="H1507" s="352" t="s">
        <v>163</v>
      </c>
      <c r="I1507" s="352" t="s">
        <v>138</v>
      </c>
      <c r="J1507" s="353" t="s">
        <v>164</v>
      </c>
      <c r="K1507" s="341" t="s">
        <v>165</v>
      </c>
      <c r="L1507" s="354" t="s">
        <v>166</v>
      </c>
    </row>
    <row r="1508" spans="5:13" ht="15" customHeight="1">
      <c r="F1508" s="300" t="s">
        <v>167</v>
      </c>
      <c r="G1508" s="301" t="s">
        <v>168</v>
      </c>
      <c r="H1508" s="302"/>
      <c r="I1508" s="302"/>
      <c r="J1508" s="351"/>
      <c r="K1508" s="328"/>
      <c r="L1508" s="310"/>
    </row>
    <row r="1509" spans="5:13" ht="15" customHeight="1">
      <c r="F1509" s="306"/>
      <c r="G1509" s="301" t="s">
        <v>169</v>
      </c>
      <c r="H1509" s="307" t="s">
        <v>170</v>
      </c>
      <c r="I1509" s="307" t="s">
        <v>171</v>
      </c>
      <c r="J1509" s="308">
        <v>0.18</v>
      </c>
      <c r="K1509" s="309">
        <f t="shared" ref="K1509:K1514" si="53">VLOOKUP(G1509,Upah,8,FALSE)</f>
        <v>125000</v>
      </c>
      <c r="L1509" s="310">
        <f t="shared" ref="L1509:L1514" si="54">J1509*K1509</f>
        <v>22500</v>
      </c>
    </row>
    <row r="1510" spans="5:13" ht="15" customHeight="1">
      <c r="F1510" s="306"/>
      <c r="G1510" s="301" t="s">
        <v>216</v>
      </c>
      <c r="H1510" s="307" t="s">
        <v>217</v>
      </c>
      <c r="I1510" s="307" t="s">
        <v>171</v>
      </c>
      <c r="J1510" s="308">
        <v>0.02</v>
      </c>
      <c r="K1510" s="309">
        <f t="shared" si="53"/>
        <v>150000</v>
      </c>
      <c r="L1510" s="310">
        <f t="shared" si="54"/>
        <v>3000</v>
      </c>
    </row>
    <row r="1511" spans="5:13" ht="15" customHeight="1">
      <c r="F1511" s="306"/>
      <c r="G1511" s="301" t="s">
        <v>413</v>
      </c>
      <c r="H1511" s="307" t="s">
        <v>173</v>
      </c>
      <c r="I1511" s="307" t="s">
        <v>171</v>
      </c>
      <c r="J1511" s="308">
        <v>0.02</v>
      </c>
      <c r="K1511" s="309">
        <f t="shared" si="53"/>
        <v>150000</v>
      </c>
      <c r="L1511" s="310">
        <f t="shared" si="54"/>
        <v>3000</v>
      </c>
    </row>
    <row r="1512" spans="5:13" ht="15" customHeight="1">
      <c r="F1512" s="306"/>
      <c r="G1512" s="301" t="s">
        <v>414</v>
      </c>
      <c r="H1512" s="307" t="s">
        <v>380</v>
      </c>
      <c r="I1512" s="307" t="s">
        <v>171</v>
      </c>
      <c r="J1512" s="308">
        <v>0.02</v>
      </c>
      <c r="K1512" s="309">
        <f t="shared" si="53"/>
        <v>150000</v>
      </c>
      <c r="L1512" s="310">
        <f t="shared" si="54"/>
        <v>3000</v>
      </c>
    </row>
    <row r="1513" spans="5:13" ht="15" customHeight="1">
      <c r="F1513" s="306"/>
      <c r="G1513" s="301" t="s">
        <v>232</v>
      </c>
      <c r="H1513" s="307" t="s">
        <v>175</v>
      </c>
      <c r="I1513" s="307" t="s">
        <v>171</v>
      </c>
      <c r="J1513" s="308">
        <v>6.0000000000000001E-3</v>
      </c>
      <c r="K1513" s="309">
        <f t="shared" si="53"/>
        <v>165000</v>
      </c>
      <c r="L1513" s="310">
        <f t="shared" si="54"/>
        <v>990</v>
      </c>
    </row>
    <row r="1514" spans="5:13" ht="15" customHeight="1" thickBot="1">
      <c r="F1514" s="306"/>
      <c r="G1514" s="301" t="s">
        <v>176</v>
      </c>
      <c r="H1514" s="307" t="s">
        <v>177</v>
      </c>
      <c r="I1514" s="307" t="s">
        <v>171</v>
      </c>
      <c r="J1514" s="308">
        <v>8.9999999999999993E-3</v>
      </c>
      <c r="K1514" s="309">
        <f t="shared" si="53"/>
        <v>170000</v>
      </c>
      <c r="L1514" s="310">
        <f t="shared" si="54"/>
        <v>1529.9999999999998</v>
      </c>
    </row>
    <row r="1515" spans="5:13" ht="15" customHeight="1" thickBot="1">
      <c r="F1515" s="316"/>
      <c r="G1515" s="317"/>
      <c r="H1515" s="318"/>
      <c r="I1515" s="318"/>
      <c r="J1515" s="319" t="s">
        <v>178</v>
      </c>
      <c r="K1515" s="320"/>
      <c r="L1515" s="321">
        <f>SUM(L1509:L1514)</f>
        <v>34020</v>
      </c>
    </row>
    <row r="1516" spans="5:13" ht="15" customHeight="1">
      <c r="F1516" s="300" t="s">
        <v>179</v>
      </c>
      <c r="G1516" s="301" t="s">
        <v>180</v>
      </c>
      <c r="H1516" s="302"/>
      <c r="I1516" s="302"/>
      <c r="J1516" s="351"/>
      <c r="K1516" s="328"/>
      <c r="L1516" s="310"/>
    </row>
    <row r="1517" spans="5:13" ht="15" customHeight="1">
      <c r="F1517" s="306"/>
      <c r="G1517" s="301" t="s">
        <v>388</v>
      </c>
      <c r="H1517" s="302"/>
      <c r="I1517" s="307" t="s">
        <v>44</v>
      </c>
      <c r="J1517" s="308">
        <v>2E-3</v>
      </c>
      <c r="K1517" s="328">
        <f t="shared" ref="K1517:K1524" si="55">VLOOKUP(G1517,Bahan,6,FALSE)</f>
        <v>4500000</v>
      </c>
      <c r="L1517" s="310">
        <f t="shared" ref="L1517:L1524" si="56">J1517*K1517</f>
        <v>9000</v>
      </c>
    </row>
    <row r="1518" spans="5:13" ht="15" customHeight="1">
      <c r="F1518" s="306"/>
      <c r="G1518" s="301" t="s">
        <v>415</v>
      </c>
      <c r="H1518" s="302"/>
      <c r="I1518" s="307" t="s">
        <v>38</v>
      </c>
      <c r="J1518" s="308">
        <v>0.01</v>
      </c>
      <c r="K1518" s="328">
        <f t="shared" si="55"/>
        <v>27970</v>
      </c>
      <c r="L1518" s="310">
        <f t="shared" si="56"/>
        <v>279.7</v>
      </c>
    </row>
    <row r="1519" spans="5:13" ht="15" customHeight="1">
      <c r="F1519" s="306"/>
      <c r="G1519" s="301" t="s">
        <v>390</v>
      </c>
      <c r="H1519" s="302"/>
      <c r="I1519" s="307" t="s">
        <v>188</v>
      </c>
      <c r="J1519" s="351">
        <v>1.2</v>
      </c>
      <c r="K1519" s="328">
        <f t="shared" si="55"/>
        <v>7310</v>
      </c>
      <c r="L1519" s="310">
        <f t="shared" si="56"/>
        <v>8772</v>
      </c>
    </row>
    <row r="1520" spans="5:13" ht="15" customHeight="1">
      <c r="F1520" s="306"/>
      <c r="G1520" s="301" t="s">
        <v>327</v>
      </c>
      <c r="H1520" s="302"/>
      <c r="I1520" s="307" t="s">
        <v>38</v>
      </c>
      <c r="J1520" s="308">
        <v>3</v>
      </c>
      <c r="K1520" s="328">
        <f t="shared" si="55"/>
        <v>12920</v>
      </c>
      <c r="L1520" s="310">
        <f t="shared" si="56"/>
        <v>38760</v>
      </c>
    </row>
    <row r="1521" spans="5:13" ht="15" customHeight="1">
      <c r="F1521" s="306"/>
      <c r="G1521" s="301" t="s">
        <v>328</v>
      </c>
      <c r="H1521" s="302"/>
      <c r="I1521" s="307" t="s">
        <v>38</v>
      </c>
      <c r="J1521" s="308">
        <v>0.45</v>
      </c>
      <c r="K1521" s="328">
        <f t="shared" si="55"/>
        <v>27260</v>
      </c>
      <c r="L1521" s="310">
        <f t="shared" si="56"/>
        <v>12267</v>
      </c>
    </row>
    <row r="1522" spans="5:13" ht="15" customHeight="1">
      <c r="F1522" s="306"/>
      <c r="G1522" s="301" t="s">
        <v>183</v>
      </c>
      <c r="H1522" s="302"/>
      <c r="I1522" s="307" t="s">
        <v>38</v>
      </c>
      <c r="J1522" s="308">
        <v>4</v>
      </c>
      <c r="K1522" s="328">
        <f t="shared" si="55"/>
        <v>1880</v>
      </c>
      <c r="L1522" s="310">
        <f t="shared" si="56"/>
        <v>7520</v>
      </c>
    </row>
    <row r="1523" spans="5:13" ht="15" customHeight="1">
      <c r="F1523" s="306"/>
      <c r="G1523" s="301" t="s">
        <v>1705</v>
      </c>
      <c r="H1523" s="302"/>
      <c r="I1523" s="307" t="s">
        <v>44</v>
      </c>
      <c r="J1523" s="308">
        <v>6.0000000000000001E-3</v>
      </c>
      <c r="K1523" s="328">
        <f t="shared" si="55"/>
        <v>350000</v>
      </c>
      <c r="L1523" s="310">
        <f t="shared" si="56"/>
        <v>2100</v>
      </c>
    </row>
    <row r="1524" spans="5:13" ht="15" customHeight="1" thickBot="1">
      <c r="F1524" s="306"/>
      <c r="G1524" s="301" t="s">
        <v>1703</v>
      </c>
      <c r="H1524" s="302"/>
      <c r="I1524" s="307" t="s">
        <v>44</v>
      </c>
      <c r="J1524" s="308">
        <v>8.9999999999999993E-3</v>
      </c>
      <c r="K1524" s="328">
        <f t="shared" si="55"/>
        <v>600000</v>
      </c>
      <c r="L1524" s="310">
        <f t="shared" si="56"/>
        <v>5400</v>
      </c>
    </row>
    <row r="1525" spans="5:13" ht="15" customHeight="1" thickBot="1">
      <c r="F1525" s="316"/>
      <c r="G1525" s="317"/>
      <c r="H1525" s="318"/>
      <c r="I1525" s="318"/>
      <c r="J1525" s="319" t="s">
        <v>189</v>
      </c>
      <c r="K1525" s="320"/>
      <c r="L1525" s="321">
        <f>SUM(L1517:L1524)</f>
        <v>84098.7</v>
      </c>
    </row>
    <row r="1526" spans="5:13" ht="15" customHeight="1" thickBot="1">
      <c r="F1526" s="300" t="s">
        <v>190</v>
      </c>
      <c r="G1526" s="301" t="s">
        <v>191</v>
      </c>
      <c r="H1526" s="302"/>
      <c r="I1526" s="302"/>
      <c r="J1526" s="351"/>
      <c r="K1526" s="328">
        <v>0</v>
      </c>
      <c r="L1526" s="310">
        <f>J1526*K1526</f>
        <v>0</v>
      </c>
    </row>
    <row r="1527" spans="5:13" ht="15" customHeight="1" thickBot="1">
      <c r="F1527" s="316"/>
      <c r="G1527" s="317"/>
      <c r="H1527" s="318"/>
      <c r="I1527" s="318"/>
      <c r="J1527" s="319" t="s">
        <v>192</v>
      </c>
      <c r="K1527" s="320"/>
      <c r="L1527" s="321">
        <f>L1526</f>
        <v>0</v>
      </c>
    </row>
    <row r="1528" spans="5:13" ht="15" customHeight="1">
      <c r="F1528" s="344" t="s">
        <v>193</v>
      </c>
      <c r="G1528" s="345" t="s">
        <v>194</v>
      </c>
      <c r="H1528" s="346"/>
      <c r="I1528" s="346"/>
      <c r="J1528" s="347"/>
      <c r="K1528" s="348">
        <v>0</v>
      </c>
      <c r="L1528" s="310">
        <f>SUM(L1508:L1527)/2</f>
        <v>118118.70000000001</v>
      </c>
    </row>
    <row r="1529" spans="5:13" ht="15" customHeight="1" thickBot="1">
      <c r="F1529" s="331" t="s">
        <v>195</v>
      </c>
      <c r="G1529" s="332" t="s">
        <v>196</v>
      </c>
      <c r="H1529" s="333"/>
      <c r="I1529" s="333"/>
      <c r="J1529" s="350">
        <v>0.1</v>
      </c>
      <c r="K1529" s="335"/>
      <c r="L1529" s="330">
        <f>J1529*L1528</f>
        <v>11811.870000000003</v>
      </c>
    </row>
    <row r="1530" spans="5:13" ht="15" customHeight="1" thickBot="1">
      <c r="F1530" s="340" t="s">
        <v>197</v>
      </c>
      <c r="G1530" s="341" t="s">
        <v>198</v>
      </c>
      <c r="H1530" s="318"/>
      <c r="I1530" s="318"/>
      <c r="J1530" s="342"/>
      <c r="K1530" s="320">
        <v>0</v>
      </c>
      <c r="L1530" s="321">
        <f>ROUNDDOWN(L1528+L1529,0)</f>
        <v>129930</v>
      </c>
    </row>
    <row r="1531" spans="5:13" ht="15" customHeight="1">
      <c r="F1531" s="298"/>
      <c r="G1531" s="298"/>
      <c r="J1531" s="343"/>
      <c r="K1531" s="355"/>
      <c r="L1531" s="299"/>
    </row>
    <row r="1532" spans="5:13" ht="15" customHeight="1" thickBot="1">
      <c r="E1532" s="356" t="s">
        <v>432</v>
      </c>
      <c r="F1532" s="295" t="s">
        <v>433</v>
      </c>
      <c r="J1532" s="343"/>
      <c r="M1532" s="299">
        <f>L1556</f>
        <v>164308</v>
      </c>
    </row>
    <row r="1533" spans="5:13" ht="15" customHeight="1" thickBot="1">
      <c r="F1533" s="340" t="s">
        <v>136</v>
      </c>
      <c r="G1533" s="341" t="s">
        <v>162</v>
      </c>
      <c r="H1533" s="352" t="s">
        <v>163</v>
      </c>
      <c r="I1533" s="352" t="s">
        <v>138</v>
      </c>
      <c r="J1533" s="353" t="s">
        <v>164</v>
      </c>
      <c r="K1533" s="341" t="s">
        <v>165</v>
      </c>
      <c r="L1533" s="354" t="s">
        <v>166</v>
      </c>
    </row>
    <row r="1534" spans="5:13" ht="15" customHeight="1">
      <c r="F1534" s="300" t="s">
        <v>167</v>
      </c>
      <c r="G1534" s="301" t="s">
        <v>168</v>
      </c>
      <c r="H1534" s="302"/>
      <c r="I1534" s="302"/>
      <c r="J1534" s="351"/>
      <c r="K1534" s="328"/>
      <c r="L1534" s="310"/>
    </row>
    <row r="1535" spans="5:13" ht="15" customHeight="1">
      <c r="F1535" s="306"/>
      <c r="G1535" s="301" t="s">
        <v>169</v>
      </c>
      <c r="H1535" s="307" t="s">
        <v>170</v>
      </c>
      <c r="I1535" s="307" t="s">
        <v>171</v>
      </c>
      <c r="J1535" s="308">
        <v>0.29699999999999999</v>
      </c>
      <c r="K1535" s="309">
        <f t="shared" ref="K1535:K1540" si="57">VLOOKUP(G1535,Upah,8,FALSE)</f>
        <v>125000</v>
      </c>
      <c r="L1535" s="310">
        <f t="shared" ref="L1535:L1540" si="58">J1535*K1535</f>
        <v>37125</v>
      </c>
    </row>
    <row r="1536" spans="5:13" ht="15" customHeight="1">
      <c r="F1536" s="306"/>
      <c r="G1536" s="301" t="s">
        <v>216</v>
      </c>
      <c r="H1536" s="307" t="s">
        <v>217</v>
      </c>
      <c r="I1536" s="307" t="s">
        <v>171</v>
      </c>
      <c r="J1536" s="308">
        <v>3.3000000000000002E-2</v>
      </c>
      <c r="K1536" s="309">
        <f t="shared" si="57"/>
        <v>150000</v>
      </c>
      <c r="L1536" s="310">
        <f t="shared" si="58"/>
        <v>4950</v>
      </c>
    </row>
    <row r="1537" spans="6:12" ht="15" customHeight="1">
      <c r="F1537" s="306"/>
      <c r="G1537" s="301" t="s">
        <v>413</v>
      </c>
      <c r="H1537" s="307" t="s">
        <v>173</v>
      </c>
      <c r="I1537" s="307" t="s">
        <v>171</v>
      </c>
      <c r="J1537" s="308">
        <v>3.3000000000000002E-2</v>
      </c>
      <c r="K1537" s="309">
        <f t="shared" si="57"/>
        <v>150000</v>
      </c>
      <c r="L1537" s="310">
        <f t="shared" si="58"/>
        <v>4950</v>
      </c>
    </row>
    <row r="1538" spans="6:12" ht="15" customHeight="1">
      <c r="F1538" s="306"/>
      <c r="G1538" s="301" t="s">
        <v>414</v>
      </c>
      <c r="H1538" s="307" t="s">
        <v>380</v>
      </c>
      <c r="I1538" s="307" t="s">
        <v>171</v>
      </c>
      <c r="J1538" s="308">
        <v>3.3000000000000002E-2</v>
      </c>
      <c r="K1538" s="309">
        <f t="shared" si="57"/>
        <v>150000</v>
      </c>
      <c r="L1538" s="310">
        <f t="shared" si="58"/>
        <v>4950</v>
      </c>
    </row>
    <row r="1539" spans="6:12" ht="15" customHeight="1">
      <c r="F1539" s="306"/>
      <c r="G1539" s="301" t="s">
        <v>232</v>
      </c>
      <c r="H1539" s="307" t="s">
        <v>175</v>
      </c>
      <c r="I1539" s="307" t="s">
        <v>171</v>
      </c>
      <c r="J1539" s="308">
        <v>0.01</v>
      </c>
      <c r="K1539" s="309">
        <f t="shared" si="57"/>
        <v>165000</v>
      </c>
      <c r="L1539" s="310">
        <f t="shared" si="58"/>
        <v>1650</v>
      </c>
    </row>
    <row r="1540" spans="6:12" ht="15" customHeight="1" thickBot="1">
      <c r="F1540" s="306"/>
      <c r="G1540" s="301" t="s">
        <v>176</v>
      </c>
      <c r="H1540" s="307" t="s">
        <v>177</v>
      </c>
      <c r="I1540" s="307" t="s">
        <v>171</v>
      </c>
      <c r="J1540" s="308">
        <v>1.4999999999999999E-2</v>
      </c>
      <c r="K1540" s="309">
        <f t="shared" si="57"/>
        <v>170000</v>
      </c>
      <c r="L1540" s="310">
        <f t="shared" si="58"/>
        <v>2550</v>
      </c>
    </row>
    <row r="1541" spans="6:12" ht="15" customHeight="1" thickBot="1">
      <c r="F1541" s="316"/>
      <c r="G1541" s="317"/>
      <c r="H1541" s="318"/>
      <c r="I1541" s="318"/>
      <c r="J1541" s="319" t="s">
        <v>178</v>
      </c>
      <c r="K1541" s="320"/>
      <c r="L1541" s="321">
        <f>SUM(L1535:L1540)</f>
        <v>56175</v>
      </c>
    </row>
    <row r="1542" spans="6:12" ht="15" customHeight="1">
      <c r="F1542" s="300" t="s">
        <v>179</v>
      </c>
      <c r="G1542" s="301" t="s">
        <v>180</v>
      </c>
      <c r="H1542" s="302"/>
      <c r="I1542" s="302"/>
      <c r="J1542" s="351"/>
      <c r="K1542" s="328"/>
      <c r="L1542" s="310"/>
    </row>
    <row r="1543" spans="6:12" ht="15" customHeight="1">
      <c r="F1543" s="306"/>
      <c r="G1543" s="301" t="s">
        <v>388</v>
      </c>
      <c r="H1543" s="302"/>
      <c r="I1543" s="307" t="s">
        <v>44</v>
      </c>
      <c r="J1543" s="308">
        <v>3.0000000000000001E-3</v>
      </c>
      <c r="K1543" s="328">
        <f t="shared" ref="K1543:K1550" si="59">VLOOKUP(G1543,Bahan,6,FALSE)</f>
        <v>4500000</v>
      </c>
      <c r="L1543" s="310">
        <f t="shared" ref="L1543:L1550" si="60">J1543*K1543</f>
        <v>13500</v>
      </c>
    </row>
    <row r="1544" spans="6:12" ht="15" customHeight="1">
      <c r="F1544" s="306"/>
      <c r="G1544" s="301" t="s">
        <v>415</v>
      </c>
      <c r="H1544" s="302"/>
      <c r="I1544" s="307" t="s">
        <v>38</v>
      </c>
      <c r="J1544" s="308">
        <v>0.02</v>
      </c>
      <c r="K1544" s="328">
        <f t="shared" si="59"/>
        <v>27970</v>
      </c>
      <c r="L1544" s="310">
        <f t="shared" si="60"/>
        <v>559.4</v>
      </c>
    </row>
    <row r="1545" spans="6:12" ht="15" customHeight="1">
      <c r="F1545" s="306"/>
      <c r="G1545" s="301" t="s">
        <v>390</v>
      </c>
      <c r="H1545" s="302"/>
      <c r="I1545" s="307" t="s">
        <v>188</v>
      </c>
      <c r="J1545" s="351">
        <v>1.2</v>
      </c>
      <c r="K1545" s="328">
        <f t="shared" si="59"/>
        <v>7310</v>
      </c>
      <c r="L1545" s="310">
        <f t="shared" si="60"/>
        <v>8772</v>
      </c>
    </row>
    <row r="1546" spans="6:12" ht="15" customHeight="1">
      <c r="F1546" s="306"/>
      <c r="G1546" s="301" t="s">
        <v>327</v>
      </c>
      <c r="H1546" s="302"/>
      <c r="I1546" s="307" t="s">
        <v>38</v>
      </c>
      <c r="J1546" s="308">
        <v>3.6</v>
      </c>
      <c r="K1546" s="328">
        <f t="shared" si="59"/>
        <v>12920</v>
      </c>
      <c r="L1546" s="310">
        <f t="shared" si="60"/>
        <v>46512</v>
      </c>
    </row>
    <row r="1547" spans="6:12" ht="15" customHeight="1">
      <c r="F1547" s="306"/>
      <c r="G1547" s="301" t="s">
        <v>328</v>
      </c>
      <c r="H1547" s="302"/>
      <c r="I1547" s="307" t="s">
        <v>38</v>
      </c>
      <c r="J1547" s="308">
        <v>0.05</v>
      </c>
      <c r="K1547" s="328">
        <f t="shared" si="59"/>
        <v>27260</v>
      </c>
      <c r="L1547" s="310">
        <f t="shared" si="60"/>
        <v>1363</v>
      </c>
    </row>
    <row r="1548" spans="6:12" ht="15" customHeight="1">
      <c r="F1548" s="306"/>
      <c r="G1548" s="301" t="s">
        <v>183</v>
      </c>
      <c r="H1548" s="302"/>
      <c r="I1548" s="307" t="s">
        <v>38</v>
      </c>
      <c r="J1548" s="308">
        <v>5.5</v>
      </c>
      <c r="K1548" s="328">
        <f t="shared" si="59"/>
        <v>1880</v>
      </c>
      <c r="L1548" s="310">
        <f t="shared" si="60"/>
        <v>10340</v>
      </c>
    </row>
    <row r="1549" spans="6:12" ht="15" customHeight="1">
      <c r="F1549" s="306"/>
      <c r="G1549" s="301" t="s">
        <v>1705</v>
      </c>
      <c r="H1549" s="302"/>
      <c r="I1549" s="307" t="s">
        <v>44</v>
      </c>
      <c r="J1549" s="308">
        <v>8.9999999999999993E-3</v>
      </c>
      <c r="K1549" s="328">
        <f t="shared" si="59"/>
        <v>350000</v>
      </c>
      <c r="L1549" s="310">
        <f t="shared" si="60"/>
        <v>3149.9999999999995</v>
      </c>
    </row>
    <row r="1550" spans="6:12" ht="15" customHeight="1" thickBot="1">
      <c r="F1550" s="306"/>
      <c r="G1550" s="301" t="s">
        <v>1703</v>
      </c>
      <c r="H1550" s="302"/>
      <c r="I1550" s="307" t="s">
        <v>44</v>
      </c>
      <c r="J1550" s="308">
        <v>1.4999999999999999E-2</v>
      </c>
      <c r="K1550" s="328">
        <f t="shared" si="59"/>
        <v>600000</v>
      </c>
      <c r="L1550" s="310">
        <f t="shared" si="60"/>
        <v>9000</v>
      </c>
    </row>
    <row r="1551" spans="6:12" ht="15" customHeight="1" thickBot="1">
      <c r="F1551" s="316"/>
      <c r="G1551" s="317"/>
      <c r="H1551" s="318"/>
      <c r="I1551" s="318"/>
      <c r="J1551" s="319" t="s">
        <v>189</v>
      </c>
      <c r="K1551" s="320"/>
      <c r="L1551" s="321">
        <f>SUM(L1543:L1550)</f>
        <v>93196.4</v>
      </c>
    </row>
    <row r="1552" spans="6:12" ht="15" customHeight="1" thickBot="1">
      <c r="F1552" s="300" t="s">
        <v>190</v>
      </c>
      <c r="G1552" s="301" t="s">
        <v>191</v>
      </c>
      <c r="H1552" s="302"/>
      <c r="I1552" s="302"/>
      <c r="J1552" s="351"/>
      <c r="K1552" s="328">
        <v>0</v>
      </c>
      <c r="L1552" s="310">
        <f>J1552*K1552</f>
        <v>0</v>
      </c>
    </row>
    <row r="1553" spans="4:13" ht="15" customHeight="1" thickBot="1">
      <c r="F1553" s="316"/>
      <c r="G1553" s="317"/>
      <c r="H1553" s="318"/>
      <c r="I1553" s="318"/>
      <c r="J1553" s="319" t="s">
        <v>192</v>
      </c>
      <c r="K1553" s="320"/>
      <c r="L1553" s="321">
        <f>L1552</f>
        <v>0</v>
      </c>
    </row>
    <row r="1554" spans="4:13" ht="15" customHeight="1">
      <c r="F1554" s="344" t="s">
        <v>193</v>
      </c>
      <c r="G1554" s="345" t="s">
        <v>194</v>
      </c>
      <c r="H1554" s="346"/>
      <c r="I1554" s="346"/>
      <c r="J1554" s="347"/>
      <c r="K1554" s="348">
        <v>0</v>
      </c>
      <c r="L1554" s="310">
        <f>SUM(L1533:L1553)/2</f>
        <v>149371.4</v>
      </c>
    </row>
    <row r="1555" spans="4:13" ht="15" customHeight="1" thickBot="1">
      <c r="F1555" s="331" t="s">
        <v>195</v>
      </c>
      <c r="G1555" s="332" t="s">
        <v>196</v>
      </c>
      <c r="H1555" s="333"/>
      <c r="I1555" s="333"/>
      <c r="J1555" s="350">
        <v>0.1</v>
      </c>
      <c r="K1555" s="335"/>
      <c r="L1555" s="330">
        <f>J1555*L1554</f>
        <v>14937.14</v>
      </c>
    </row>
    <row r="1556" spans="4:13" ht="15" customHeight="1" thickBot="1">
      <c r="F1556" s="340" t="s">
        <v>197</v>
      </c>
      <c r="G1556" s="341" t="s">
        <v>198</v>
      </c>
      <c r="H1556" s="318"/>
      <c r="I1556" s="318"/>
      <c r="J1556" s="342"/>
      <c r="K1556" s="320">
        <v>0</v>
      </c>
      <c r="L1556" s="321">
        <f>ROUNDDOWN(L1554+L1555,0)</f>
        <v>164308</v>
      </c>
    </row>
    <row r="1557" spans="4:13" ht="15" customHeight="1">
      <c r="F1557" s="298"/>
      <c r="G1557" s="298"/>
      <c r="J1557" s="343"/>
    </row>
    <row r="1558" spans="4:13" ht="15" customHeight="1">
      <c r="D1558" s="560" t="s">
        <v>434</v>
      </c>
      <c r="E1558" s="358" t="s">
        <v>435</v>
      </c>
      <c r="J1558" s="343"/>
    </row>
    <row r="1559" spans="4:13" ht="15" customHeight="1" thickBot="1">
      <c r="E1559" s="356" t="s">
        <v>436</v>
      </c>
      <c r="F1559" s="295" t="s">
        <v>437</v>
      </c>
      <c r="J1559" s="343"/>
      <c r="M1559" s="299">
        <f>L1577</f>
        <v>135769</v>
      </c>
    </row>
    <row r="1560" spans="4:13" ht="15" customHeight="1" thickBot="1">
      <c r="F1560" s="340" t="s">
        <v>136</v>
      </c>
      <c r="G1560" s="341" t="s">
        <v>162</v>
      </c>
      <c r="H1560" s="352" t="s">
        <v>163</v>
      </c>
      <c r="I1560" s="352" t="s">
        <v>138</v>
      </c>
      <c r="J1560" s="353" t="s">
        <v>164</v>
      </c>
      <c r="K1560" s="341" t="s">
        <v>165</v>
      </c>
      <c r="L1560" s="354" t="s">
        <v>166</v>
      </c>
    </row>
    <row r="1561" spans="4:13" ht="15" customHeight="1">
      <c r="F1561" s="300" t="s">
        <v>167</v>
      </c>
      <c r="G1561" s="301" t="s">
        <v>168</v>
      </c>
      <c r="H1561" s="302"/>
      <c r="I1561" s="302"/>
      <c r="J1561" s="351"/>
      <c r="K1561" s="328"/>
      <c r="L1561" s="310"/>
    </row>
    <row r="1562" spans="4:13" ht="15" customHeight="1">
      <c r="F1562" s="306"/>
      <c r="G1562" s="301" t="s">
        <v>169</v>
      </c>
      <c r="H1562" s="307" t="s">
        <v>170</v>
      </c>
      <c r="I1562" s="307" t="s">
        <v>171</v>
      </c>
      <c r="J1562" s="308">
        <v>0.13200000000000001</v>
      </c>
      <c r="K1562" s="309">
        <f>VLOOKUP(G1562,Upah,8,FALSE)</f>
        <v>125000</v>
      </c>
      <c r="L1562" s="310">
        <f>J1562*K1562</f>
        <v>16500</v>
      </c>
    </row>
    <row r="1563" spans="4:13" ht="15" customHeight="1">
      <c r="F1563" s="306"/>
      <c r="G1563" s="301" t="s">
        <v>216</v>
      </c>
      <c r="H1563" s="307" t="s">
        <v>217</v>
      </c>
      <c r="I1563" s="307" t="s">
        <v>171</v>
      </c>
      <c r="J1563" s="308">
        <v>2.1999999999999999E-2</v>
      </c>
      <c r="K1563" s="309">
        <f>VLOOKUP(G1563,Upah,8,FALSE)</f>
        <v>150000</v>
      </c>
      <c r="L1563" s="310">
        <f>J1563*K1563</f>
        <v>3300</v>
      </c>
    </row>
    <row r="1564" spans="4:13" ht="15" customHeight="1">
      <c r="F1564" s="306"/>
      <c r="G1564" s="301" t="s">
        <v>232</v>
      </c>
      <c r="H1564" s="307" t="s">
        <v>175</v>
      </c>
      <c r="I1564" s="307" t="s">
        <v>171</v>
      </c>
      <c r="J1564" s="308">
        <v>2E-3</v>
      </c>
      <c r="K1564" s="309">
        <f>VLOOKUP(G1564,Upah,8,FALSE)</f>
        <v>165000</v>
      </c>
      <c r="L1564" s="310">
        <f>J1564*K1564</f>
        <v>330</v>
      </c>
    </row>
    <row r="1565" spans="4:13" ht="15" customHeight="1" thickBot="1">
      <c r="F1565" s="306"/>
      <c r="G1565" s="301" t="s">
        <v>176</v>
      </c>
      <c r="H1565" s="307" t="s">
        <v>177</v>
      </c>
      <c r="I1565" s="307" t="s">
        <v>171</v>
      </c>
      <c r="J1565" s="308">
        <v>7.0000000000000001E-3</v>
      </c>
      <c r="K1565" s="309">
        <f>VLOOKUP(G1565,Upah,8,FALSE)</f>
        <v>170000</v>
      </c>
      <c r="L1565" s="310">
        <f>J1565*K1565</f>
        <v>1190</v>
      </c>
    </row>
    <row r="1566" spans="4:13" ht="15" customHeight="1" thickBot="1">
      <c r="F1566" s="316"/>
      <c r="G1566" s="317"/>
      <c r="H1566" s="318"/>
      <c r="I1566" s="318"/>
      <c r="J1566" s="319" t="s">
        <v>178</v>
      </c>
      <c r="K1566" s="320"/>
      <c r="L1566" s="321">
        <f>SUM(L1562:L1565)</f>
        <v>21320</v>
      </c>
    </row>
    <row r="1567" spans="4:13" ht="15" customHeight="1">
      <c r="F1567" s="300" t="s">
        <v>179</v>
      </c>
      <c r="G1567" s="301" t="s">
        <v>180</v>
      </c>
      <c r="H1567" s="302"/>
      <c r="I1567" s="302"/>
      <c r="J1567" s="351"/>
      <c r="K1567" s="328"/>
      <c r="L1567" s="310"/>
    </row>
    <row r="1568" spans="4:13" ht="15" customHeight="1">
      <c r="F1568" s="306"/>
      <c r="G1568" s="301" t="s">
        <v>183</v>
      </c>
      <c r="H1568" s="302"/>
      <c r="I1568" s="307" t="s">
        <v>45</v>
      </c>
      <c r="J1568" s="308">
        <v>26.08</v>
      </c>
      <c r="K1568" s="328">
        <f>VLOOKUP(G1568,Bahan,6,FALSE)</f>
        <v>1880</v>
      </c>
      <c r="L1568" s="310">
        <f>J1568*K1568</f>
        <v>49030.399999999994</v>
      </c>
    </row>
    <row r="1569" spans="5:13" ht="15" customHeight="1">
      <c r="F1569" s="306"/>
      <c r="G1569" s="301" t="s">
        <v>1699</v>
      </c>
      <c r="H1569" s="302"/>
      <c r="I1569" s="307" t="s">
        <v>45</v>
      </c>
      <c r="J1569" s="308">
        <v>60.8</v>
      </c>
      <c r="K1569" s="328">
        <f>VLOOKUP(G1569,Bahan,6,FALSE)</f>
        <v>250</v>
      </c>
      <c r="L1569" s="310">
        <f>J1569*K1569</f>
        <v>15200</v>
      </c>
    </row>
    <row r="1570" spans="5:13" ht="15" customHeight="1">
      <c r="F1570" s="306"/>
      <c r="G1570" s="301" t="s">
        <v>1701</v>
      </c>
      <c r="H1570" s="302"/>
      <c r="I1570" s="307" t="s">
        <v>45</v>
      </c>
      <c r="J1570" s="308">
        <v>82.32</v>
      </c>
      <c r="K1570" s="328">
        <f>VLOOKUP(G1570,Bahan,6,FALSE)</f>
        <v>444.44444444444446</v>
      </c>
      <c r="L1570" s="310">
        <f>J1570*K1570</f>
        <v>36586.666666666664</v>
      </c>
    </row>
    <row r="1571" spans="5:13" ht="15" customHeight="1" thickBot="1">
      <c r="F1571" s="306"/>
      <c r="G1571" s="301" t="s">
        <v>335</v>
      </c>
      <c r="H1571" s="302"/>
      <c r="I1571" s="307" t="s">
        <v>438</v>
      </c>
      <c r="J1571" s="308">
        <v>17.2</v>
      </c>
      <c r="K1571" s="328">
        <f>VLOOKUP(G1571,Bahan,6,FALSE)</f>
        <v>75</v>
      </c>
      <c r="L1571" s="310">
        <f>J1571*K1571</f>
        <v>1290</v>
      </c>
    </row>
    <row r="1572" spans="5:13" ht="15" customHeight="1" thickBot="1">
      <c r="F1572" s="316"/>
      <c r="G1572" s="317"/>
      <c r="H1572" s="318"/>
      <c r="I1572" s="318"/>
      <c r="J1572" s="319" t="s">
        <v>189</v>
      </c>
      <c r="K1572" s="320"/>
      <c r="L1572" s="321">
        <f>SUM(L1568:L1571)</f>
        <v>102107.06666666665</v>
      </c>
    </row>
    <row r="1573" spans="5:13" ht="15" customHeight="1" thickBot="1">
      <c r="F1573" s="300" t="s">
        <v>190</v>
      </c>
      <c r="G1573" s="301" t="s">
        <v>191</v>
      </c>
      <c r="H1573" s="302"/>
      <c r="I1573" s="302"/>
      <c r="J1573" s="351"/>
      <c r="K1573" s="328">
        <v>0</v>
      </c>
      <c r="L1573" s="310">
        <f>J1573*K1573</f>
        <v>0</v>
      </c>
    </row>
    <row r="1574" spans="5:13" ht="15" customHeight="1" thickBot="1">
      <c r="F1574" s="316"/>
      <c r="G1574" s="317"/>
      <c r="H1574" s="318"/>
      <c r="I1574" s="318"/>
      <c r="J1574" s="319" t="s">
        <v>192</v>
      </c>
      <c r="K1574" s="320"/>
      <c r="L1574" s="321">
        <f>L1573</f>
        <v>0</v>
      </c>
    </row>
    <row r="1575" spans="5:13" ht="15" customHeight="1">
      <c r="F1575" s="344" t="s">
        <v>193</v>
      </c>
      <c r="G1575" s="345" t="s">
        <v>194</v>
      </c>
      <c r="H1575" s="346"/>
      <c r="I1575" s="346"/>
      <c r="J1575" s="347"/>
      <c r="K1575" s="348">
        <v>0</v>
      </c>
      <c r="L1575" s="310">
        <f>SUM(L1561:L1574)/2</f>
        <v>123427.06666666665</v>
      </c>
    </row>
    <row r="1576" spans="5:13" ht="15" customHeight="1" thickBot="1">
      <c r="F1576" s="331" t="s">
        <v>195</v>
      </c>
      <c r="G1576" s="332" t="s">
        <v>196</v>
      </c>
      <c r="H1576" s="333"/>
      <c r="I1576" s="333"/>
      <c r="J1576" s="350">
        <v>0.1</v>
      </c>
      <c r="K1576" s="335"/>
      <c r="L1576" s="330">
        <f>J1576*L1575</f>
        <v>12342.706666666665</v>
      </c>
    </row>
    <row r="1577" spans="5:13" ht="15" customHeight="1" thickBot="1">
      <c r="F1577" s="340" t="s">
        <v>197</v>
      </c>
      <c r="G1577" s="341" t="s">
        <v>198</v>
      </c>
      <c r="H1577" s="318"/>
      <c r="I1577" s="318"/>
      <c r="J1577" s="342"/>
      <c r="K1577" s="320">
        <v>0</v>
      </c>
      <c r="L1577" s="321">
        <f>ROUNDDOWN(L1575+L1576,0)</f>
        <v>135769</v>
      </c>
    </row>
    <row r="1578" spans="5:13" ht="15" customHeight="1">
      <c r="F1578" s="298"/>
      <c r="G1578" s="298"/>
      <c r="J1578" s="343"/>
    </row>
    <row r="1579" spans="5:13" ht="15" customHeight="1" thickBot="1">
      <c r="E1579" s="297" t="s">
        <v>439</v>
      </c>
      <c r="F1579" s="298" t="s">
        <v>440</v>
      </c>
      <c r="J1579" s="343"/>
      <c r="M1579" s="299">
        <f>L1597</f>
        <v>169745</v>
      </c>
    </row>
    <row r="1580" spans="5:13" ht="15" customHeight="1" thickBot="1">
      <c r="F1580" s="340" t="s">
        <v>136</v>
      </c>
      <c r="G1580" s="341" t="s">
        <v>162</v>
      </c>
      <c r="H1580" s="352" t="s">
        <v>163</v>
      </c>
      <c r="I1580" s="352" t="s">
        <v>138</v>
      </c>
      <c r="J1580" s="353" t="s">
        <v>164</v>
      </c>
      <c r="K1580" s="341" t="s">
        <v>165</v>
      </c>
      <c r="L1580" s="354" t="s">
        <v>166</v>
      </c>
    </row>
    <row r="1581" spans="5:13" ht="15" customHeight="1">
      <c r="F1581" s="300" t="s">
        <v>167</v>
      </c>
      <c r="G1581" s="301" t="s">
        <v>168</v>
      </c>
      <c r="H1581" s="302"/>
      <c r="I1581" s="302"/>
      <c r="J1581" s="351"/>
      <c r="K1581" s="328"/>
      <c r="L1581" s="310"/>
    </row>
    <row r="1582" spans="5:13" ht="15" customHeight="1">
      <c r="F1582" s="306"/>
      <c r="G1582" s="301" t="s">
        <v>169</v>
      </c>
      <c r="H1582" s="307" t="s">
        <v>170</v>
      </c>
      <c r="I1582" s="307" t="s">
        <v>171</v>
      </c>
      <c r="J1582" s="308">
        <v>0.16500000000000001</v>
      </c>
      <c r="K1582" s="309">
        <f>VLOOKUP(G1582,Upah,8,FALSE)</f>
        <v>125000</v>
      </c>
      <c r="L1582" s="310">
        <f>J1582*K1582</f>
        <v>20625</v>
      </c>
    </row>
    <row r="1583" spans="5:13" ht="15" customHeight="1">
      <c r="F1583" s="306"/>
      <c r="G1583" s="301" t="s">
        <v>216</v>
      </c>
      <c r="H1583" s="307" t="s">
        <v>217</v>
      </c>
      <c r="I1583" s="307" t="s">
        <v>171</v>
      </c>
      <c r="J1583" s="308">
        <v>2.8000000000000001E-2</v>
      </c>
      <c r="K1583" s="309">
        <f>VLOOKUP(G1583,Upah,8,FALSE)</f>
        <v>150000</v>
      </c>
      <c r="L1583" s="310">
        <f>J1583*K1583</f>
        <v>4200</v>
      </c>
    </row>
    <row r="1584" spans="5:13" ht="15" customHeight="1">
      <c r="F1584" s="306"/>
      <c r="G1584" s="301" t="s">
        <v>232</v>
      </c>
      <c r="H1584" s="307" t="s">
        <v>175</v>
      </c>
      <c r="I1584" s="307" t="s">
        <v>171</v>
      </c>
      <c r="J1584" s="308">
        <v>3.0000000000000001E-3</v>
      </c>
      <c r="K1584" s="309">
        <f>VLOOKUP(G1584,Upah,8,FALSE)</f>
        <v>165000</v>
      </c>
      <c r="L1584" s="310">
        <f>J1584*K1584</f>
        <v>495</v>
      </c>
    </row>
    <row r="1585" spans="5:13" ht="15" customHeight="1" thickBot="1">
      <c r="F1585" s="306"/>
      <c r="G1585" s="301" t="s">
        <v>176</v>
      </c>
      <c r="H1585" s="307" t="s">
        <v>177</v>
      </c>
      <c r="I1585" s="307" t="s">
        <v>171</v>
      </c>
      <c r="J1585" s="308">
        <v>8.0000000000000002E-3</v>
      </c>
      <c r="K1585" s="309">
        <f>VLOOKUP(G1585,Upah,8,FALSE)</f>
        <v>170000</v>
      </c>
      <c r="L1585" s="310">
        <f>J1585*K1585</f>
        <v>1360</v>
      </c>
    </row>
    <row r="1586" spans="5:13" ht="15" customHeight="1" thickBot="1">
      <c r="F1586" s="316"/>
      <c r="G1586" s="317"/>
      <c r="H1586" s="318"/>
      <c r="I1586" s="318"/>
      <c r="J1586" s="319" t="s">
        <v>178</v>
      </c>
      <c r="K1586" s="320"/>
      <c r="L1586" s="321">
        <f>SUM(L1582:L1585)</f>
        <v>26680</v>
      </c>
    </row>
    <row r="1587" spans="5:13" ht="15" customHeight="1">
      <c r="F1587" s="300" t="s">
        <v>179</v>
      </c>
      <c r="G1587" s="301" t="s">
        <v>180</v>
      </c>
      <c r="H1587" s="302"/>
      <c r="I1587" s="302"/>
      <c r="J1587" s="351"/>
      <c r="K1587" s="328"/>
      <c r="L1587" s="310"/>
    </row>
    <row r="1588" spans="5:13" ht="15" customHeight="1">
      <c r="F1588" s="306"/>
      <c r="G1588" s="301" t="s">
        <v>183</v>
      </c>
      <c r="H1588" s="302"/>
      <c r="I1588" s="307" t="s">
        <v>45</v>
      </c>
      <c r="J1588" s="308">
        <v>32.6</v>
      </c>
      <c r="K1588" s="328">
        <f>VLOOKUP(G1588,Bahan,6,FALSE)</f>
        <v>1880</v>
      </c>
      <c r="L1588" s="310">
        <f>J1588*K1588</f>
        <v>61288</v>
      </c>
    </row>
    <row r="1589" spans="5:13" ht="15" customHeight="1">
      <c r="F1589" s="306"/>
      <c r="G1589" s="301" t="s">
        <v>1699</v>
      </c>
      <c r="H1589" s="302"/>
      <c r="I1589" s="307" t="s">
        <v>45</v>
      </c>
      <c r="J1589" s="308">
        <v>76</v>
      </c>
      <c r="K1589" s="328">
        <f>VLOOKUP(G1589,Bahan,6,FALSE)</f>
        <v>250</v>
      </c>
      <c r="L1589" s="310">
        <f>J1589*K1589</f>
        <v>19000</v>
      </c>
    </row>
    <row r="1590" spans="5:13" ht="15" customHeight="1">
      <c r="F1590" s="306"/>
      <c r="G1590" s="301" t="s">
        <v>1701</v>
      </c>
      <c r="H1590" s="302"/>
      <c r="I1590" s="307" t="s">
        <v>45</v>
      </c>
      <c r="J1590" s="308">
        <v>102.9</v>
      </c>
      <c r="K1590" s="328">
        <f>VLOOKUP(G1590,Bahan,6,FALSE)</f>
        <v>444.44444444444446</v>
      </c>
      <c r="L1590" s="310">
        <f>J1590*K1590</f>
        <v>45733.333333333336</v>
      </c>
    </row>
    <row r="1591" spans="5:13" ht="15" customHeight="1" thickBot="1">
      <c r="F1591" s="306"/>
      <c r="G1591" s="301" t="s">
        <v>335</v>
      </c>
      <c r="H1591" s="302"/>
      <c r="I1591" s="307" t="s">
        <v>438</v>
      </c>
      <c r="J1591" s="308">
        <v>21.5</v>
      </c>
      <c r="K1591" s="328">
        <f>VLOOKUP(G1591,Bahan,6,FALSE)</f>
        <v>75</v>
      </c>
      <c r="L1591" s="310">
        <f>J1591*K1591</f>
        <v>1612.5</v>
      </c>
    </row>
    <row r="1592" spans="5:13" ht="15" customHeight="1" thickBot="1">
      <c r="F1592" s="316"/>
      <c r="G1592" s="317"/>
      <c r="H1592" s="318"/>
      <c r="I1592" s="318"/>
      <c r="J1592" s="319" t="s">
        <v>189</v>
      </c>
      <c r="K1592" s="320"/>
      <c r="L1592" s="321">
        <f>SUM(L1588:L1591)</f>
        <v>127633.83333333334</v>
      </c>
    </row>
    <row r="1593" spans="5:13" ht="15" customHeight="1" thickBot="1">
      <c r="F1593" s="300" t="s">
        <v>190</v>
      </c>
      <c r="G1593" s="301" t="s">
        <v>191</v>
      </c>
      <c r="H1593" s="302"/>
      <c r="I1593" s="302"/>
      <c r="J1593" s="351"/>
      <c r="K1593" s="328">
        <v>0</v>
      </c>
      <c r="L1593" s="310">
        <f>J1593*K1593</f>
        <v>0</v>
      </c>
    </row>
    <row r="1594" spans="5:13" ht="15" customHeight="1" thickBot="1">
      <c r="F1594" s="316"/>
      <c r="G1594" s="317"/>
      <c r="H1594" s="318"/>
      <c r="I1594" s="318"/>
      <c r="J1594" s="319" t="s">
        <v>192</v>
      </c>
      <c r="K1594" s="320"/>
      <c r="L1594" s="321">
        <f>L1593</f>
        <v>0</v>
      </c>
    </row>
    <row r="1595" spans="5:13" ht="15" customHeight="1">
      <c r="F1595" s="344" t="s">
        <v>193</v>
      </c>
      <c r="G1595" s="345" t="s">
        <v>194</v>
      </c>
      <c r="H1595" s="346"/>
      <c r="I1595" s="346"/>
      <c r="J1595" s="347"/>
      <c r="K1595" s="348">
        <v>0</v>
      </c>
      <c r="L1595" s="310">
        <f>SUM(L1581:L1594)/2</f>
        <v>154313.83333333334</v>
      </c>
    </row>
    <row r="1596" spans="5:13" ht="15" customHeight="1" thickBot="1">
      <c r="F1596" s="331" t="s">
        <v>195</v>
      </c>
      <c r="G1596" s="332" t="s">
        <v>196</v>
      </c>
      <c r="H1596" s="333"/>
      <c r="I1596" s="333"/>
      <c r="J1596" s="350">
        <v>0.1</v>
      </c>
      <c r="K1596" s="335"/>
      <c r="L1596" s="330">
        <f>J1596*L1595</f>
        <v>15431.383333333335</v>
      </c>
    </row>
    <row r="1597" spans="5:13" ht="15" customHeight="1" thickBot="1">
      <c r="F1597" s="340" t="s">
        <v>197</v>
      </c>
      <c r="G1597" s="341" t="s">
        <v>198</v>
      </c>
      <c r="H1597" s="318"/>
      <c r="I1597" s="318"/>
      <c r="J1597" s="342"/>
      <c r="K1597" s="320">
        <v>0</v>
      </c>
      <c r="L1597" s="321">
        <f>ROUNDDOWN(L1595+L1596,0)</f>
        <v>169745</v>
      </c>
    </row>
    <row r="1598" spans="5:13" ht="15" customHeight="1">
      <c r="F1598" s="298"/>
      <c r="G1598" s="298"/>
      <c r="J1598" s="343"/>
      <c r="K1598" s="355"/>
      <c r="L1598" s="299"/>
    </row>
    <row r="1599" spans="5:13" ht="15" customHeight="1" thickBot="1">
      <c r="E1599" s="297" t="s">
        <v>441</v>
      </c>
      <c r="F1599" s="298" t="s">
        <v>442</v>
      </c>
      <c r="J1599" s="343"/>
      <c r="M1599" s="299">
        <f>L1617</f>
        <v>189085</v>
      </c>
    </row>
    <row r="1600" spans="5:13" ht="15" customHeight="1" thickBot="1">
      <c r="F1600" s="340" t="s">
        <v>136</v>
      </c>
      <c r="G1600" s="341" t="s">
        <v>162</v>
      </c>
      <c r="H1600" s="352" t="s">
        <v>163</v>
      </c>
      <c r="I1600" s="352" t="s">
        <v>138</v>
      </c>
      <c r="J1600" s="353" t="s">
        <v>164</v>
      </c>
      <c r="K1600" s="341" t="s">
        <v>165</v>
      </c>
      <c r="L1600" s="354" t="s">
        <v>166</v>
      </c>
    </row>
    <row r="1601" spans="6:12" ht="15" customHeight="1">
      <c r="F1601" s="300" t="s">
        <v>167</v>
      </c>
      <c r="G1601" s="301" t="s">
        <v>168</v>
      </c>
      <c r="H1601" s="302"/>
      <c r="I1601" s="302"/>
      <c r="J1601" s="351"/>
      <c r="K1601" s="328"/>
      <c r="L1601" s="310"/>
    </row>
    <row r="1602" spans="6:12" ht="15" customHeight="1">
      <c r="F1602" s="306"/>
      <c r="G1602" s="301" t="s">
        <v>169</v>
      </c>
      <c r="H1602" s="307" t="s">
        <v>170</v>
      </c>
      <c r="I1602" s="307" t="s">
        <v>171</v>
      </c>
      <c r="J1602" s="308">
        <v>0.19800000000000001</v>
      </c>
      <c r="K1602" s="309">
        <f>VLOOKUP(G1602,Upah,8,FALSE)</f>
        <v>125000</v>
      </c>
      <c r="L1602" s="310">
        <f>J1602*K1602</f>
        <v>24750</v>
      </c>
    </row>
    <row r="1603" spans="6:12" ht="15" customHeight="1">
      <c r="F1603" s="306"/>
      <c r="G1603" s="301" t="s">
        <v>216</v>
      </c>
      <c r="H1603" s="307" t="s">
        <v>217</v>
      </c>
      <c r="I1603" s="307" t="s">
        <v>171</v>
      </c>
      <c r="J1603" s="308">
        <v>3.3000000000000002E-2</v>
      </c>
      <c r="K1603" s="309">
        <f>VLOOKUP(G1603,Upah,8,FALSE)</f>
        <v>150000</v>
      </c>
      <c r="L1603" s="310">
        <f>J1603*K1603</f>
        <v>4950</v>
      </c>
    </row>
    <row r="1604" spans="6:12" ht="15" customHeight="1">
      <c r="F1604" s="306"/>
      <c r="G1604" s="301" t="s">
        <v>232</v>
      </c>
      <c r="H1604" s="307" t="s">
        <v>175</v>
      </c>
      <c r="I1604" s="307" t="s">
        <v>171</v>
      </c>
      <c r="J1604" s="308">
        <v>3.0000000000000001E-3</v>
      </c>
      <c r="K1604" s="309">
        <f>VLOOKUP(G1604,Upah,8,FALSE)</f>
        <v>165000</v>
      </c>
      <c r="L1604" s="310">
        <f>J1604*K1604</f>
        <v>495</v>
      </c>
    </row>
    <row r="1605" spans="6:12" ht="15" customHeight="1" thickBot="1">
      <c r="F1605" s="306"/>
      <c r="G1605" s="301" t="s">
        <v>176</v>
      </c>
      <c r="H1605" s="307" t="s">
        <v>177</v>
      </c>
      <c r="I1605" s="307" t="s">
        <v>171</v>
      </c>
      <c r="J1605" s="308">
        <v>0.01</v>
      </c>
      <c r="K1605" s="309">
        <f>VLOOKUP(G1605,Upah,8,FALSE)</f>
        <v>170000</v>
      </c>
      <c r="L1605" s="310">
        <f>J1605*K1605</f>
        <v>1700</v>
      </c>
    </row>
    <row r="1606" spans="6:12" ht="15" customHeight="1" thickBot="1">
      <c r="F1606" s="316"/>
      <c r="G1606" s="317"/>
      <c r="H1606" s="318"/>
      <c r="I1606" s="318"/>
      <c r="J1606" s="319" t="s">
        <v>178</v>
      </c>
      <c r="K1606" s="320"/>
      <c r="L1606" s="321">
        <f>SUM(L1602:L1605)</f>
        <v>31895</v>
      </c>
    </row>
    <row r="1607" spans="6:12" ht="15" customHeight="1">
      <c r="F1607" s="300" t="s">
        <v>179</v>
      </c>
      <c r="G1607" s="301" t="s">
        <v>180</v>
      </c>
      <c r="H1607" s="302"/>
      <c r="I1607" s="302"/>
      <c r="J1607" s="351"/>
      <c r="K1607" s="328"/>
      <c r="L1607" s="310"/>
    </row>
    <row r="1608" spans="6:12" ht="15" customHeight="1">
      <c r="F1608" s="306"/>
      <c r="G1608" s="301" t="s">
        <v>183</v>
      </c>
      <c r="H1608" s="302"/>
      <c r="I1608" s="307" t="s">
        <v>45</v>
      </c>
      <c r="J1608" s="308">
        <v>32.119999999999997</v>
      </c>
      <c r="K1608" s="328">
        <f>VLOOKUP(G1608,Bahan,6,FALSE)</f>
        <v>1880</v>
      </c>
      <c r="L1608" s="310">
        <f>J1608*K1608</f>
        <v>60385.599999999999</v>
      </c>
    </row>
    <row r="1609" spans="6:12" ht="15" customHeight="1">
      <c r="F1609" s="306"/>
      <c r="G1609" s="301" t="s">
        <v>1699</v>
      </c>
      <c r="H1609" s="302"/>
      <c r="I1609" s="307" t="s">
        <v>45</v>
      </c>
      <c r="J1609" s="308">
        <v>91.2</v>
      </c>
      <c r="K1609" s="328">
        <f>VLOOKUP(G1609,Bahan,6,FALSE)</f>
        <v>250</v>
      </c>
      <c r="L1609" s="310">
        <f>J1609*K1609</f>
        <v>22800</v>
      </c>
    </row>
    <row r="1610" spans="6:12" ht="15" customHeight="1">
      <c r="F1610" s="306"/>
      <c r="G1610" s="301" t="s">
        <v>1701</v>
      </c>
      <c r="H1610" s="302"/>
      <c r="I1610" s="307" t="s">
        <v>45</v>
      </c>
      <c r="J1610" s="308">
        <v>123.48</v>
      </c>
      <c r="K1610" s="328">
        <f>VLOOKUP(G1610,Bahan,6,FALSE)</f>
        <v>444.44444444444446</v>
      </c>
      <c r="L1610" s="310">
        <f>J1610*K1610</f>
        <v>54880</v>
      </c>
    </row>
    <row r="1611" spans="6:12" ht="15" customHeight="1" thickBot="1">
      <c r="F1611" s="306"/>
      <c r="G1611" s="301" t="s">
        <v>335</v>
      </c>
      <c r="H1611" s="302"/>
      <c r="I1611" s="307" t="s">
        <v>438</v>
      </c>
      <c r="J1611" s="308">
        <v>25.8</v>
      </c>
      <c r="K1611" s="328">
        <f>VLOOKUP(G1611,Bahan,6,FALSE)</f>
        <v>75</v>
      </c>
      <c r="L1611" s="310">
        <f>J1611*K1611</f>
        <v>1935</v>
      </c>
    </row>
    <row r="1612" spans="6:12" ht="15" customHeight="1" thickBot="1">
      <c r="F1612" s="316"/>
      <c r="G1612" s="317"/>
      <c r="H1612" s="318"/>
      <c r="I1612" s="318"/>
      <c r="J1612" s="319" t="s">
        <v>189</v>
      </c>
      <c r="K1612" s="320"/>
      <c r="L1612" s="321">
        <f>SUM(L1608:L1611)</f>
        <v>140000.6</v>
      </c>
    </row>
    <row r="1613" spans="6:12" ht="15" customHeight="1" thickBot="1">
      <c r="F1613" s="300" t="s">
        <v>190</v>
      </c>
      <c r="G1613" s="301" t="s">
        <v>191</v>
      </c>
      <c r="H1613" s="302"/>
      <c r="I1613" s="302"/>
      <c r="J1613" s="351"/>
      <c r="K1613" s="328">
        <v>0</v>
      </c>
      <c r="L1613" s="310">
        <f>J1613*K1613</f>
        <v>0</v>
      </c>
    </row>
    <row r="1614" spans="6:12" ht="15" customHeight="1" thickBot="1">
      <c r="F1614" s="316"/>
      <c r="G1614" s="317"/>
      <c r="H1614" s="318"/>
      <c r="I1614" s="318"/>
      <c r="J1614" s="319" t="s">
        <v>192</v>
      </c>
      <c r="K1614" s="320"/>
      <c r="L1614" s="321">
        <f>L1613</f>
        <v>0</v>
      </c>
    </row>
    <row r="1615" spans="6:12" ht="15" customHeight="1">
      <c r="F1615" s="344" t="s">
        <v>193</v>
      </c>
      <c r="G1615" s="345" t="s">
        <v>194</v>
      </c>
      <c r="H1615" s="346"/>
      <c r="I1615" s="346"/>
      <c r="J1615" s="347"/>
      <c r="K1615" s="348">
        <v>0</v>
      </c>
      <c r="L1615" s="310">
        <f>SUM(L1601:L1614)/2</f>
        <v>171895.6</v>
      </c>
    </row>
    <row r="1616" spans="6:12" ht="15" customHeight="1" thickBot="1">
      <c r="F1616" s="331" t="s">
        <v>195</v>
      </c>
      <c r="G1616" s="332" t="s">
        <v>196</v>
      </c>
      <c r="H1616" s="333"/>
      <c r="I1616" s="333"/>
      <c r="J1616" s="350">
        <v>0.1</v>
      </c>
      <c r="K1616" s="335"/>
      <c r="L1616" s="330">
        <f>J1616*L1615</f>
        <v>17189.560000000001</v>
      </c>
    </row>
    <row r="1617" spans="5:13" ht="15" customHeight="1" thickBot="1">
      <c r="F1617" s="340" t="s">
        <v>197</v>
      </c>
      <c r="G1617" s="341" t="s">
        <v>198</v>
      </c>
      <c r="H1617" s="318"/>
      <c r="I1617" s="318"/>
      <c r="J1617" s="342"/>
      <c r="K1617" s="320">
        <v>0</v>
      </c>
      <c r="L1617" s="321">
        <f>ROUNDDOWN(L1615+L1616,0)</f>
        <v>189085</v>
      </c>
    </row>
    <row r="1618" spans="5:13" ht="15" customHeight="1">
      <c r="F1618" s="298"/>
      <c r="G1618" s="298"/>
      <c r="J1618" s="343"/>
      <c r="K1618" s="355"/>
      <c r="L1618" s="299"/>
    </row>
    <row r="1619" spans="5:13" ht="15" customHeight="1" thickBot="1">
      <c r="E1619" s="297" t="s">
        <v>443</v>
      </c>
      <c r="F1619" s="298" t="s">
        <v>444</v>
      </c>
      <c r="J1619" s="343"/>
      <c r="M1619" s="299">
        <f>L1637</f>
        <v>254617</v>
      </c>
    </row>
    <row r="1620" spans="5:13" ht="15" customHeight="1" thickBot="1">
      <c r="F1620" s="340" t="s">
        <v>136</v>
      </c>
      <c r="G1620" s="341" t="s">
        <v>162</v>
      </c>
      <c r="H1620" s="352" t="s">
        <v>163</v>
      </c>
      <c r="I1620" s="352" t="s">
        <v>138</v>
      </c>
      <c r="J1620" s="353" t="s">
        <v>164</v>
      </c>
      <c r="K1620" s="341" t="s">
        <v>165</v>
      </c>
      <c r="L1620" s="354" t="s">
        <v>166</v>
      </c>
    </row>
    <row r="1621" spans="5:13" ht="15" customHeight="1">
      <c r="F1621" s="300" t="s">
        <v>167</v>
      </c>
      <c r="G1621" s="301" t="s">
        <v>168</v>
      </c>
      <c r="H1621" s="302"/>
      <c r="I1621" s="302"/>
      <c r="J1621" s="351"/>
      <c r="K1621" s="328"/>
      <c r="L1621" s="310"/>
    </row>
    <row r="1622" spans="5:13" ht="15" customHeight="1">
      <c r="F1622" s="306"/>
      <c r="G1622" s="301" t="s">
        <v>169</v>
      </c>
      <c r="H1622" s="307" t="s">
        <v>170</v>
      </c>
      <c r="I1622" s="307" t="s">
        <v>171</v>
      </c>
      <c r="J1622" s="308">
        <v>0.248</v>
      </c>
      <c r="K1622" s="309">
        <f>VLOOKUP(G1622,Upah,8,FALSE)</f>
        <v>125000</v>
      </c>
      <c r="L1622" s="310">
        <f>J1622*K1622</f>
        <v>31000</v>
      </c>
    </row>
    <row r="1623" spans="5:13" ht="15" customHeight="1">
      <c r="F1623" s="306"/>
      <c r="G1623" s="301" t="s">
        <v>216</v>
      </c>
      <c r="H1623" s="307" t="s">
        <v>217</v>
      </c>
      <c r="I1623" s="307" t="s">
        <v>171</v>
      </c>
      <c r="J1623" s="308">
        <v>4.1000000000000002E-2</v>
      </c>
      <c r="K1623" s="309">
        <f>VLOOKUP(G1623,Upah,8,FALSE)</f>
        <v>150000</v>
      </c>
      <c r="L1623" s="310">
        <f>J1623*K1623</f>
        <v>6150</v>
      </c>
    </row>
    <row r="1624" spans="5:13" ht="15" customHeight="1">
      <c r="F1624" s="306"/>
      <c r="G1624" s="301" t="s">
        <v>232</v>
      </c>
      <c r="H1624" s="307" t="s">
        <v>175</v>
      </c>
      <c r="I1624" s="307" t="s">
        <v>171</v>
      </c>
      <c r="J1624" s="308">
        <v>4.0000000000000001E-3</v>
      </c>
      <c r="K1624" s="309">
        <f>VLOOKUP(G1624,Upah,8,FALSE)</f>
        <v>165000</v>
      </c>
      <c r="L1624" s="310">
        <f>J1624*K1624</f>
        <v>660</v>
      </c>
    </row>
    <row r="1625" spans="5:13" ht="15" customHeight="1" thickBot="1">
      <c r="F1625" s="306"/>
      <c r="G1625" s="301" t="s">
        <v>176</v>
      </c>
      <c r="H1625" s="307" t="s">
        <v>177</v>
      </c>
      <c r="I1625" s="307" t="s">
        <v>171</v>
      </c>
      <c r="J1625" s="308">
        <v>1.2999999999999999E-2</v>
      </c>
      <c r="K1625" s="309">
        <f>VLOOKUP(G1625,Upah,8,FALSE)</f>
        <v>170000</v>
      </c>
      <c r="L1625" s="310">
        <f>J1625*K1625</f>
        <v>2210</v>
      </c>
    </row>
    <row r="1626" spans="5:13" ht="15" customHeight="1" thickBot="1">
      <c r="F1626" s="316"/>
      <c r="G1626" s="317"/>
      <c r="H1626" s="318"/>
      <c r="I1626" s="318"/>
      <c r="J1626" s="319" t="s">
        <v>178</v>
      </c>
      <c r="K1626" s="320"/>
      <c r="L1626" s="321">
        <f>SUM(L1622:L1625)</f>
        <v>40020</v>
      </c>
    </row>
    <row r="1627" spans="5:13" ht="15" customHeight="1">
      <c r="F1627" s="300" t="s">
        <v>179</v>
      </c>
      <c r="G1627" s="301" t="s">
        <v>180</v>
      </c>
      <c r="H1627" s="302"/>
      <c r="I1627" s="302"/>
      <c r="J1627" s="351"/>
      <c r="K1627" s="328"/>
      <c r="L1627" s="310"/>
    </row>
    <row r="1628" spans="5:13" ht="15" customHeight="1">
      <c r="F1628" s="306"/>
      <c r="G1628" s="301" t="s">
        <v>183</v>
      </c>
      <c r="H1628" s="302"/>
      <c r="I1628" s="307" t="s">
        <v>45</v>
      </c>
      <c r="J1628" s="308">
        <v>48.9</v>
      </c>
      <c r="K1628" s="328">
        <f>VLOOKUP(G1628,Bahan,6,FALSE)</f>
        <v>1880</v>
      </c>
      <c r="L1628" s="310">
        <f>J1628*K1628</f>
        <v>91932</v>
      </c>
    </row>
    <row r="1629" spans="5:13" ht="15" customHeight="1">
      <c r="F1629" s="306"/>
      <c r="G1629" s="301" t="s">
        <v>1699</v>
      </c>
      <c r="H1629" s="302"/>
      <c r="I1629" s="307" t="s">
        <v>45</v>
      </c>
      <c r="J1629" s="308">
        <v>114</v>
      </c>
      <c r="K1629" s="328">
        <f>VLOOKUP(G1629,Bahan,6,FALSE)</f>
        <v>250</v>
      </c>
      <c r="L1629" s="310">
        <f>J1629*K1629</f>
        <v>28500</v>
      </c>
    </row>
    <row r="1630" spans="5:13" ht="15" customHeight="1">
      <c r="F1630" s="306"/>
      <c r="G1630" s="301" t="s">
        <v>1701</v>
      </c>
      <c r="H1630" s="302"/>
      <c r="I1630" s="307" t="s">
        <v>45</v>
      </c>
      <c r="J1630" s="308">
        <v>154.35</v>
      </c>
      <c r="K1630" s="328">
        <f>VLOOKUP(G1630,Bahan,6,FALSE)</f>
        <v>444.44444444444446</v>
      </c>
      <c r="L1630" s="310">
        <f>J1630*K1630</f>
        <v>68600</v>
      </c>
    </row>
    <row r="1631" spans="5:13" ht="15" customHeight="1" thickBot="1">
      <c r="F1631" s="306"/>
      <c r="G1631" s="301" t="s">
        <v>335</v>
      </c>
      <c r="H1631" s="302"/>
      <c r="I1631" s="307" t="s">
        <v>438</v>
      </c>
      <c r="J1631" s="308">
        <v>32.25</v>
      </c>
      <c r="K1631" s="328">
        <f>VLOOKUP(G1631,Bahan,6,FALSE)</f>
        <v>75</v>
      </c>
      <c r="L1631" s="310">
        <f>J1631*K1631</f>
        <v>2418.75</v>
      </c>
    </row>
    <row r="1632" spans="5:13" ht="15" customHeight="1" thickBot="1">
      <c r="F1632" s="316"/>
      <c r="G1632" s="317"/>
      <c r="H1632" s="318"/>
      <c r="I1632" s="318"/>
      <c r="J1632" s="319" t="s">
        <v>189</v>
      </c>
      <c r="K1632" s="320"/>
      <c r="L1632" s="321">
        <f>SUM(L1628:L1631)</f>
        <v>191450.75</v>
      </c>
    </row>
    <row r="1633" spans="5:13" ht="15" customHeight="1" thickBot="1">
      <c r="F1633" s="300" t="s">
        <v>190</v>
      </c>
      <c r="G1633" s="301" t="s">
        <v>191</v>
      </c>
      <c r="H1633" s="302"/>
      <c r="I1633" s="302"/>
      <c r="J1633" s="351"/>
      <c r="K1633" s="328">
        <v>0</v>
      </c>
      <c r="L1633" s="310">
        <f>J1633*K1633</f>
        <v>0</v>
      </c>
    </row>
    <row r="1634" spans="5:13" ht="15" customHeight="1" thickBot="1">
      <c r="F1634" s="316"/>
      <c r="G1634" s="317"/>
      <c r="H1634" s="318"/>
      <c r="I1634" s="318"/>
      <c r="J1634" s="319" t="s">
        <v>192</v>
      </c>
      <c r="K1634" s="320"/>
      <c r="L1634" s="321">
        <f>L1633</f>
        <v>0</v>
      </c>
    </row>
    <row r="1635" spans="5:13" ht="15" customHeight="1">
      <c r="F1635" s="344" t="s">
        <v>193</v>
      </c>
      <c r="G1635" s="345" t="s">
        <v>194</v>
      </c>
      <c r="H1635" s="346"/>
      <c r="I1635" s="346"/>
      <c r="J1635" s="347"/>
      <c r="K1635" s="348">
        <v>0</v>
      </c>
      <c r="L1635" s="310">
        <f>SUM(L1621:L1634)/2</f>
        <v>231470.75</v>
      </c>
    </row>
    <row r="1636" spans="5:13" ht="15" customHeight="1" thickBot="1">
      <c r="F1636" s="331" t="s">
        <v>195</v>
      </c>
      <c r="G1636" s="332" t="s">
        <v>196</v>
      </c>
      <c r="H1636" s="333"/>
      <c r="I1636" s="333"/>
      <c r="J1636" s="350">
        <v>0.1</v>
      </c>
      <c r="K1636" s="335"/>
      <c r="L1636" s="330">
        <f>J1636*L1635</f>
        <v>23147.075000000001</v>
      </c>
    </row>
    <row r="1637" spans="5:13" ht="15" customHeight="1" thickBot="1">
      <c r="F1637" s="340" t="s">
        <v>197</v>
      </c>
      <c r="G1637" s="341" t="s">
        <v>198</v>
      </c>
      <c r="H1637" s="318"/>
      <c r="I1637" s="318"/>
      <c r="J1637" s="342"/>
      <c r="K1637" s="320">
        <v>0</v>
      </c>
      <c r="L1637" s="321">
        <f>ROUNDDOWN(L1635+L1636,0)</f>
        <v>254617</v>
      </c>
    </row>
    <row r="1638" spans="5:13" ht="15" customHeight="1">
      <c r="F1638" s="298"/>
      <c r="G1638" s="298"/>
      <c r="J1638" s="343"/>
      <c r="K1638" s="355"/>
      <c r="L1638" s="299"/>
    </row>
    <row r="1639" spans="5:13" ht="15" customHeight="1" thickBot="1">
      <c r="E1639" s="297" t="s">
        <v>445</v>
      </c>
      <c r="F1639" s="298" t="s">
        <v>446</v>
      </c>
      <c r="J1639" s="343"/>
      <c r="M1639" s="299">
        <f>L1659</f>
        <v>582125</v>
      </c>
    </row>
    <row r="1640" spans="5:13" ht="15" customHeight="1" thickBot="1">
      <c r="F1640" s="340" t="s">
        <v>136</v>
      </c>
      <c r="G1640" s="341" t="s">
        <v>162</v>
      </c>
      <c r="H1640" s="352" t="s">
        <v>163</v>
      </c>
      <c r="I1640" s="352" t="s">
        <v>138</v>
      </c>
      <c r="J1640" s="353" t="s">
        <v>164</v>
      </c>
      <c r="K1640" s="341" t="s">
        <v>165</v>
      </c>
      <c r="L1640" s="354" t="s">
        <v>166</v>
      </c>
    </row>
    <row r="1641" spans="5:13" ht="15" customHeight="1">
      <c r="F1641" s="300" t="s">
        <v>167</v>
      </c>
      <c r="G1641" s="301" t="s">
        <v>168</v>
      </c>
      <c r="H1641" s="302"/>
      <c r="I1641" s="302"/>
      <c r="J1641" s="351"/>
      <c r="K1641" s="328"/>
      <c r="L1641" s="310"/>
    </row>
    <row r="1642" spans="5:13" ht="15" customHeight="1">
      <c r="F1642" s="306"/>
      <c r="G1642" s="301" t="s">
        <v>169</v>
      </c>
      <c r="H1642" s="307" t="s">
        <v>170</v>
      </c>
      <c r="I1642" s="307" t="s">
        <v>171</v>
      </c>
      <c r="J1642" s="308">
        <v>7.0000000000000001E-3</v>
      </c>
      <c r="K1642" s="309">
        <f>VLOOKUP(G1642,Upah,8,FALSE)</f>
        <v>125000</v>
      </c>
      <c r="L1642" s="310">
        <f>J1642*K1642</f>
        <v>875</v>
      </c>
    </row>
    <row r="1643" spans="5:13" ht="15" customHeight="1">
      <c r="F1643" s="306"/>
      <c r="G1643" s="301" t="s">
        <v>216</v>
      </c>
      <c r="H1643" s="307" t="s">
        <v>217</v>
      </c>
      <c r="I1643" s="307" t="s">
        <v>171</v>
      </c>
      <c r="J1643" s="308">
        <v>7.5999999999999998E-2</v>
      </c>
      <c r="K1643" s="309">
        <f>VLOOKUP(G1643,Upah,8,FALSE)</f>
        <v>150000</v>
      </c>
      <c r="L1643" s="310">
        <f>J1643*K1643</f>
        <v>11400</v>
      </c>
    </row>
    <row r="1644" spans="5:13" ht="15" customHeight="1">
      <c r="F1644" s="306"/>
      <c r="G1644" s="301" t="s">
        <v>232</v>
      </c>
      <c r="H1644" s="307" t="s">
        <v>175</v>
      </c>
      <c r="I1644" s="307" t="s">
        <v>171</v>
      </c>
      <c r="J1644" s="308">
        <v>8.0000000000000002E-3</v>
      </c>
      <c r="K1644" s="309">
        <f>VLOOKUP(G1644,Upah,8,FALSE)</f>
        <v>165000</v>
      </c>
      <c r="L1644" s="310">
        <f>J1644*K1644</f>
        <v>1320</v>
      </c>
    </row>
    <row r="1645" spans="5:13" ht="15" customHeight="1" thickBot="1">
      <c r="F1645" s="306"/>
      <c r="G1645" s="301" t="s">
        <v>176</v>
      </c>
      <c r="H1645" s="307" t="s">
        <v>177</v>
      </c>
      <c r="I1645" s="307" t="s">
        <v>171</v>
      </c>
      <c r="J1645" s="308">
        <v>1E-3</v>
      </c>
      <c r="K1645" s="309">
        <f>VLOOKUP(G1645,Upah,8,FALSE)</f>
        <v>170000</v>
      </c>
      <c r="L1645" s="310">
        <f>J1645*K1645</f>
        <v>170</v>
      </c>
    </row>
    <row r="1646" spans="5:13" ht="15" customHeight="1" thickBot="1">
      <c r="F1646" s="316"/>
      <c r="G1646" s="317"/>
      <c r="H1646" s="318"/>
      <c r="I1646" s="318"/>
      <c r="J1646" s="319" t="s">
        <v>178</v>
      </c>
      <c r="K1646" s="320"/>
      <c r="L1646" s="321">
        <f>SUM(L1642:L1645)</f>
        <v>13765</v>
      </c>
    </row>
    <row r="1647" spans="5:13" ht="15" customHeight="1">
      <c r="F1647" s="300" t="s">
        <v>179</v>
      </c>
      <c r="G1647" s="301" t="s">
        <v>180</v>
      </c>
      <c r="H1647" s="302"/>
      <c r="I1647" s="302"/>
      <c r="J1647" s="351"/>
      <c r="K1647" s="328"/>
      <c r="L1647" s="310"/>
    </row>
    <row r="1648" spans="5:13" ht="15" customHeight="1">
      <c r="F1648" s="306"/>
      <c r="G1648" s="301" t="s">
        <v>447</v>
      </c>
      <c r="H1648" s="302"/>
      <c r="I1648" s="307" t="s">
        <v>44</v>
      </c>
      <c r="J1648" s="308">
        <v>0.08</v>
      </c>
      <c r="K1648" s="328">
        <f t="shared" ref="K1648:K1653" si="61">VLOOKUP(G1648,Bahan,6,FALSE)</f>
        <v>945000</v>
      </c>
      <c r="L1648" s="310">
        <f t="shared" ref="L1648:L1653" si="62">J1648*K1648</f>
        <v>75600</v>
      </c>
    </row>
    <row r="1649" spans="5:13" ht="15" customHeight="1">
      <c r="F1649" s="306"/>
      <c r="G1649" s="301" t="s">
        <v>448</v>
      </c>
      <c r="H1649" s="302"/>
      <c r="I1649" s="307" t="s">
        <v>45</v>
      </c>
      <c r="J1649" s="308">
        <v>9.3940000000000001</v>
      </c>
      <c r="K1649" s="328">
        <f t="shared" si="61"/>
        <v>37000</v>
      </c>
      <c r="L1649" s="310">
        <f t="shared" si="62"/>
        <v>347578</v>
      </c>
    </row>
    <row r="1650" spans="5:13" ht="15" customHeight="1">
      <c r="F1650" s="306"/>
      <c r="G1650" s="301" t="s">
        <v>449</v>
      </c>
      <c r="H1650" s="302"/>
      <c r="I1650" s="307" t="s">
        <v>44</v>
      </c>
      <c r="J1650" s="308">
        <v>5.0000000000000001E-3</v>
      </c>
      <c r="K1650" s="328">
        <f t="shared" si="61"/>
        <v>4375000</v>
      </c>
      <c r="L1650" s="310">
        <f t="shared" si="62"/>
        <v>21875</v>
      </c>
    </row>
    <row r="1651" spans="5:13" ht="15" customHeight="1">
      <c r="F1651" s="306"/>
      <c r="G1651" s="301" t="s">
        <v>450</v>
      </c>
      <c r="H1651" s="302"/>
      <c r="I1651" s="307" t="s">
        <v>202</v>
      </c>
      <c r="J1651" s="308">
        <v>0.08</v>
      </c>
      <c r="K1651" s="328">
        <f t="shared" si="61"/>
        <v>255000</v>
      </c>
      <c r="L1651" s="310">
        <f t="shared" si="62"/>
        <v>20400</v>
      </c>
    </row>
    <row r="1652" spans="5:13" ht="15" customHeight="1">
      <c r="F1652" s="306"/>
      <c r="G1652" s="301" t="s">
        <v>390</v>
      </c>
      <c r="H1652" s="302"/>
      <c r="I1652" s="307" t="s">
        <v>438</v>
      </c>
      <c r="J1652" s="308">
        <v>0.2</v>
      </c>
      <c r="K1652" s="328">
        <f t="shared" si="61"/>
        <v>7310</v>
      </c>
      <c r="L1652" s="310">
        <f t="shared" si="62"/>
        <v>1462</v>
      </c>
    </row>
    <row r="1653" spans="5:13" ht="15" customHeight="1" thickBot="1">
      <c r="F1653" s="306"/>
      <c r="G1653" s="301" t="s">
        <v>451</v>
      </c>
      <c r="H1653" s="302"/>
      <c r="I1653" s="307" t="s">
        <v>221</v>
      </c>
      <c r="J1653" s="308">
        <v>3.8820000000000001</v>
      </c>
      <c r="K1653" s="328">
        <f t="shared" si="61"/>
        <v>12500</v>
      </c>
      <c r="L1653" s="310">
        <f t="shared" si="62"/>
        <v>48525</v>
      </c>
    </row>
    <row r="1654" spans="5:13" ht="15" customHeight="1" thickBot="1">
      <c r="F1654" s="316"/>
      <c r="G1654" s="317"/>
      <c r="H1654" s="318"/>
      <c r="I1654" s="318"/>
      <c r="J1654" s="319" t="s">
        <v>189</v>
      </c>
      <c r="K1654" s="320"/>
      <c r="L1654" s="321">
        <f>SUM(L1648:L1653)</f>
        <v>515440</v>
      </c>
    </row>
    <row r="1655" spans="5:13" ht="15" customHeight="1" thickBot="1">
      <c r="F1655" s="300" t="s">
        <v>190</v>
      </c>
      <c r="G1655" s="301" t="s">
        <v>191</v>
      </c>
      <c r="H1655" s="302"/>
      <c r="I1655" s="302"/>
      <c r="J1655" s="351"/>
      <c r="K1655" s="328">
        <v>0</v>
      </c>
      <c r="L1655" s="310">
        <f>J1655*K1655</f>
        <v>0</v>
      </c>
    </row>
    <row r="1656" spans="5:13" ht="15" customHeight="1" thickBot="1">
      <c r="F1656" s="316"/>
      <c r="G1656" s="317"/>
      <c r="H1656" s="318"/>
      <c r="I1656" s="318"/>
      <c r="J1656" s="319" t="s">
        <v>192</v>
      </c>
      <c r="K1656" s="320"/>
      <c r="L1656" s="321">
        <f>L1655</f>
        <v>0</v>
      </c>
    </row>
    <row r="1657" spans="5:13" ht="15" customHeight="1">
      <c r="F1657" s="344" t="s">
        <v>193</v>
      </c>
      <c r="G1657" s="345" t="s">
        <v>194</v>
      </c>
      <c r="H1657" s="346"/>
      <c r="I1657" s="346"/>
      <c r="J1657" s="347"/>
      <c r="K1657" s="348">
        <v>0</v>
      </c>
      <c r="L1657" s="310">
        <f>SUM(L1641:L1656)/2</f>
        <v>529205</v>
      </c>
    </row>
    <row r="1658" spans="5:13" ht="15" customHeight="1" thickBot="1">
      <c r="F1658" s="331" t="s">
        <v>195</v>
      </c>
      <c r="G1658" s="332" t="s">
        <v>196</v>
      </c>
      <c r="H1658" s="333"/>
      <c r="I1658" s="333"/>
      <c r="J1658" s="350">
        <v>0.1</v>
      </c>
      <c r="K1658" s="335"/>
      <c r="L1658" s="330">
        <f>J1658*L1657</f>
        <v>52920.5</v>
      </c>
    </row>
    <row r="1659" spans="5:13" ht="15" customHeight="1" thickBot="1">
      <c r="F1659" s="340" t="s">
        <v>197</v>
      </c>
      <c r="G1659" s="341" t="s">
        <v>198</v>
      </c>
      <c r="H1659" s="318"/>
      <c r="I1659" s="318"/>
      <c r="J1659" s="342"/>
      <c r="K1659" s="320">
        <v>0</v>
      </c>
      <c r="L1659" s="321">
        <f>ROUNDDOWN(L1657+L1658,0)</f>
        <v>582125</v>
      </c>
    </row>
    <row r="1660" spans="5:13" ht="15" customHeight="1">
      <c r="F1660" s="298"/>
      <c r="G1660" s="298"/>
      <c r="J1660" s="343"/>
      <c r="K1660" s="355"/>
      <c r="L1660" s="299"/>
    </row>
    <row r="1661" spans="5:13" ht="15" customHeight="1" thickBot="1">
      <c r="E1661" s="297" t="s">
        <v>452</v>
      </c>
      <c r="F1661" s="298" t="s">
        <v>453</v>
      </c>
      <c r="J1661" s="343"/>
      <c r="M1661" s="299">
        <f>L1679</f>
        <v>54993</v>
      </c>
    </row>
    <row r="1662" spans="5:13" ht="15" customHeight="1" thickBot="1">
      <c r="F1662" s="340" t="s">
        <v>136</v>
      </c>
      <c r="G1662" s="341" t="s">
        <v>162</v>
      </c>
      <c r="H1662" s="352" t="s">
        <v>163</v>
      </c>
      <c r="I1662" s="352" t="s">
        <v>138</v>
      </c>
      <c r="J1662" s="353" t="s">
        <v>164</v>
      </c>
      <c r="K1662" s="341" t="s">
        <v>165</v>
      </c>
      <c r="L1662" s="354" t="s">
        <v>166</v>
      </c>
    </row>
    <row r="1663" spans="5:13" ht="15" customHeight="1">
      <c r="F1663" s="300" t="s">
        <v>167</v>
      </c>
      <c r="G1663" s="301" t="s">
        <v>168</v>
      </c>
      <c r="H1663" s="302"/>
      <c r="I1663" s="302"/>
      <c r="J1663" s="351"/>
      <c r="K1663" s="328"/>
      <c r="L1663" s="310"/>
    </row>
    <row r="1664" spans="5:13" ht="15" customHeight="1">
      <c r="F1664" s="306"/>
      <c r="G1664" s="301" t="s">
        <v>169</v>
      </c>
      <c r="H1664" s="307" t="s">
        <v>170</v>
      </c>
      <c r="I1664" s="307" t="s">
        <v>171</v>
      </c>
      <c r="J1664" s="308">
        <v>4.0000000000000001E-3</v>
      </c>
      <c r="K1664" s="309">
        <f>VLOOKUP(G1664,Upah,8,FALSE)</f>
        <v>125000</v>
      </c>
      <c r="L1664" s="310">
        <f>J1664*K1664</f>
        <v>500</v>
      </c>
    </row>
    <row r="1665" spans="6:12" ht="15" customHeight="1">
      <c r="F1665" s="306"/>
      <c r="G1665" s="301" t="s">
        <v>216</v>
      </c>
      <c r="H1665" s="307" t="s">
        <v>217</v>
      </c>
      <c r="I1665" s="307" t="s">
        <v>171</v>
      </c>
      <c r="J1665" s="308">
        <v>3.7999999999999999E-2</v>
      </c>
      <c r="K1665" s="309">
        <f>VLOOKUP(G1665,Upah,8,FALSE)</f>
        <v>150000</v>
      </c>
      <c r="L1665" s="310">
        <f>J1665*K1665</f>
        <v>5700</v>
      </c>
    </row>
    <row r="1666" spans="6:12" ht="15" customHeight="1">
      <c r="F1666" s="306"/>
      <c r="G1666" s="301" t="s">
        <v>232</v>
      </c>
      <c r="H1666" s="307" t="s">
        <v>175</v>
      </c>
      <c r="I1666" s="307" t="s">
        <v>171</v>
      </c>
      <c r="J1666" s="308">
        <v>4.0000000000000001E-3</v>
      </c>
      <c r="K1666" s="309">
        <f>VLOOKUP(G1666,Upah,8,FALSE)</f>
        <v>165000</v>
      </c>
      <c r="L1666" s="310">
        <f>J1666*K1666</f>
        <v>660</v>
      </c>
    </row>
    <row r="1667" spans="6:12" ht="15" customHeight="1" thickBot="1">
      <c r="F1667" s="306"/>
      <c r="G1667" s="301" t="s">
        <v>176</v>
      </c>
      <c r="H1667" s="307" t="s">
        <v>177</v>
      </c>
      <c r="I1667" s="307" t="s">
        <v>171</v>
      </c>
      <c r="J1667" s="308">
        <v>1E-3</v>
      </c>
      <c r="K1667" s="309">
        <f>VLOOKUP(G1667,Upah,8,FALSE)</f>
        <v>170000</v>
      </c>
      <c r="L1667" s="310">
        <f>J1667*K1667</f>
        <v>170</v>
      </c>
    </row>
    <row r="1668" spans="6:12" ht="15" customHeight="1" thickBot="1">
      <c r="F1668" s="316"/>
      <c r="G1668" s="317"/>
      <c r="H1668" s="318"/>
      <c r="I1668" s="318"/>
      <c r="J1668" s="319" t="s">
        <v>178</v>
      </c>
      <c r="K1668" s="320"/>
      <c r="L1668" s="321">
        <f>SUM(L1664:L1667)</f>
        <v>7030</v>
      </c>
    </row>
    <row r="1669" spans="6:12" ht="15" customHeight="1">
      <c r="F1669" s="300" t="s">
        <v>179</v>
      </c>
      <c r="G1669" s="301" t="s">
        <v>180</v>
      </c>
      <c r="H1669" s="302"/>
      <c r="I1669" s="302"/>
      <c r="J1669" s="351"/>
      <c r="K1669" s="328"/>
      <c r="L1669" s="310"/>
    </row>
    <row r="1670" spans="6:12" ht="15" customHeight="1">
      <c r="F1670" s="306"/>
      <c r="G1670" s="301" t="s">
        <v>449</v>
      </c>
      <c r="H1670" s="302"/>
      <c r="I1670" s="307" t="s">
        <v>44</v>
      </c>
      <c r="J1670" s="308">
        <v>5.0000000000000001E-3</v>
      </c>
      <c r="K1670" s="328">
        <f>VLOOKUP(G1670,Bahan,6,FALSE)</f>
        <v>4375000</v>
      </c>
      <c r="L1670" s="310">
        <f>J1670*K1670</f>
        <v>21875</v>
      </c>
    </row>
    <row r="1671" spans="6:12" ht="15" customHeight="1">
      <c r="F1671" s="306"/>
      <c r="G1671" s="301" t="s">
        <v>450</v>
      </c>
      <c r="H1671" s="302"/>
      <c r="I1671" s="307" t="s">
        <v>202</v>
      </c>
      <c r="J1671" s="308">
        <v>4.2999999999999997E-2</v>
      </c>
      <c r="K1671" s="328">
        <f>VLOOKUP(G1671,Bahan,6,FALSE)</f>
        <v>255000</v>
      </c>
      <c r="L1671" s="310">
        <f>J1671*K1671</f>
        <v>10965</v>
      </c>
    </row>
    <row r="1672" spans="6:12" ht="15" customHeight="1">
      <c r="F1672" s="306"/>
      <c r="G1672" s="301" t="s">
        <v>390</v>
      </c>
      <c r="H1672" s="302"/>
      <c r="I1672" s="307" t="s">
        <v>438</v>
      </c>
      <c r="J1672" s="308">
        <v>0.2</v>
      </c>
      <c r="K1672" s="328">
        <f>VLOOKUP(G1672,Bahan,6,FALSE)</f>
        <v>7310</v>
      </c>
      <c r="L1672" s="310">
        <f>J1672*K1672</f>
        <v>1462</v>
      </c>
    </row>
    <row r="1673" spans="6:12" ht="15" customHeight="1" thickBot="1">
      <c r="F1673" s="306"/>
      <c r="G1673" s="295" t="s">
        <v>451</v>
      </c>
      <c r="H1673" s="302"/>
      <c r="I1673" s="307" t="s">
        <v>221</v>
      </c>
      <c r="J1673" s="308">
        <v>0.69299999999999995</v>
      </c>
      <c r="K1673" s="328">
        <f>VLOOKUP(G1673,Bahan,6,FALSE)</f>
        <v>12500</v>
      </c>
      <c r="L1673" s="310">
        <f>J1673*K1673</f>
        <v>8662.5</v>
      </c>
    </row>
    <row r="1674" spans="6:12" ht="15" customHeight="1" thickBot="1">
      <c r="F1674" s="316"/>
      <c r="G1674" s="317"/>
      <c r="H1674" s="318"/>
      <c r="I1674" s="318"/>
      <c r="J1674" s="319" t="s">
        <v>189</v>
      </c>
      <c r="K1674" s="320"/>
      <c r="L1674" s="321">
        <f>SUM(L1670:L1673)</f>
        <v>42964.5</v>
      </c>
    </row>
    <row r="1675" spans="6:12" ht="15" customHeight="1" thickBot="1">
      <c r="F1675" s="300" t="s">
        <v>190</v>
      </c>
      <c r="G1675" s="301" t="s">
        <v>191</v>
      </c>
      <c r="H1675" s="302"/>
      <c r="I1675" s="302"/>
      <c r="J1675" s="351"/>
      <c r="K1675" s="328">
        <v>0</v>
      </c>
      <c r="L1675" s="310">
        <f>J1675*K1675</f>
        <v>0</v>
      </c>
    </row>
    <row r="1676" spans="6:12" ht="15" customHeight="1" thickBot="1">
      <c r="F1676" s="316"/>
      <c r="G1676" s="317"/>
      <c r="H1676" s="318"/>
      <c r="I1676" s="318"/>
      <c r="J1676" s="319" t="s">
        <v>192</v>
      </c>
      <c r="K1676" s="320"/>
      <c r="L1676" s="321">
        <f>L1675</f>
        <v>0</v>
      </c>
    </row>
    <row r="1677" spans="6:12" ht="15" customHeight="1">
      <c r="F1677" s="344" t="s">
        <v>193</v>
      </c>
      <c r="G1677" s="345" t="s">
        <v>194</v>
      </c>
      <c r="H1677" s="346"/>
      <c r="I1677" s="346"/>
      <c r="J1677" s="347"/>
      <c r="K1677" s="348">
        <v>0</v>
      </c>
      <c r="L1677" s="310">
        <f>SUM(L1663:L1676)/2</f>
        <v>49994.5</v>
      </c>
    </row>
    <row r="1678" spans="6:12" ht="15" customHeight="1" thickBot="1">
      <c r="F1678" s="331" t="s">
        <v>195</v>
      </c>
      <c r="G1678" s="332" t="s">
        <v>196</v>
      </c>
      <c r="H1678" s="333"/>
      <c r="I1678" s="333"/>
      <c r="J1678" s="350">
        <v>0.1</v>
      </c>
      <c r="K1678" s="335"/>
      <c r="L1678" s="330">
        <f>J1678*L1677</f>
        <v>4999.4500000000007</v>
      </c>
    </row>
    <row r="1679" spans="6:12" ht="15" customHeight="1" thickBot="1">
      <c r="F1679" s="340" t="s">
        <v>197</v>
      </c>
      <c r="G1679" s="341" t="s">
        <v>198</v>
      </c>
      <c r="H1679" s="318"/>
      <c r="I1679" s="318"/>
      <c r="J1679" s="342"/>
      <c r="K1679" s="320">
        <v>0</v>
      </c>
      <c r="L1679" s="321">
        <f>ROUNDDOWN(L1677+L1678,0)</f>
        <v>54993</v>
      </c>
    </row>
    <row r="1680" spans="6:12" ht="15" customHeight="1">
      <c r="F1680" s="298"/>
      <c r="G1680" s="298"/>
      <c r="J1680" s="343"/>
    </row>
    <row r="1681" spans="5:13" ht="15" customHeight="1" thickBot="1">
      <c r="E1681" s="297" t="s">
        <v>454</v>
      </c>
      <c r="F1681" s="298" t="s">
        <v>455</v>
      </c>
      <c r="J1681" s="343"/>
      <c r="M1681" s="299">
        <f>L1700</f>
        <v>52999</v>
      </c>
    </row>
    <row r="1682" spans="5:13" ht="15" customHeight="1" thickBot="1">
      <c r="F1682" s="340" t="s">
        <v>136</v>
      </c>
      <c r="G1682" s="341" t="s">
        <v>162</v>
      </c>
      <c r="H1682" s="352" t="s">
        <v>163</v>
      </c>
      <c r="I1682" s="352" t="s">
        <v>138</v>
      </c>
      <c r="J1682" s="353" t="s">
        <v>164</v>
      </c>
      <c r="K1682" s="341" t="s">
        <v>165</v>
      </c>
      <c r="L1682" s="354" t="s">
        <v>166</v>
      </c>
    </row>
    <row r="1683" spans="5:13" ht="15" customHeight="1">
      <c r="F1683" s="300" t="s">
        <v>167</v>
      </c>
      <c r="G1683" s="301" t="s">
        <v>168</v>
      </c>
      <c r="H1683" s="302"/>
      <c r="I1683" s="302"/>
      <c r="J1683" s="351"/>
      <c r="K1683" s="328"/>
      <c r="L1683" s="310"/>
    </row>
    <row r="1684" spans="5:13" ht="15" customHeight="1">
      <c r="F1684" s="306"/>
      <c r="G1684" s="301" t="s">
        <v>169</v>
      </c>
      <c r="H1684" s="307" t="s">
        <v>170</v>
      </c>
      <c r="I1684" s="307" t="s">
        <v>171</v>
      </c>
      <c r="J1684" s="308">
        <v>4.0000000000000001E-3</v>
      </c>
      <c r="K1684" s="309">
        <f>VLOOKUP(G1684,Upah,8,FALSE)</f>
        <v>125000</v>
      </c>
      <c r="L1684" s="310">
        <f>J1684*K1684</f>
        <v>500</v>
      </c>
    </row>
    <row r="1685" spans="5:13" ht="15" customHeight="1">
      <c r="F1685" s="306"/>
      <c r="G1685" s="301" t="s">
        <v>216</v>
      </c>
      <c r="H1685" s="307" t="s">
        <v>217</v>
      </c>
      <c r="I1685" s="307" t="s">
        <v>171</v>
      </c>
      <c r="J1685" s="308">
        <v>3.7999999999999999E-2</v>
      </c>
      <c r="K1685" s="309">
        <f>VLOOKUP(G1685,Upah,8,FALSE)</f>
        <v>150000</v>
      </c>
      <c r="L1685" s="310">
        <f>J1685*K1685</f>
        <v>5700</v>
      </c>
    </row>
    <row r="1686" spans="5:13" ht="15" customHeight="1">
      <c r="F1686" s="306"/>
      <c r="G1686" s="301" t="s">
        <v>232</v>
      </c>
      <c r="H1686" s="307" t="s">
        <v>175</v>
      </c>
      <c r="I1686" s="307" t="s">
        <v>171</v>
      </c>
      <c r="J1686" s="308">
        <v>4.0000000000000001E-3</v>
      </c>
      <c r="K1686" s="309">
        <f>VLOOKUP(G1686,Upah,8,FALSE)</f>
        <v>165000</v>
      </c>
      <c r="L1686" s="310">
        <f>J1686*K1686</f>
        <v>660</v>
      </c>
    </row>
    <row r="1687" spans="5:13" ht="15" customHeight="1" thickBot="1">
      <c r="F1687" s="306"/>
      <c r="G1687" s="301" t="s">
        <v>176</v>
      </c>
      <c r="H1687" s="307" t="s">
        <v>177</v>
      </c>
      <c r="I1687" s="307" t="s">
        <v>171</v>
      </c>
      <c r="J1687" s="308">
        <v>1E-3</v>
      </c>
      <c r="K1687" s="309">
        <f>VLOOKUP(G1687,Upah,8,FALSE)</f>
        <v>170000</v>
      </c>
      <c r="L1687" s="310">
        <f>J1687*K1687</f>
        <v>170</v>
      </c>
    </row>
    <row r="1688" spans="5:13" ht="15" customHeight="1" thickBot="1">
      <c r="F1688" s="316"/>
      <c r="G1688" s="317"/>
      <c r="H1688" s="318"/>
      <c r="I1688" s="318"/>
      <c r="J1688" s="319" t="s">
        <v>178</v>
      </c>
      <c r="K1688" s="320"/>
      <c r="L1688" s="321">
        <f>SUM(L1684:L1687)</f>
        <v>7030</v>
      </c>
    </row>
    <row r="1689" spans="5:13" ht="15" customHeight="1">
      <c r="F1689" s="300" t="s">
        <v>179</v>
      </c>
      <c r="G1689" s="301" t="s">
        <v>180</v>
      </c>
      <c r="H1689" s="302"/>
      <c r="I1689" s="302"/>
      <c r="J1689" s="351"/>
      <c r="K1689" s="328"/>
      <c r="L1689" s="310"/>
    </row>
    <row r="1690" spans="5:13" ht="15" customHeight="1">
      <c r="F1690" s="306"/>
      <c r="G1690" s="301" t="s">
        <v>449</v>
      </c>
      <c r="H1690" s="302"/>
      <c r="I1690" s="307" t="s">
        <v>44</v>
      </c>
      <c r="J1690" s="308">
        <v>4.0000000000000001E-3</v>
      </c>
      <c r="K1690" s="328">
        <f>VLOOKUP(G1690,Bahan,6,FALSE)</f>
        <v>4375000</v>
      </c>
      <c r="L1690" s="310">
        <f>J1690*K1690</f>
        <v>17500</v>
      </c>
    </row>
    <row r="1691" spans="5:13" ht="15" customHeight="1">
      <c r="F1691" s="306"/>
      <c r="G1691" s="301" t="s">
        <v>450</v>
      </c>
      <c r="H1691" s="302"/>
      <c r="I1691" s="307" t="s">
        <v>202</v>
      </c>
      <c r="J1691" s="308">
        <v>4.8000000000000001E-2</v>
      </c>
      <c r="K1691" s="328">
        <f>VLOOKUP(G1691,Bahan,6,FALSE)</f>
        <v>255000</v>
      </c>
      <c r="L1691" s="310">
        <f>J1691*K1691</f>
        <v>12240</v>
      </c>
    </row>
    <row r="1692" spans="5:13" ht="15" customHeight="1">
      <c r="F1692" s="306"/>
      <c r="G1692" s="301" t="s">
        <v>390</v>
      </c>
      <c r="H1692" s="302"/>
      <c r="I1692" s="307" t="s">
        <v>438</v>
      </c>
      <c r="J1692" s="308">
        <v>0.2</v>
      </c>
      <c r="K1692" s="328">
        <f>VLOOKUP(G1692,Bahan,6,FALSE)</f>
        <v>7310</v>
      </c>
      <c r="L1692" s="310">
        <f>J1692*K1692</f>
        <v>1462</v>
      </c>
    </row>
    <row r="1693" spans="5:13" ht="15" customHeight="1">
      <c r="F1693" s="306"/>
      <c r="G1693" s="301" t="s">
        <v>415</v>
      </c>
      <c r="H1693" s="302"/>
      <c r="I1693" s="307" t="s">
        <v>45</v>
      </c>
      <c r="J1693" s="308">
        <v>4.5999999999999999E-2</v>
      </c>
      <c r="K1693" s="328">
        <f>VLOOKUP(G1693,Bahan,6,FALSE)</f>
        <v>27970</v>
      </c>
      <c r="L1693" s="310">
        <f>J1693*K1693</f>
        <v>1286.6199999999999</v>
      </c>
    </row>
    <row r="1694" spans="5:13" ht="15" customHeight="1" thickBot="1">
      <c r="F1694" s="306"/>
      <c r="G1694" s="295" t="s">
        <v>451</v>
      </c>
      <c r="H1694" s="302"/>
      <c r="I1694" s="307" t="s">
        <v>221</v>
      </c>
      <c r="J1694" s="308">
        <v>0.69299999999999995</v>
      </c>
      <c r="K1694" s="328">
        <f>VLOOKUP(G1694,Bahan,6,FALSE)</f>
        <v>12500</v>
      </c>
      <c r="L1694" s="310">
        <f>J1694*K1694</f>
        <v>8662.5</v>
      </c>
    </row>
    <row r="1695" spans="5:13" ht="15" customHeight="1" thickBot="1">
      <c r="F1695" s="316"/>
      <c r="G1695" s="317"/>
      <c r="H1695" s="318"/>
      <c r="I1695" s="318"/>
      <c r="J1695" s="319" t="s">
        <v>189</v>
      </c>
      <c r="K1695" s="320"/>
      <c r="L1695" s="321">
        <f>SUM(L1690:L1694)</f>
        <v>41151.119999999995</v>
      </c>
    </row>
    <row r="1696" spans="5:13" ht="15" customHeight="1" thickBot="1">
      <c r="F1696" s="300" t="s">
        <v>190</v>
      </c>
      <c r="G1696" s="301" t="s">
        <v>191</v>
      </c>
      <c r="H1696" s="302"/>
      <c r="I1696" s="302"/>
      <c r="J1696" s="351"/>
      <c r="K1696" s="328">
        <v>0</v>
      </c>
      <c r="L1696" s="310">
        <f>J1696*K1696</f>
        <v>0</v>
      </c>
    </row>
    <row r="1697" spans="5:13" ht="15" customHeight="1" thickBot="1">
      <c r="F1697" s="316"/>
      <c r="G1697" s="317"/>
      <c r="H1697" s="318"/>
      <c r="I1697" s="318"/>
      <c r="J1697" s="319" t="s">
        <v>192</v>
      </c>
      <c r="K1697" s="320"/>
      <c r="L1697" s="321">
        <f>L1696</f>
        <v>0</v>
      </c>
    </row>
    <row r="1698" spans="5:13" ht="15" customHeight="1">
      <c r="F1698" s="344" t="s">
        <v>193</v>
      </c>
      <c r="G1698" s="345" t="s">
        <v>194</v>
      </c>
      <c r="H1698" s="346"/>
      <c r="I1698" s="346"/>
      <c r="J1698" s="347"/>
      <c r="K1698" s="348">
        <v>0</v>
      </c>
      <c r="L1698" s="310">
        <f>SUM(L1684:L1697)/2</f>
        <v>48181.119999999995</v>
      </c>
    </row>
    <row r="1699" spans="5:13" ht="15" customHeight="1" thickBot="1">
      <c r="F1699" s="331" t="s">
        <v>195</v>
      </c>
      <c r="G1699" s="332" t="s">
        <v>196</v>
      </c>
      <c r="H1699" s="333"/>
      <c r="I1699" s="333"/>
      <c r="J1699" s="350">
        <v>0.1</v>
      </c>
      <c r="K1699" s="335"/>
      <c r="L1699" s="330">
        <f>J1699*L1698</f>
        <v>4818.1120000000001</v>
      </c>
    </row>
    <row r="1700" spans="5:13" ht="15" customHeight="1" thickBot="1">
      <c r="F1700" s="340" t="s">
        <v>197</v>
      </c>
      <c r="G1700" s="341" t="s">
        <v>198</v>
      </c>
      <c r="H1700" s="318"/>
      <c r="I1700" s="318"/>
      <c r="J1700" s="342"/>
      <c r="K1700" s="320">
        <v>0</v>
      </c>
      <c r="L1700" s="321">
        <f>ROUNDDOWN(L1698+L1699,0)</f>
        <v>52999</v>
      </c>
    </row>
    <row r="1701" spans="5:13" ht="15" customHeight="1">
      <c r="F1701" s="298"/>
      <c r="G1701" s="298"/>
      <c r="J1701" s="343"/>
      <c r="K1701" s="355"/>
      <c r="L1701" s="299"/>
    </row>
    <row r="1702" spans="5:13" ht="15" customHeight="1" thickBot="1">
      <c r="E1702" s="356" t="s">
        <v>456</v>
      </c>
      <c r="F1702" s="295" t="s">
        <v>457</v>
      </c>
      <c r="J1702" s="343"/>
      <c r="M1702" s="299">
        <f>L1715</f>
        <v>11192</v>
      </c>
    </row>
    <row r="1703" spans="5:13" ht="15" customHeight="1" thickBot="1">
      <c r="F1703" s="340" t="s">
        <v>136</v>
      </c>
      <c r="G1703" s="341" t="s">
        <v>162</v>
      </c>
      <c r="H1703" s="352" t="s">
        <v>163</v>
      </c>
      <c r="I1703" s="352" t="s">
        <v>138</v>
      </c>
      <c r="J1703" s="353" t="s">
        <v>164</v>
      </c>
      <c r="K1703" s="341" t="s">
        <v>165</v>
      </c>
      <c r="L1703" s="354" t="s">
        <v>166</v>
      </c>
    </row>
    <row r="1704" spans="5:13" ht="15" customHeight="1">
      <c r="F1704" s="300" t="s">
        <v>167</v>
      </c>
      <c r="G1704" s="301" t="s">
        <v>168</v>
      </c>
      <c r="H1704" s="302"/>
      <c r="I1704" s="302"/>
      <c r="J1704" s="351"/>
      <c r="K1704" s="328"/>
      <c r="L1704" s="310"/>
    </row>
    <row r="1705" spans="5:13" ht="15" customHeight="1">
      <c r="F1705" s="306"/>
      <c r="G1705" s="301" t="s">
        <v>169</v>
      </c>
      <c r="H1705" s="307" t="s">
        <v>170</v>
      </c>
      <c r="I1705" s="307" t="s">
        <v>171</v>
      </c>
      <c r="J1705" s="308">
        <v>5.2999999999999999E-2</v>
      </c>
      <c r="K1705" s="309">
        <f>VLOOKUP(G1705,Upah,8,FALSE)</f>
        <v>125000</v>
      </c>
      <c r="L1705" s="310">
        <f>J1705*K1705</f>
        <v>6625</v>
      </c>
    </row>
    <row r="1706" spans="5:13" ht="15" customHeight="1">
      <c r="F1706" s="306"/>
      <c r="G1706" s="301" t="s">
        <v>413</v>
      </c>
      <c r="H1706" s="302" t="s">
        <v>173</v>
      </c>
      <c r="I1706" s="307" t="s">
        <v>171</v>
      </c>
      <c r="J1706" s="308">
        <v>1.7999999999999999E-2</v>
      </c>
      <c r="K1706" s="309">
        <f>VLOOKUP(G1706,Upah,8,FALSE)</f>
        <v>150000</v>
      </c>
      <c r="L1706" s="310">
        <f>J1706*K1706</f>
        <v>2700</v>
      </c>
    </row>
    <row r="1707" spans="5:13" ht="15" customHeight="1" thickBot="1">
      <c r="F1707" s="306"/>
      <c r="G1707" s="301" t="s">
        <v>176</v>
      </c>
      <c r="H1707" s="307" t="s">
        <v>177</v>
      </c>
      <c r="I1707" s="307" t="s">
        <v>171</v>
      </c>
      <c r="J1707" s="308">
        <v>5.0000000000000001E-3</v>
      </c>
      <c r="K1707" s="309">
        <f>VLOOKUP(G1707,Upah,8,FALSE)</f>
        <v>170000</v>
      </c>
      <c r="L1707" s="310">
        <f>J1707*K1707</f>
        <v>850</v>
      </c>
    </row>
    <row r="1708" spans="5:13" ht="15" customHeight="1" thickBot="1">
      <c r="F1708" s="316"/>
      <c r="G1708" s="317"/>
      <c r="H1708" s="318"/>
      <c r="I1708" s="318"/>
      <c r="J1708" s="319" t="s">
        <v>178</v>
      </c>
      <c r="K1708" s="320"/>
      <c r="L1708" s="321">
        <f>SUM(L1704:L1707)</f>
        <v>10175</v>
      </c>
    </row>
    <row r="1709" spans="5:13" ht="15" customHeight="1" thickBot="1">
      <c r="F1709" s="300" t="s">
        <v>179</v>
      </c>
      <c r="G1709" s="301" t="s">
        <v>180</v>
      </c>
      <c r="H1709" s="302"/>
      <c r="I1709" s="302"/>
      <c r="J1709" s="351"/>
      <c r="K1709" s="328"/>
      <c r="L1709" s="310"/>
    </row>
    <row r="1710" spans="5:13" ht="15" customHeight="1" thickBot="1">
      <c r="F1710" s="316"/>
      <c r="G1710" s="317"/>
      <c r="H1710" s="318"/>
      <c r="I1710" s="318"/>
      <c r="J1710" s="319" t="s">
        <v>189</v>
      </c>
      <c r="K1710" s="320"/>
      <c r="L1710" s="321">
        <f>SUM(L1709)</f>
        <v>0</v>
      </c>
    </row>
    <row r="1711" spans="5:13" ht="15" customHeight="1" thickBot="1">
      <c r="F1711" s="300" t="s">
        <v>190</v>
      </c>
      <c r="G1711" s="301" t="s">
        <v>191</v>
      </c>
      <c r="H1711" s="302"/>
      <c r="I1711" s="302"/>
      <c r="J1711" s="351"/>
      <c r="K1711" s="328">
        <v>0</v>
      </c>
      <c r="L1711" s="310">
        <f>J1711*K1711</f>
        <v>0</v>
      </c>
    </row>
    <row r="1712" spans="5:13" ht="15" customHeight="1" thickBot="1">
      <c r="F1712" s="316"/>
      <c r="G1712" s="317"/>
      <c r="H1712" s="318"/>
      <c r="I1712" s="318"/>
      <c r="J1712" s="319" t="s">
        <v>192</v>
      </c>
      <c r="K1712" s="320"/>
      <c r="L1712" s="321">
        <f>L1711</f>
        <v>0</v>
      </c>
    </row>
    <row r="1713" spans="5:13" ht="15" customHeight="1">
      <c r="F1713" s="344" t="s">
        <v>193</v>
      </c>
      <c r="G1713" s="345" t="s">
        <v>194</v>
      </c>
      <c r="H1713" s="346"/>
      <c r="I1713" s="346"/>
      <c r="J1713" s="347"/>
      <c r="K1713" s="348">
        <v>0</v>
      </c>
      <c r="L1713" s="310">
        <f>SUM(L1703:L1712)/2</f>
        <v>10175</v>
      </c>
    </row>
    <row r="1714" spans="5:13" ht="15" customHeight="1" thickBot="1">
      <c r="F1714" s="331" t="s">
        <v>195</v>
      </c>
      <c r="G1714" s="332" t="s">
        <v>196</v>
      </c>
      <c r="H1714" s="333"/>
      <c r="I1714" s="333"/>
      <c r="J1714" s="350">
        <v>0.1</v>
      </c>
      <c r="K1714" s="335"/>
      <c r="L1714" s="330">
        <f>J1714*L1713</f>
        <v>1017.5</v>
      </c>
    </row>
    <row r="1715" spans="5:13" ht="15" customHeight="1" thickBot="1">
      <c r="F1715" s="340" t="s">
        <v>197</v>
      </c>
      <c r="G1715" s="341" t="s">
        <v>198</v>
      </c>
      <c r="H1715" s="318"/>
      <c r="I1715" s="318"/>
      <c r="J1715" s="342"/>
      <c r="K1715" s="320">
        <v>0</v>
      </c>
      <c r="L1715" s="321">
        <f>ROUNDDOWN(L1713+L1714,0)</f>
        <v>11192</v>
      </c>
    </row>
    <row r="1716" spans="5:13" ht="15" customHeight="1">
      <c r="F1716" s="298"/>
      <c r="G1716" s="298"/>
      <c r="J1716" s="343"/>
    </row>
    <row r="1717" spans="5:13" ht="15" customHeight="1" thickBot="1">
      <c r="E1717" s="356" t="s">
        <v>458</v>
      </c>
      <c r="F1717" s="295" t="s">
        <v>459</v>
      </c>
      <c r="J1717" s="343"/>
      <c r="M1717" s="299">
        <f>L1730</f>
        <v>18122</v>
      </c>
    </row>
    <row r="1718" spans="5:13" ht="15" customHeight="1" thickBot="1">
      <c r="F1718" s="340" t="s">
        <v>136</v>
      </c>
      <c r="G1718" s="341" t="s">
        <v>162</v>
      </c>
      <c r="H1718" s="352" t="s">
        <v>163</v>
      </c>
      <c r="I1718" s="352" t="s">
        <v>138</v>
      </c>
      <c r="J1718" s="353" t="s">
        <v>164</v>
      </c>
      <c r="K1718" s="341" t="s">
        <v>165</v>
      </c>
      <c r="L1718" s="354" t="s">
        <v>166</v>
      </c>
    </row>
    <row r="1719" spans="5:13" ht="15" customHeight="1">
      <c r="F1719" s="300" t="s">
        <v>167</v>
      </c>
      <c r="G1719" s="301" t="s">
        <v>168</v>
      </c>
      <c r="H1719" s="302"/>
      <c r="I1719" s="302"/>
      <c r="J1719" s="351"/>
      <c r="K1719" s="328"/>
      <c r="L1719" s="310"/>
    </row>
    <row r="1720" spans="5:13" ht="15" customHeight="1">
      <c r="F1720" s="306"/>
      <c r="G1720" s="301" t="s">
        <v>169</v>
      </c>
      <c r="H1720" s="307" t="s">
        <v>170</v>
      </c>
      <c r="I1720" s="307" t="s">
        <v>171</v>
      </c>
      <c r="J1720" s="308">
        <v>8.8999999999999996E-2</v>
      </c>
      <c r="K1720" s="309">
        <f>VLOOKUP(G1720,Upah,8,FALSE)</f>
        <v>125000</v>
      </c>
      <c r="L1720" s="310">
        <f>J1720*K1720</f>
        <v>11125</v>
      </c>
    </row>
    <row r="1721" spans="5:13" ht="15" customHeight="1">
      <c r="F1721" s="306"/>
      <c r="G1721" s="301" t="s">
        <v>413</v>
      </c>
      <c r="H1721" s="302" t="s">
        <v>173</v>
      </c>
      <c r="I1721" s="307" t="s">
        <v>171</v>
      </c>
      <c r="J1721" s="308">
        <v>0.03</v>
      </c>
      <c r="K1721" s="309">
        <f>VLOOKUP(G1721,Upah,8,FALSE)</f>
        <v>150000</v>
      </c>
      <c r="L1721" s="310">
        <f>J1721*K1721</f>
        <v>4500</v>
      </c>
    </row>
    <row r="1722" spans="5:13" ht="15" customHeight="1" thickBot="1">
      <c r="F1722" s="306"/>
      <c r="G1722" s="301" t="s">
        <v>176</v>
      </c>
      <c r="H1722" s="307" t="s">
        <v>177</v>
      </c>
      <c r="I1722" s="307" t="s">
        <v>171</v>
      </c>
      <c r="J1722" s="308">
        <v>5.0000000000000001E-3</v>
      </c>
      <c r="K1722" s="309">
        <f>VLOOKUP(G1722,Upah,8,FALSE)</f>
        <v>170000</v>
      </c>
      <c r="L1722" s="310">
        <f>J1722*K1722</f>
        <v>850</v>
      </c>
    </row>
    <row r="1723" spans="5:13" ht="15" customHeight="1" thickBot="1">
      <c r="F1723" s="316"/>
      <c r="G1723" s="317"/>
      <c r="H1723" s="318"/>
      <c r="I1723" s="318"/>
      <c r="J1723" s="319" t="s">
        <v>178</v>
      </c>
      <c r="K1723" s="320"/>
      <c r="L1723" s="321">
        <f>SUM(L1719:L1722)</f>
        <v>16475</v>
      </c>
    </row>
    <row r="1724" spans="5:13" ht="15" customHeight="1" thickBot="1">
      <c r="F1724" s="300" t="s">
        <v>179</v>
      </c>
      <c r="G1724" s="301" t="s">
        <v>180</v>
      </c>
      <c r="H1724" s="302"/>
      <c r="I1724" s="302"/>
      <c r="J1724" s="351"/>
      <c r="K1724" s="328"/>
      <c r="L1724" s="310"/>
    </row>
    <row r="1725" spans="5:13" ht="15" customHeight="1" thickBot="1">
      <c r="F1725" s="316"/>
      <c r="G1725" s="317"/>
      <c r="H1725" s="318"/>
      <c r="I1725" s="318"/>
      <c r="J1725" s="319" t="s">
        <v>189</v>
      </c>
      <c r="K1725" s="320"/>
      <c r="L1725" s="321">
        <f>SUM(L1724)</f>
        <v>0</v>
      </c>
    </row>
    <row r="1726" spans="5:13" ht="15" customHeight="1" thickBot="1">
      <c r="F1726" s="300" t="s">
        <v>190</v>
      </c>
      <c r="G1726" s="301" t="s">
        <v>191</v>
      </c>
      <c r="H1726" s="302"/>
      <c r="I1726" s="302"/>
      <c r="J1726" s="351"/>
      <c r="K1726" s="328">
        <v>0</v>
      </c>
      <c r="L1726" s="310">
        <f>J1726*K1726</f>
        <v>0</v>
      </c>
    </row>
    <row r="1727" spans="5:13" ht="15" customHeight="1" thickBot="1">
      <c r="F1727" s="316"/>
      <c r="G1727" s="317"/>
      <c r="H1727" s="318"/>
      <c r="I1727" s="318"/>
      <c r="J1727" s="319" t="s">
        <v>192</v>
      </c>
      <c r="K1727" s="320"/>
      <c r="L1727" s="321">
        <f>L1726</f>
        <v>0</v>
      </c>
    </row>
    <row r="1728" spans="5:13" ht="15" customHeight="1">
      <c r="F1728" s="344" t="s">
        <v>193</v>
      </c>
      <c r="G1728" s="345" t="s">
        <v>194</v>
      </c>
      <c r="H1728" s="346"/>
      <c r="I1728" s="346"/>
      <c r="J1728" s="347"/>
      <c r="K1728" s="348">
        <v>0</v>
      </c>
      <c r="L1728" s="310">
        <f>SUM(L1718:L1727)/2</f>
        <v>16475</v>
      </c>
    </row>
    <row r="1729" spans="5:13" ht="15" customHeight="1" thickBot="1">
      <c r="F1729" s="331" t="s">
        <v>195</v>
      </c>
      <c r="G1729" s="332" t="s">
        <v>196</v>
      </c>
      <c r="H1729" s="333"/>
      <c r="I1729" s="333"/>
      <c r="J1729" s="350">
        <v>0.1</v>
      </c>
      <c r="K1729" s="335"/>
      <c r="L1729" s="330">
        <f>J1729*L1728</f>
        <v>1647.5</v>
      </c>
    </row>
    <row r="1730" spans="5:13" ht="15" customHeight="1" thickBot="1">
      <c r="F1730" s="340" t="s">
        <v>197</v>
      </c>
      <c r="G1730" s="341" t="s">
        <v>198</v>
      </c>
      <c r="H1730" s="318"/>
      <c r="I1730" s="318"/>
      <c r="J1730" s="342"/>
      <c r="K1730" s="320">
        <v>0</v>
      </c>
      <c r="L1730" s="321">
        <f>ROUNDDOWN(L1728+L1729,0)</f>
        <v>18122</v>
      </c>
    </row>
    <row r="1731" spans="5:13" ht="15" customHeight="1">
      <c r="F1731" s="298"/>
      <c r="G1731" s="298"/>
      <c r="J1731" s="343"/>
    </row>
    <row r="1732" spans="5:13" ht="15" customHeight="1" thickBot="1">
      <c r="E1732" s="356" t="s">
        <v>460</v>
      </c>
      <c r="F1732" s="295" t="s">
        <v>461</v>
      </c>
      <c r="J1732" s="343"/>
      <c r="M1732" s="299">
        <f>L1745</f>
        <v>14657</v>
      </c>
    </row>
    <row r="1733" spans="5:13" ht="15" customHeight="1" thickBot="1">
      <c r="F1733" s="340" t="s">
        <v>136</v>
      </c>
      <c r="G1733" s="341" t="s">
        <v>162</v>
      </c>
      <c r="H1733" s="352" t="s">
        <v>163</v>
      </c>
      <c r="I1733" s="352" t="s">
        <v>138</v>
      </c>
      <c r="J1733" s="353" t="s">
        <v>164</v>
      </c>
      <c r="K1733" s="341" t="s">
        <v>165</v>
      </c>
      <c r="L1733" s="354" t="s">
        <v>166</v>
      </c>
    </row>
    <row r="1734" spans="5:13" ht="15" customHeight="1">
      <c r="F1734" s="300" t="s">
        <v>167</v>
      </c>
      <c r="G1734" s="301" t="s">
        <v>168</v>
      </c>
      <c r="H1734" s="302"/>
      <c r="I1734" s="302"/>
      <c r="J1734" s="351"/>
      <c r="K1734" s="328"/>
      <c r="L1734" s="310"/>
    </row>
    <row r="1735" spans="5:13" ht="15" customHeight="1">
      <c r="F1735" s="306"/>
      <c r="G1735" s="301" t="s">
        <v>169</v>
      </c>
      <c r="H1735" s="307" t="s">
        <v>170</v>
      </c>
      <c r="I1735" s="307" t="s">
        <v>171</v>
      </c>
      <c r="J1735" s="308">
        <v>7.0999999999999994E-2</v>
      </c>
      <c r="K1735" s="309">
        <f>VLOOKUP(G1735,Upah,8,FALSE)</f>
        <v>125000</v>
      </c>
      <c r="L1735" s="310">
        <f>J1735*K1735</f>
        <v>8875</v>
      </c>
    </row>
    <row r="1736" spans="5:13" ht="15" customHeight="1">
      <c r="F1736" s="306"/>
      <c r="G1736" s="301" t="s">
        <v>413</v>
      </c>
      <c r="H1736" s="302" t="s">
        <v>173</v>
      </c>
      <c r="I1736" s="307" t="s">
        <v>171</v>
      </c>
      <c r="J1736" s="308">
        <v>2.4E-2</v>
      </c>
      <c r="K1736" s="309">
        <f>VLOOKUP(G1736,Upah,8,FALSE)</f>
        <v>150000</v>
      </c>
      <c r="L1736" s="310">
        <f>J1736*K1736</f>
        <v>3600</v>
      </c>
    </row>
    <row r="1737" spans="5:13" ht="15" customHeight="1" thickBot="1">
      <c r="F1737" s="306"/>
      <c r="G1737" s="301" t="s">
        <v>176</v>
      </c>
      <c r="H1737" s="307" t="s">
        <v>177</v>
      </c>
      <c r="I1737" s="307" t="s">
        <v>171</v>
      </c>
      <c r="J1737" s="308">
        <v>5.0000000000000001E-3</v>
      </c>
      <c r="K1737" s="309">
        <f>VLOOKUP(G1737,Upah,8,FALSE)</f>
        <v>170000</v>
      </c>
      <c r="L1737" s="310">
        <f>J1737*K1737</f>
        <v>850</v>
      </c>
    </row>
    <row r="1738" spans="5:13" ht="15" customHeight="1" thickBot="1">
      <c r="F1738" s="316"/>
      <c r="G1738" s="317"/>
      <c r="H1738" s="318"/>
      <c r="I1738" s="318"/>
      <c r="J1738" s="319" t="s">
        <v>178</v>
      </c>
      <c r="K1738" s="320"/>
      <c r="L1738" s="321">
        <f>SUM(L1735:L1737)</f>
        <v>13325</v>
      </c>
    </row>
    <row r="1739" spans="5:13" ht="15" customHeight="1" thickBot="1">
      <c r="F1739" s="300" t="s">
        <v>179</v>
      </c>
      <c r="G1739" s="301" t="s">
        <v>180</v>
      </c>
      <c r="H1739" s="302"/>
      <c r="I1739" s="302"/>
      <c r="J1739" s="351"/>
      <c r="K1739" s="328"/>
      <c r="L1739" s="310"/>
    </row>
    <row r="1740" spans="5:13" ht="15" customHeight="1" thickBot="1">
      <c r="F1740" s="316"/>
      <c r="G1740" s="317"/>
      <c r="H1740" s="318"/>
      <c r="I1740" s="318"/>
      <c r="J1740" s="319" t="s">
        <v>189</v>
      </c>
      <c r="K1740" s="320"/>
      <c r="L1740" s="321">
        <f>SUM(L1739)</f>
        <v>0</v>
      </c>
    </row>
    <row r="1741" spans="5:13" ht="15" customHeight="1" thickBot="1">
      <c r="F1741" s="300" t="s">
        <v>190</v>
      </c>
      <c r="G1741" s="301" t="s">
        <v>191</v>
      </c>
      <c r="H1741" s="302"/>
      <c r="I1741" s="302"/>
      <c r="J1741" s="351"/>
      <c r="K1741" s="328">
        <v>0</v>
      </c>
      <c r="L1741" s="310">
        <f>J1741*K1741</f>
        <v>0</v>
      </c>
    </row>
    <row r="1742" spans="5:13" ht="15" customHeight="1" thickBot="1">
      <c r="F1742" s="316"/>
      <c r="G1742" s="317"/>
      <c r="H1742" s="318"/>
      <c r="I1742" s="318"/>
      <c r="J1742" s="319" t="s">
        <v>192</v>
      </c>
      <c r="K1742" s="320"/>
      <c r="L1742" s="321">
        <f>L1741</f>
        <v>0</v>
      </c>
    </row>
    <row r="1743" spans="5:13" ht="15" customHeight="1">
      <c r="F1743" s="344" t="s">
        <v>193</v>
      </c>
      <c r="G1743" s="345" t="s">
        <v>194</v>
      </c>
      <c r="H1743" s="346"/>
      <c r="I1743" s="346"/>
      <c r="J1743" s="347"/>
      <c r="K1743" s="348">
        <v>0</v>
      </c>
      <c r="L1743" s="310">
        <f>SUM(L1733:L1742)/2</f>
        <v>13325</v>
      </c>
    </row>
    <row r="1744" spans="5:13" ht="15" customHeight="1" thickBot="1">
      <c r="F1744" s="331" t="s">
        <v>195</v>
      </c>
      <c r="G1744" s="332" t="s">
        <v>196</v>
      </c>
      <c r="H1744" s="333"/>
      <c r="I1744" s="333"/>
      <c r="J1744" s="350">
        <v>0.1</v>
      </c>
      <c r="K1744" s="335"/>
      <c r="L1744" s="330">
        <f>J1744*L1743</f>
        <v>1332.5</v>
      </c>
    </row>
    <row r="1745" spans="5:13" ht="15" customHeight="1" thickBot="1">
      <c r="F1745" s="340" t="s">
        <v>197</v>
      </c>
      <c r="G1745" s="341" t="s">
        <v>198</v>
      </c>
      <c r="H1745" s="318"/>
      <c r="I1745" s="318"/>
      <c r="J1745" s="342"/>
      <c r="K1745" s="320">
        <v>0</v>
      </c>
      <c r="L1745" s="321">
        <f>ROUNDDOWN(L1743+L1744,0)</f>
        <v>14657</v>
      </c>
    </row>
    <row r="1746" spans="5:13" ht="15" customHeight="1">
      <c r="F1746" s="298"/>
      <c r="G1746" s="298"/>
      <c r="J1746" s="343"/>
      <c r="K1746" s="355"/>
      <c r="L1746" s="299"/>
    </row>
    <row r="1747" spans="5:13" ht="15" customHeight="1" thickBot="1">
      <c r="E1747" s="356" t="s">
        <v>462</v>
      </c>
      <c r="F1747" s="295" t="s">
        <v>463</v>
      </c>
      <c r="J1747" s="343"/>
      <c r="M1747" s="299">
        <f>L1762</f>
        <v>90002</v>
      </c>
    </row>
    <row r="1748" spans="5:13" ht="15" customHeight="1" thickBot="1">
      <c r="F1748" s="340" t="s">
        <v>136</v>
      </c>
      <c r="G1748" s="341" t="s">
        <v>162</v>
      </c>
      <c r="H1748" s="352" t="s">
        <v>163</v>
      </c>
      <c r="I1748" s="352" t="s">
        <v>138</v>
      </c>
      <c r="J1748" s="353" t="s">
        <v>164</v>
      </c>
      <c r="K1748" s="341" t="s">
        <v>165</v>
      </c>
      <c r="L1748" s="354" t="s">
        <v>166</v>
      </c>
    </row>
    <row r="1749" spans="5:13" ht="15" customHeight="1">
      <c r="F1749" s="300" t="s">
        <v>167</v>
      </c>
      <c r="G1749" s="301" t="s">
        <v>168</v>
      </c>
      <c r="H1749" s="302"/>
      <c r="I1749" s="302"/>
      <c r="J1749" s="351"/>
      <c r="K1749" s="328"/>
      <c r="L1749" s="310"/>
    </row>
    <row r="1750" spans="5:13" ht="15" customHeight="1">
      <c r="F1750" s="306"/>
      <c r="G1750" s="301" t="s">
        <v>169</v>
      </c>
      <c r="H1750" s="307" t="s">
        <v>170</v>
      </c>
      <c r="I1750" s="307" t="s">
        <v>171</v>
      </c>
      <c r="J1750" s="308">
        <v>6.4000000000000001E-2</v>
      </c>
      <c r="K1750" s="309">
        <f>VLOOKUP(G1750,Upah,8,FALSE)</f>
        <v>125000</v>
      </c>
      <c r="L1750" s="310">
        <f>J1750*K1750</f>
        <v>8000</v>
      </c>
    </row>
    <row r="1751" spans="5:13" ht="15" customHeight="1">
      <c r="F1751" s="306"/>
      <c r="G1751" s="301" t="s">
        <v>216</v>
      </c>
      <c r="H1751" s="307" t="s">
        <v>217</v>
      </c>
      <c r="I1751" s="307" t="s">
        <v>171</v>
      </c>
      <c r="J1751" s="308">
        <v>0.24399999999999999</v>
      </c>
      <c r="K1751" s="309">
        <f>VLOOKUP(G1751,Upah,8,FALSE)</f>
        <v>150000</v>
      </c>
      <c r="L1751" s="310">
        <f>J1751*K1751</f>
        <v>36600</v>
      </c>
    </row>
    <row r="1752" spans="5:13" ht="15" customHeight="1">
      <c r="F1752" s="306"/>
      <c r="G1752" s="301" t="s">
        <v>464</v>
      </c>
      <c r="H1752" s="307" t="s">
        <v>465</v>
      </c>
      <c r="I1752" s="307" t="s">
        <v>171</v>
      </c>
      <c r="J1752" s="308">
        <v>0.128</v>
      </c>
      <c r="K1752" s="309">
        <f>VLOOKUP(G1752,Upah,8,FALSE)</f>
        <v>150000</v>
      </c>
      <c r="L1752" s="310">
        <f>J1752*K1752</f>
        <v>19200</v>
      </c>
    </row>
    <row r="1753" spans="5:13" ht="15" customHeight="1">
      <c r="F1753" s="306"/>
      <c r="G1753" s="301" t="s">
        <v>174</v>
      </c>
      <c r="H1753" s="307" t="s">
        <v>175</v>
      </c>
      <c r="I1753" s="307" t="s">
        <v>171</v>
      </c>
      <c r="J1753" s="308">
        <v>3.4000000000000002E-2</v>
      </c>
      <c r="K1753" s="309">
        <f>VLOOKUP(G1753,Upah,8,FALSE)</f>
        <v>165000</v>
      </c>
      <c r="L1753" s="310">
        <f>J1753*K1753</f>
        <v>5610</v>
      </c>
    </row>
    <row r="1754" spans="5:13" ht="15" customHeight="1" thickBot="1">
      <c r="F1754" s="306"/>
      <c r="G1754" s="301" t="s">
        <v>176</v>
      </c>
      <c r="H1754" s="307" t="s">
        <v>177</v>
      </c>
      <c r="I1754" s="307" t="s">
        <v>171</v>
      </c>
      <c r="J1754" s="308">
        <v>7.2999999999999995E-2</v>
      </c>
      <c r="K1754" s="309">
        <f>VLOOKUP(G1754,Upah,8,FALSE)</f>
        <v>170000</v>
      </c>
      <c r="L1754" s="310">
        <f>J1754*K1754</f>
        <v>12410</v>
      </c>
    </row>
    <row r="1755" spans="5:13" ht="15" customHeight="1" thickBot="1">
      <c r="F1755" s="316"/>
      <c r="G1755" s="317"/>
      <c r="H1755" s="318"/>
      <c r="I1755" s="318"/>
      <c r="J1755" s="319" t="s">
        <v>178</v>
      </c>
      <c r="K1755" s="320"/>
      <c r="L1755" s="321">
        <f>SUM(L1750:L1754)</f>
        <v>81820</v>
      </c>
    </row>
    <row r="1756" spans="5:13" ht="15" customHeight="1" thickBot="1">
      <c r="F1756" s="300" t="s">
        <v>179</v>
      </c>
      <c r="G1756" s="301" t="s">
        <v>180</v>
      </c>
      <c r="H1756" s="302"/>
      <c r="I1756" s="302"/>
      <c r="J1756" s="351"/>
      <c r="K1756" s="328"/>
      <c r="L1756" s="310"/>
    </row>
    <row r="1757" spans="5:13" ht="15" customHeight="1" thickBot="1">
      <c r="F1757" s="316"/>
      <c r="G1757" s="317"/>
      <c r="H1757" s="318"/>
      <c r="I1757" s="318"/>
      <c r="J1757" s="319" t="s">
        <v>189</v>
      </c>
      <c r="K1757" s="320"/>
      <c r="L1757" s="321">
        <f>SUM(L1756)</f>
        <v>0</v>
      </c>
    </row>
    <row r="1758" spans="5:13" ht="15" customHeight="1" thickBot="1">
      <c r="F1758" s="300" t="s">
        <v>190</v>
      </c>
      <c r="G1758" s="301" t="s">
        <v>191</v>
      </c>
      <c r="H1758" s="302"/>
      <c r="I1758" s="302"/>
      <c r="J1758" s="351"/>
      <c r="K1758" s="328">
        <v>0</v>
      </c>
      <c r="L1758" s="310">
        <f>J1758*K1758</f>
        <v>0</v>
      </c>
    </row>
    <row r="1759" spans="5:13" ht="15" customHeight="1" thickBot="1">
      <c r="F1759" s="316"/>
      <c r="G1759" s="317"/>
      <c r="H1759" s="318"/>
      <c r="I1759" s="318"/>
      <c r="J1759" s="319" t="s">
        <v>192</v>
      </c>
      <c r="K1759" s="320"/>
      <c r="L1759" s="321">
        <f>L1758</f>
        <v>0</v>
      </c>
    </row>
    <row r="1760" spans="5:13" ht="15" customHeight="1">
      <c r="F1760" s="344" t="s">
        <v>193</v>
      </c>
      <c r="G1760" s="345" t="s">
        <v>194</v>
      </c>
      <c r="H1760" s="346"/>
      <c r="I1760" s="346"/>
      <c r="J1760" s="347"/>
      <c r="K1760" s="348">
        <v>0</v>
      </c>
      <c r="L1760" s="310">
        <f>SUM(L1749:L1759)/2</f>
        <v>81820</v>
      </c>
    </row>
    <row r="1761" spans="5:13" ht="15" customHeight="1" thickBot="1">
      <c r="F1761" s="331" t="s">
        <v>195</v>
      </c>
      <c r="G1761" s="332" t="s">
        <v>196</v>
      </c>
      <c r="H1761" s="333"/>
      <c r="I1761" s="333"/>
      <c r="J1761" s="350">
        <v>0.1</v>
      </c>
      <c r="K1761" s="335"/>
      <c r="L1761" s="330">
        <f>J1761*L1760</f>
        <v>8182</v>
      </c>
    </row>
    <row r="1762" spans="5:13" ht="15" customHeight="1" thickBot="1">
      <c r="F1762" s="340" t="s">
        <v>197</v>
      </c>
      <c r="G1762" s="341" t="s">
        <v>198</v>
      </c>
      <c r="H1762" s="318"/>
      <c r="I1762" s="318"/>
      <c r="J1762" s="342"/>
      <c r="K1762" s="320">
        <v>0</v>
      </c>
      <c r="L1762" s="321">
        <f>ROUNDDOWN(L1760+L1761,0)</f>
        <v>90002</v>
      </c>
    </row>
    <row r="1763" spans="5:13" ht="15" customHeight="1">
      <c r="F1763" s="298"/>
      <c r="G1763" s="298"/>
      <c r="J1763" s="343"/>
      <c r="K1763" s="355"/>
      <c r="L1763" s="299"/>
    </row>
    <row r="1764" spans="5:13" ht="15" customHeight="1" thickBot="1">
      <c r="E1764" s="356" t="s">
        <v>466</v>
      </c>
      <c r="F1764" s="295" t="s">
        <v>467</v>
      </c>
      <c r="J1764" s="343"/>
      <c r="M1764" s="299">
        <f>L1779</f>
        <v>92554</v>
      </c>
    </row>
    <row r="1765" spans="5:13" ht="15" customHeight="1" thickBot="1">
      <c r="F1765" s="340" t="s">
        <v>136</v>
      </c>
      <c r="G1765" s="341" t="s">
        <v>162</v>
      </c>
      <c r="H1765" s="352" t="s">
        <v>163</v>
      </c>
      <c r="I1765" s="352" t="s">
        <v>138</v>
      </c>
      <c r="J1765" s="353" t="s">
        <v>164</v>
      </c>
      <c r="K1765" s="341" t="s">
        <v>165</v>
      </c>
      <c r="L1765" s="354" t="s">
        <v>166</v>
      </c>
    </row>
    <row r="1766" spans="5:13" ht="15" customHeight="1">
      <c r="F1766" s="300" t="s">
        <v>167</v>
      </c>
      <c r="G1766" s="301" t="s">
        <v>168</v>
      </c>
      <c r="H1766" s="302"/>
      <c r="I1766" s="302"/>
      <c r="J1766" s="351"/>
      <c r="K1766" s="328"/>
      <c r="L1766" s="310"/>
    </row>
    <row r="1767" spans="5:13" ht="15" customHeight="1">
      <c r="F1767" s="306"/>
      <c r="G1767" s="301" t="s">
        <v>169</v>
      </c>
      <c r="H1767" s="307" t="s">
        <v>170</v>
      </c>
      <c r="I1767" s="307" t="s">
        <v>171</v>
      </c>
      <c r="J1767" s="308">
        <v>6.9000000000000006E-2</v>
      </c>
      <c r="K1767" s="309">
        <f>VLOOKUP(G1767,Upah,8,FALSE)</f>
        <v>125000</v>
      </c>
      <c r="L1767" s="310">
        <f>J1767*K1767</f>
        <v>8625</v>
      </c>
    </row>
    <row r="1768" spans="5:13" ht="15" customHeight="1">
      <c r="F1768" s="306"/>
      <c r="G1768" s="301" t="s">
        <v>216</v>
      </c>
      <c r="H1768" s="307" t="s">
        <v>217</v>
      </c>
      <c r="I1768" s="307" t="s">
        <v>171</v>
      </c>
      <c r="J1768" s="308">
        <v>0.24199999999999999</v>
      </c>
      <c r="K1768" s="309">
        <f>VLOOKUP(G1768,Upah,8,FALSE)</f>
        <v>150000</v>
      </c>
      <c r="L1768" s="310">
        <f>J1768*K1768</f>
        <v>36300</v>
      </c>
    </row>
    <row r="1769" spans="5:13" ht="15" customHeight="1">
      <c r="F1769" s="306"/>
      <c r="G1769" s="301" t="s">
        <v>464</v>
      </c>
      <c r="H1769" s="307" t="s">
        <v>465</v>
      </c>
      <c r="I1769" s="307" t="s">
        <v>171</v>
      </c>
      <c r="J1769" s="308">
        <v>0.13800000000000001</v>
      </c>
      <c r="K1769" s="309">
        <f>VLOOKUP(G1769,Upah,8,FALSE)</f>
        <v>150000</v>
      </c>
      <c r="L1769" s="310">
        <f>J1769*K1769</f>
        <v>20700</v>
      </c>
    </row>
    <row r="1770" spans="5:13" ht="15" customHeight="1">
      <c r="F1770" s="306"/>
      <c r="G1770" s="301" t="s">
        <v>174</v>
      </c>
      <c r="H1770" s="307" t="s">
        <v>175</v>
      </c>
      <c r="I1770" s="307" t="s">
        <v>171</v>
      </c>
      <c r="J1770" s="308">
        <v>3.6999999999999998E-2</v>
      </c>
      <c r="K1770" s="309">
        <f>VLOOKUP(G1770,Upah,8,FALSE)</f>
        <v>165000</v>
      </c>
      <c r="L1770" s="310">
        <f>J1770*K1770</f>
        <v>6105</v>
      </c>
    </row>
    <row r="1771" spans="5:13" ht="15" customHeight="1" thickBot="1">
      <c r="F1771" s="306"/>
      <c r="G1771" s="301" t="s">
        <v>176</v>
      </c>
      <c r="H1771" s="307" t="s">
        <v>177</v>
      </c>
      <c r="I1771" s="307" t="s">
        <v>171</v>
      </c>
      <c r="J1771" s="308">
        <v>7.2999999999999995E-2</v>
      </c>
      <c r="K1771" s="309">
        <f>VLOOKUP(G1771,Upah,8,FALSE)</f>
        <v>170000</v>
      </c>
      <c r="L1771" s="310">
        <f>J1771*K1771</f>
        <v>12410</v>
      </c>
    </row>
    <row r="1772" spans="5:13" ht="15" customHeight="1" thickBot="1">
      <c r="F1772" s="316"/>
      <c r="G1772" s="317"/>
      <c r="H1772" s="318"/>
      <c r="I1772" s="318"/>
      <c r="J1772" s="319" t="s">
        <v>178</v>
      </c>
      <c r="K1772" s="320"/>
      <c r="L1772" s="321">
        <f>SUM(L1767:L1771)</f>
        <v>84140</v>
      </c>
    </row>
    <row r="1773" spans="5:13" ht="15" customHeight="1" thickBot="1">
      <c r="F1773" s="300" t="s">
        <v>179</v>
      </c>
      <c r="G1773" s="301" t="s">
        <v>180</v>
      </c>
      <c r="H1773" s="302"/>
      <c r="I1773" s="302"/>
      <c r="J1773" s="351"/>
      <c r="K1773" s="328"/>
      <c r="L1773" s="310"/>
    </row>
    <row r="1774" spans="5:13" ht="15" customHeight="1" thickBot="1">
      <c r="F1774" s="316"/>
      <c r="G1774" s="317"/>
      <c r="H1774" s="318"/>
      <c r="I1774" s="318"/>
      <c r="J1774" s="319" t="s">
        <v>189</v>
      </c>
      <c r="K1774" s="320"/>
      <c r="L1774" s="321">
        <f>SUM(L1773)</f>
        <v>0</v>
      </c>
    </row>
    <row r="1775" spans="5:13" ht="15" customHeight="1" thickBot="1">
      <c r="F1775" s="300" t="s">
        <v>190</v>
      </c>
      <c r="G1775" s="301" t="s">
        <v>191</v>
      </c>
      <c r="H1775" s="302"/>
      <c r="I1775" s="302"/>
      <c r="J1775" s="351"/>
      <c r="K1775" s="328">
        <v>0</v>
      </c>
      <c r="L1775" s="310">
        <f>J1775*K1775</f>
        <v>0</v>
      </c>
    </row>
    <row r="1776" spans="5:13" ht="15" customHeight="1" thickBot="1">
      <c r="F1776" s="316"/>
      <c r="G1776" s="317"/>
      <c r="H1776" s="318"/>
      <c r="I1776" s="318"/>
      <c r="J1776" s="319" t="s">
        <v>192</v>
      </c>
      <c r="K1776" s="320"/>
      <c r="L1776" s="321">
        <f>L1775</f>
        <v>0</v>
      </c>
    </row>
    <row r="1777" spans="5:13" ht="15" customHeight="1">
      <c r="F1777" s="344" t="s">
        <v>193</v>
      </c>
      <c r="G1777" s="345" t="s">
        <v>194</v>
      </c>
      <c r="H1777" s="346"/>
      <c r="I1777" s="346"/>
      <c r="J1777" s="347"/>
      <c r="K1777" s="348">
        <v>0</v>
      </c>
      <c r="L1777" s="310">
        <f>SUM(L1766:L1776)/2</f>
        <v>84140</v>
      </c>
    </row>
    <row r="1778" spans="5:13" ht="15" customHeight="1" thickBot="1">
      <c r="F1778" s="331" t="s">
        <v>195</v>
      </c>
      <c r="G1778" s="332" t="s">
        <v>196</v>
      </c>
      <c r="H1778" s="333"/>
      <c r="I1778" s="333"/>
      <c r="J1778" s="350">
        <v>0.1</v>
      </c>
      <c r="K1778" s="335"/>
      <c r="L1778" s="330">
        <f>J1778*L1777</f>
        <v>8414</v>
      </c>
    </row>
    <row r="1779" spans="5:13" ht="15" customHeight="1" thickBot="1">
      <c r="F1779" s="340" t="s">
        <v>197</v>
      </c>
      <c r="G1779" s="341" t="s">
        <v>198</v>
      </c>
      <c r="H1779" s="318"/>
      <c r="I1779" s="318"/>
      <c r="J1779" s="342"/>
      <c r="K1779" s="320">
        <v>0</v>
      </c>
      <c r="L1779" s="321">
        <f>ROUNDDOWN(L1777+L1778,0)</f>
        <v>92554</v>
      </c>
    </row>
    <row r="1780" spans="5:13" ht="15" customHeight="1">
      <c r="F1780" s="298"/>
      <c r="G1780" s="298"/>
      <c r="J1780" s="343"/>
      <c r="K1780" s="355"/>
      <c r="L1780" s="299"/>
    </row>
    <row r="1781" spans="5:13" ht="15" customHeight="1" thickBot="1">
      <c r="E1781" s="356" t="s">
        <v>468</v>
      </c>
      <c r="F1781" s="295" t="s">
        <v>469</v>
      </c>
      <c r="J1781" s="343"/>
      <c r="M1781" s="299">
        <f>L1796</f>
        <v>83303</v>
      </c>
    </row>
    <row r="1782" spans="5:13" ht="15" customHeight="1" thickBot="1">
      <c r="F1782" s="340" t="s">
        <v>136</v>
      </c>
      <c r="G1782" s="341" t="s">
        <v>162</v>
      </c>
      <c r="H1782" s="352" t="s">
        <v>163</v>
      </c>
      <c r="I1782" s="352" t="s">
        <v>138</v>
      </c>
      <c r="J1782" s="353" t="s">
        <v>164</v>
      </c>
      <c r="K1782" s="341" t="s">
        <v>165</v>
      </c>
      <c r="L1782" s="354" t="s">
        <v>166</v>
      </c>
    </row>
    <row r="1783" spans="5:13" ht="15" customHeight="1">
      <c r="F1783" s="300" t="s">
        <v>167</v>
      </c>
      <c r="G1783" s="301" t="s">
        <v>168</v>
      </c>
      <c r="H1783" s="302"/>
      <c r="I1783" s="302"/>
      <c r="J1783" s="351"/>
      <c r="K1783" s="328"/>
      <c r="L1783" s="310"/>
    </row>
    <row r="1784" spans="5:13" ht="15" customHeight="1">
      <c r="F1784" s="306"/>
      <c r="G1784" s="301" t="s">
        <v>169</v>
      </c>
      <c r="H1784" s="307" t="s">
        <v>170</v>
      </c>
      <c r="I1784" s="307" t="s">
        <v>171</v>
      </c>
      <c r="J1784" s="308">
        <v>6.0999999999999999E-2</v>
      </c>
      <c r="K1784" s="309">
        <f>VLOOKUP(G1784,Upah,8,FALSE)</f>
        <v>125000</v>
      </c>
      <c r="L1784" s="310">
        <f>J1784*K1784</f>
        <v>7625</v>
      </c>
    </row>
    <row r="1785" spans="5:13" ht="15" customHeight="1">
      <c r="F1785" s="306"/>
      <c r="G1785" s="301" t="s">
        <v>216</v>
      </c>
      <c r="H1785" s="307" t="s">
        <v>217</v>
      </c>
      <c r="I1785" s="307" t="s">
        <v>171</v>
      </c>
      <c r="J1785" s="308">
        <v>0.21299999999999999</v>
      </c>
      <c r="K1785" s="309">
        <f>VLOOKUP(G1785,Upah,8,FALSE)</f>
        <v>150000</v>
      </c>
      <c r="L1785" s="310">
        <f>J1785*K1785</f>
        <v>31950</v>
      </c>
    </row>
    <row r="1786" spans="5:13" ht="15" customHeight="1">
      <c r="F1786" s="306"/>
      <c r="G1786" s="301" t="s">
        <v>464</v>
      </c>
      <c r="H1786" s="307" t="s">
        <v>465</v>
      </c>
      <c r="I1786" s="307" t="s">
        <v>171</v>
      </c>
      <c r="J1786" s="308">
        <v>0.122</v>
      </c>
      <c r="K1786" s="309">
        <f>VLOOKUP(G1786,Upah,8,FALSE)</f>
        <v>150000</v>
      </c>
      <c r="L1786" s="310">
        <f>J1786*K1786</f>
        <v>18300</v>
      </c>
    </row>
    <row r="1787" spans="5:13" ht="15" customHeight="1">
      <c r="F1787" s="306"/>
      <c r="G1787" s="301" t="s">
        <v>174</v>
      </c>
      <c r="H1787" s="307" t="s">
        <v>175</v>
      </c>
      <c r="I1787" s="307" t="s">
        <v>171</v>
      </c>
      <c r="J1787" s="308">
        <v>3.3000000000000002E-2</v>
      </c>
      <c r="K1787" s="309">
        <f>VLOOKUP(G1787,Upah,8,FALSE)</f>
        <v>165000</v>
      </c>
      <c r="L1787" s="310">
        <f>J1787*K1787</f>
        <v>5445</v>
      </c>
    </row>
    <row r="1788" spans="5:13" ht="15" customHeight="1" thickBot="1">
      <c r="F1788" s="306"/>
      <c r="G1788" s="301" t="s">
        <v>176</v>
      </c>
      <c r="H1788" s="307" t="s">
        <v>177</v>
      </c>
      <c r="I1788" s="307" t="s">
        <v>171</v>
      </c>
      <c r="J1788" s="308">
        <v>7.2999999999999995E-2</v>
      </c>
      <c r="K1788" s="309">
        <f>VLOOKUP(G1788,Upah,8,FALSE)</f>
        <v>170000</v>
      </c>
      <c r="L1788" s="310">
        <f>J1788*K1788</f>
        <v>12410</v>
      </c>
    </row>
    <row r="1789" spans="5:13" ht="15" customHeight="1" thickBot="1">
      <c r="F1789" s="316"/>
      <c r="G1789" s="317"/>
      <c r="H1789" s="318"/>
      <c r="I1789" s="318"/>
      <c r="J1789" s="319" t="s">
        <v>178</v>
      </c>
      <c r="K1789" s="320"/>
      <c r="L1789" s="321">
        <f>SUM(L1784:L1788)</f>
        <v>75730</v>
      </c>
    </row>
    <row r="1790" spans="5:13" ht="15" customHeight="1" thickBot="1">
      <c r="F1790" s="300" t="s">
        <v>179</v>
      </c>
      <c r="G1790" s="301" t="s">
        <v>180</v>
      </c>
      <c r="H1790" s="302"/>
      <c r="I1790" s="302"/>
      <c r="J1790" s="351"/>
      <c r="K1790" s="328"/>
      <c r="L1790" s="310"/>
    </row>
    <row r="1791" spans="5:13" ht="15" customHeight="1" thickBot="1">
      <c r="F1791" s="316"/>
      <c r="G1791" s="317"/>
      <c r="H1791" s="318"/>
      <c r="I1791" s="318"/>
      <c r="J1791" s="319" t="s">
        <v>189</v>
      </c>
      <c r="K1791" s="320"/>
      <c r="L1791" s="321">
        <f>SUM(L1790)</f>
        <v>0</v>
      </c>
    </row>
    <row r="1792" spans="5:13" ht="15" customHeight="1" thickBot="1">
      <c r="F1792" s="300" t="s">
        <v>190</v>
      </c>
      <c r="G1792" s="301" t="s">
        <v>191</v>
      </c>
      <c r="H1792" s="302"/>
      <c r="I1792" s="302"/>
      <c r="J1792" s="351"/>
      <c r="K1792" s="328"/>
      <c r="L1792" s="310"/>
    </row>
    <row r="1793" spans="5:13" ht="15" customHeight="1" thickBot="1">
      <c r="F1793" s="316"/>
      <c r="G1793" s="317"/>
      <c r="H1793" s="318"/>
      <c r="I1793" s="318"/>
      <c r="J1793" s="319" t="s">
        <v>192</v>
      </c>
      <c r="K1793" s="320"/>
      <c r="L1793" s="321">
        <f>L1792</f>
        <v>0</v>
      </c>
    </row>
    <row r="1794" spans="5:13" ht="15" customHeight="1">
      <c r="F1794" s="344" t="s">
        <v>193</v>
      </c>
      <c r="G1794" s="345" t="s">
        <v>194</v>
      </c>
      <c r="H1794" s="346"/>
      <c r="I1794" s="346"/>
      <c r="J1794" s="347"/>
      <c r="K1794" s="348">
        <v>0</v>
      </c>
      <c r="L1794" s="310">
        <f>SUM(L1783:L1793)/2</f>
        <v>75730</v>
      </c>
    </row>
    <row r="1795" spans="5:13" ht="15" customHeight="1" thickBot="1">
      <c r="F1795" s="331" t="s">
        <v>195</v>
      </c>
      <c r="G1795" s="332" t="s">
        <v>196</v>
      </c>
      <c r="H1795" s="333"/>
      <c r="I1795" s="333"/>
      <c r="J1795" s="350">
        <v>0.1</v>
      </c>
      <c r="K1795" s="335"/>
      <c r="L1795" s="330">
        <f>J1795*L1794</f>
        <v>7573</v>
      </c>
    </row>
    <row r="1796" spans="5:13" ht="15" customHeight="1" thickBot="1">
      <c r="F1796" s="340" t="s">
        <v>197</v>
      </c>
      <c r="G1796" s="341" t="s">
        <v>198</v>
      </c>
      <c r="H1796" s="318"/>
      <c r="I1796" s="318"/>
      <c r="J1796" s="342"/>
      <c r="K1796" s="320">
        <v>0</v>
      </c>
      <c r="L1796" s="321">
        <f>ROUNDDOWN(L1794+L1795,0)</f>
        <v>83303</v>
      </c>
    </row>
    <row r="1797" spans="5:13" ht="15" customHeight="1">
      <c r="F1797" s="298"/>
      <c r="G1797" s="298"/>
      <c r="J1797" s="343"/>
      <c r="K1797" s="355"/>
      <c r="L1797" s="299"/>
    </row>
    <row r="1798" spans="5:13" ht="15" customHeight="1" thickBot="1">
      <c r="E1798" s="297" t="s">
        <v>470</v>
      </c>
      <c r="F1798" s="360" t="s">
        <v>471</v>
      </c>
      <c r="G1798" s="298"/>
      <c r="J1798" s="343"/>
      <c r="K1798" s="355"/>
      <c r="L1798" s="299"/>
      <c r="M1798" s="299">
        <f>L1818</f>
        <v>134334</v>
      </c>
    </row>
    <row r="1799" spans="5:13" ht="15" customHeight="1" thickBot="1">
      <c r="F1799" s="340" t="s">
        <v>136</v>
      </c>
      <c r="G1799" s="341" t="s">
        <v>162</v>
      </c>
      <c r="H1799" s="352" t="s">
        <v>163</v>
      </c>
      <c r="I1799" s="352" t="s">
        <v>138</v>
      </c>
      <c r="J1799" s="353" t="s">
        <v>164</v>
      </c>
      <c r="K1799" s="341" t="s">
        <v>165</v>
      </c>
      <c r="L1799" s="354" t="s">
        <v>166</v>
      </c>
    </row>
    <row r="1800" spans="5:13" ht="15" customHeight="1">
      <c r="F1800" s="322" t="s">
        <v>167</v>
      </c>
      <c r="G1800" s="323" t="s">
        <v>168</v>
      </c>
      <c r="H1800" s="324"/>
      <c r="I1800" s="324"/>
      <c r="J1800" s="325"/>
      <c r="K1800" s="326"/>
      <c r="L1800" s="327"/>
    </row>
    <row r="1801" spans="5:13" ht="15" customHeight="1">
      <c r="F1801" s="368"/>
      <c r="G1801" s="369" t="s">
        <v>2070</v>
      </c>
      <c r="H1801" s="370" t="s">
        <v>472</v>
      </c>
      <c r="I1801" s="370" t="s">
        <v>171</v>
      </c>
      <c r="J1801" s="371">
        <v>6.7000000000000004E-2</v>
      </c>
      <c r="K1801" s="309">
        <f t="shared" ref="K1801:K1807" si="63">VLOOKUP(G1801,Upah,8,FALSE)</f>
        <v>165000</v>
      </c>
      <c r="L1801" s="310">
        <f t="shared" ref="L1801:L1807" si="64">J1801*K1801</f>
        <v>11055</v>
      </c>
    </row>
    <row r="1802" spans="5:13" ht="15" customHeight="1">
      <c r="F1802" s="368"/>
      <c r="G1802" s="369" t="s">
        <v>2071</v>
      </c>
      <c r="H1802" s="370" t="s">
        <v>473</v>
      </c>
      <c r="I1802" s="370" t="s">
        <v>171</v>
      </c>
      <c r="J1802" s="371">
        <v>6.7000000000000004E-2</v>
      </c>
      <c r="K1802" s="309">
        <f t="shared" si="63"/>
        <v>148500</v>
      </c>
      <c r="L1802" s="310">
        <f t="shared" si="64"/>
        <v>9949.5</v>
      </c>
    </row>
    <row r="1803" spans="5:13" ht="15" customHeight="1">
      <c r="F1803" s="368"/>
      <c r="G1803" s="369" t="s">
        <v>169</v>
      </c>
      <c r="H1803" s="370" t="s">
        <v>170</v>
      </c>
      <c r="I1803" s="370" t="s">
        <v>171</v>
      </c>
      <c r="J1803" s="371">
        <v>6.7000000000000004E-2</v>
      </c>
      <c r="K1803" s="309">
        <f t="shared" si="63"/>
        <v>125000</v>
      </c>
      <c r="L1803" s="310">
        <f t="shared" si="64"/>
        <v>8375</v>
      </c>
    </row>
    <row r="1804" spans="5:13" ht="15" customHeight="1">
      <c r="F1804" s="368"/>
      <c r="G1804" s="369" t="s">
        <v>216</v>
      </c>
      <c r="H1804" s="370" t="s">
        <v>217</v>
      </c>
      <c r="I1804" s="370" t="s">
        <v>171</v>
      </c>
      <c r="J1804" s="371">
        <v>6.7000000000000004E-2</v>
      </c>
      <c r="K1804" s="309">
        <f t="shared" si="63"/>
        <v>150000</v>
      </c>
      <c r="L1804" s="310">
        <f t="shared" si="64"/>
        <v>10050</v>
      </c>
    </row>
    <row r="1805" spans="5:13" ht="15" customHeight="1">
      <c r="F1805" s="368"/>
      <c r="G1805" s="369" t="s">
        <v>474</v>
      </c>
      <c r="H1805" s="370" t="s">
        <v>475</v>
      </c>
      <c r="I1805" s="370" t="s">
        <v>171</v>
      </c>
      <c r="J1805" s="371">
        <v>0.13400000000000001</v>
      </c>
      <c r="K1805" s="309">
        <f t="shared" si="63"/>
        <v>150000</v>
      </c>
      <c r="L1805" s="310">
        <f t="shared" si="64"/>
        <v>20100</v>
      </c>
    </row>
    <row r="1806" spans="5:13" ht="15" customHeight="1">
      <c r="F1806" s="368"/>
      <c r="G1806" s="369" t="s">
        <v>232</v>
      </c>
      <c r="H1806" s="370" t="s">
        <v>175</v>
      </c>
      <c r="I1806" s="370" t="s">
        <v>171</v>
      </c>
      <c r="J1806" s="371">
        <v>6.7000000000000004E-2</v>
      </c>
      <c r="K1806" s="309">
        <f t="shared" si="63"/>
        <v>165000</v>
      </c>
      <c r="L1806" s="310">
        <f t="shared" si="64"/>
        <v>11055</v>
      </c>
    </row>
    <row r="1807" spans="5:13" ht="15" customHeight="1" thickBot="1">
      <c r="F1807" s="372"/>
      <c r="G1807" s="373" t="s">
        <v>176</v>
      </c>
      <c r="H1807" s="374" t="s">
        <v>177</v>
      </c>
      <c r="I1807" s="374" t="s">
        <v>171</v>
      </c>
      <c r="J1807" s="375">
        <v>6.7000000000000004E-2</v>
      </c>
      <c r="K1807" s="309">
        <f t="shared" si="63"/>
        <v>170000</v>
      </c>
      <c r="L1807" s="330">
        <f t="shared" si="64"/>
        <v>11390</v>
      </c>
    </row>
    <row r="1808" spans="5:13" ht="15" customHeight="1" thickBot="1">
      <c r="F1808" s="316"/>
      <c r="G1808" s="317"/>
      <c r="H1808" s="318"/>
      <c r="I1808" s="318"/>
      <c r="J1808" s="319" t="s">
        <v>178</v>
      </c>
      <c r="K1808" s="320"/>
      <c r="L1808" s="321">
        <f>SUM(L1803:L1807)</f>
        <v>60970</v>
      </c>
    </row>
    <row r="1809" spans="6:12" ht="15" customHeight="1">
      <c r="F1809" s="322" t="s">
        <v>179</v>
      </c>
      <c r="G1809" s="323" t="s">
        <v>180</v>
      </c>
      <c r="H1809" s="324"/>
      <c r="I1809" s="324"/>
      <c r="J1809" s="325"/>
      <c r="K1809" s="326"/>
      <c r="L1809" s="327"/>
    </row>
    <row r="1810" spans="6:12" ht="15" customHeight="1" thickBot="1">
      <c r="F1810" s="372"/>
      <c r="G1810" s="376" t="s">
        <v>476</v>
      </c>
      <c r="H1810" s="374"/>
      <c r="I1810" s="374" t="s">
        <v>438</v>
      </c>
      <c r="J1810" s="375">
        <v>6.6760000000000002</v>
      </c>
      <c r="K1810" s="328">
        <f>VLOOKUP(G1810,Bahan,6,FALSE)</f>
        <v>10540</v>
      </c>
      <c r="L1810" s="330">
        <f>J1810*K1810</f>
        <v>70365.040000000008</v>
      </c>
    </row>
    <row r="1811" spans="6:12" ht="15" customHeight="1" thickBot="1">
      <c r="F1811" s="316"/>
      <c r="G1811" s="317"/>
      <c r="H1811" s="318"/>
      <c r="I1811" s="318"/>
      <c r="J1811" s="319" t="s">
        <v>189</v>
      </c>
      <c r="K1811" s="320"/>
      <c r="L1811" s="321">
        <f>SUM(L1810)</f>
        <v>70365.040000000008</v>
      </c>
    </row>
    <row r="1812" spans="6:12" ht="15" customHeight="1">
      <c r="F1812" s="322" t="s">
        <v>190</v>
      </c>
      <c r="G1812" s="323" t="s">
        <v>191</v>
      </c>
      <c r="H1812" s="324"/>
      <c r="I1812" s="324"/>
      <c r="J1812" s="325"/>
      <c r="K1812" s="326"/>
      <c r="L1812" s="327"/>
    </row>
    <row r="1813" spans="6:12" ht="15" customHeight="1">
      <c r="F1813" s="368"/>
      <c r="G1813" s="369" t="s">
        <v>2072</v>
      </c>
      <c r="H1813" s="377"/>
      <c r="I1813" s="370" t="s">
        <v>477</v>
      </c>
      <c r="J1813" s="371">
        <v>6.7000000000000004E-2</v>
      </c>
      <c r="K1813" s="328"/>
      <c r="L1813" s="310">
        <f>J1813*K1813</f>
        <v>0</v>
      </c>
    </row>
    <row r="1814" spans="6:12" ht="15" customHeight="1" thickBot="1">
      <c r="F1814" s="372"/>
      <c r="G1814" s="373" t="s">
        <v>2073</v>
      </c>
      <c r="H1814" s="378"/>
      <c r="I1814" s="374" t="s">
        <v>478</v>
      </c>
      <c r="J1814" s="375">
        <v>1.1000000000000001</v>
      </c>
      <c r="K1814" s="339"/>
      <c r="L1814" s="330">
        <f>J1814*K1814</f>
        <v>0</v>
      </c>
    </row>
    <row r="1815" spans="6:12" ht="15" customHeight="1" thickBot="1">
      <c r="F1815" s="316"/>
      <c r="G1815" s="317"/>
      <c r="H1815" s="318"/>
      <c r="I1815" s="318"/>
      <c r="J1815" s="319" t="s">
        <v>192</v>
      </c>
      <c r="K1815" s="320"/>
      <c r="L1815" s="321">
        <f>SUM(L1813:L1814)</f>
        <v>0</v>
      </c>
    </row>
    <row r="1816" spans="6:12" ht="15" customHeight="1" thickBot="1">
      <c r="F1816" s="331" t="s">
        <v>193</v>
      </c>
      <c r="G1816" s="332" t="s">
        <v>194</v>
      </c>
      <c r="H1816" s="333"/>
      <c r="I1816" s="333"/>
      <c r="J1816" s="334"/>
      <c r="K1816" s="335">
        <v>0</v>
      </c>
      <c r="L1816" s="336">
        <f>SUM(L1805:L1815)/2</f>
        <v>122122.54000000001</v>
      </c>
    </row>
    <row r="1817" spans="6:12" ht="15" customHeight="1" thickBot="1">
      <c r="F1817" s="340" t="s">
        <v>195</v>
      </c>
      <c r="G1817" s="341" t="s">
        <v>196</v>
      </c>
      <c r="H1817" s="318"/>
      <c r="I1817" s="318"/>
      <c r="J1817" s="379">
        <v>0.1</v>
      </c>
      <c r="K1817" s="320"/>
      <c r="L1817" s="321">
        <f>J1817*L1816</f>
        <v>12212.254000000001</v>
      </c>
    </row>
    <row r="1818" spans="6:12" ht="15" customHeight="1" thickBot="1">
      <c r="F1818" s="380" t="s">
        <v>197</v>
      </c>
      <c r="G1818" s="381" t="s">
        <v>198</v>
      </c>
      <c r="H1818" s="382"/>
      <c r="I1818" s="382"/>
      <c r="J1818" s="383"/>
      <c r="K1818" s="384">
        <v>0</v>
      </c>
      <c r="L1818" s="385">
        <f>ROUNDDOWN(L1816+L1817,0)</f>
        <v>134334</v>
      </c>
    </row>
    <row r="1819" spans="6:12" ht="15" customHeight="1">
      <c r="F1819" s="298"/>
      <c r="G1819" s="298"/>
      <c r="J1819" s="343"/>
      <c r="K1819" s="355"/>
      <c r="L1819" s="299"/>
    </row>
    <row r="1820" spans="6:12" ht="15" customHeight="1">
      <c r="F1820" s="360" t="s">
        <v>479</v>
      </c>
      <c r="G1820" s="298"/>
      <c r="J1820" s="343"/>
      <c r="K1820" s="355"/>
      <c r="L1820" s="299"/>
    </row>
    <row r="1821" spans="6:12" ht="15" customHeight="1">
      <c r="F1821" s="298"/>
      <c r="J1821" s="343"/>
      <c r="K1821" s="355"/>
      <c r="L1821" s="299"/>
    </row>
    <row r="1822" spans="6:12" ht="15" customHeight="1">
      <c r="F1822" s="298"/>
      <c r="J1822" s="343"/>
      <c r="K1822" s="355"/>
      <c r="L1822" s="299"/>
    </row>
    <row r="1823" spans="6:12" ht="15" customHeight="1">
      <c r="F1823" s="298"/>
      <c r="G1823" s="360" t="s">
        <v>480</v>
      </c>
      <c r="H1823" s="386" t="s">
        <v>481</v>
      </c>
      <c r="J1823" s="343"/>
      <c r="K1823" s="355"/>
      <c r="L1823" s="299"/>
    </row>
    <row r="1824" spans="6:12" ht="15" customHeight="1">
      <c r="F1824" s="298"/>
      <c r="H1824" s="296" t="s">
        <v>482</v>
      </c>
      <c r="J1824" s="343"/>
      <c r="K1824" s="355"/>
      <c r="L1824" s="299"/>
    </row>
    <row r="1825" spans="6:12" ht="15" customHeight="1">
      <c r="F1825" s="298"/>
      <c r="G1825" s="360">
        <v>1</v>
      </c>
      <c r="H1825" s="386">
        <v>1</v>
      </c>
      <c r="J1825" s="343"/>
      <c r="K1825" s="355"/>
      <c r="L1825" s="299"/>
    </row>
    <row r="1826" spans="6:12" ht="15" customHeight="1">
      <c r="F1826" s="298"/>
      <c r="G1826" s="360">
        <v>2</v>
      </c>
      <c r="H1826" s="386">
        <v>1</v>
      </c>
      <c r="J1826" s="343"/>
      <c r="K1826" s="355"/>
      <c r="L1826" s="299"/>
    </row>
    <row r="1827" spans="6:12" ht="15" customHeight="1">
      <c r="F1827" s="298"/>
      <c r="G1827" s="360">
        <v>3</v>
      </c>
      <c r="H1827" s="386">
        <v>1</v>
      </c>
      <c r="J1827" s="343"/>
      <c r="K1827" s="355"/>
      <c r="L1827" s="299"/>
    </row>
    <row r="1828" spans="6:12" ht="15" customHeight="1">
      <c r="F1828" s="298"/>
      <c r="G1828" s="360">
        <v>4</v>
      </c>
      <c r="H1828" s="386">
        <v>1</v>
      </c>
      <c r="J1828" s="343"/>
      <c r="K1828" s="355"/>
      <c r="L1828" s="299"/>
    </row>
    <row r="1829" spans="6:12" ht="15" customHeight="1">
      <c r="F1829" s="298"/>
      <c r="G1829" s="360">
        <v>5</v>
      </c>
      <c r="H1829" s="386">
        <v>1</v>
      </c>
      <c r="J1829" s="343"/>
      <c r="K1829" s="355"/>
      <c r="L1829" s="299"/>
    </row>
    <row r="1830" spans="6:12" ht="15" customHeight="1">
      <c r="F1830" s="298"/>
      <c r="G1830" s="360">
        <v>6</v>
      </c>
      <c r="H1830" s="386">
        <v>1</v>
      </c>
      <c r="J1830" s="343"/>
      <c r="K1830" s="355"/>
      <c r="L1830" s="299"/>
    </row>
    <row r="1831" spans="6:12" ht="15" customHeight="1">
      <c r="F1831" s="298"/>
      <c r="G1831" s="360">
        <v>7</v>
      </c>
      <c r="H1831" s="386">
        <v>1</v>
      </c>
      <c r="J1831" s="343"/>
      <c r="K1831" s="355"/>
      <c r="L1831" s="299"/>
    </row>
    <row r="1832" spans="6:12" ht="15" customHeight="1">
      <c r="F1832" s="298"/>
      <c r="G1832" s="360">
        <v>8</v>
      </c>
      <c r="H1832" s="386">
        <v>1.018</v>
      </c>
      <c r="J1832" s="343"/>
      <c r="K1832" s="355"/>
      <c r="L1832" s="299"/>
    </row>
    <row r="1833" spans="6:12" ht="15" customHeight="1">
      <c r="F1833" s="298"/>
      <c r="G1833" s="360">
        <v>9</v>
      </c>
      <c r="H1833" s="386">
        <v>1.0369999999999999</v>
      </c>
      <c r="J1833" s="343"/>
      <c r="K1833" s="355"/>
      <c r="L1833" s="299"/>
    </row>
    <row r="1834" spans="6:12" ht="15" customHeight="1">
      <c r="F1834" s="298"/>
      <c r="G1834" s="360">
        <v>10</v>
      </c>
      <c r="H1834" s="386">
        <v>1.0549999999999999</v>
      </c>
      <c r="J1834" s="343"/>
      <c r="K1834" s="355"/>
      <c r="L1834" s="299"/>
    </row>
    <row r="1835" spans="6:12" ht="15" customHeight="1">
      <c r="F1835" s="298"/>
      <c r="G1835" s="360">
        <v>11</v>
      </c>
      <c r="H1835" s="386">
        <v>1.075</v>
      </c>
      <c r="J1835" s="343"/>
      <c r="K1835" s="355"/>
      <c r="L1835" s="299"/>
    </row>
    <row r="1836" spans="6:12" ht="15" customHeight="1">
      <c r="F1836" s="298"/>
      <c r="G1836" s="360">
        <v>12</v>
      </c>
      <c r="H1836" s="386">
        <v>1.0940000000000001</v>
      </c>
      <c r="J1836" s="343"/>
      <c r="K1836" s="355"/>
      <c r="L1836" s="299"/>
    </row>
    <row r="1837" spans="6:12" ht="15" customHeight="1">
      <c r="F1837" s="298"/>
      <c r="G1837" s="360">
        <v>13</v>
      </c>
      <c r="H1837" s="386">
        <v>1.1140000000000001</v>
      </c>
      <c r="J1837" s="343"/>
      <c r="K1837" s="355"/>
      <c r="L1837" s="299"/>
    </row>
    <row r="1838" spans="6:12" ht="15" customHeight="1">
      <c r="F1838" s="298"/>
      <c r="G1838" s="360">
        <v>14</v>
      </c>
      <c r="H1838" s="386">
        <v>1.1339999999999999</v>
      </c>
      <c r="J1838" s="343"/>
      <c r="K1838" s="355"/>
      <c r="L1838" s="299"/>
    </row>
    <row r="1839" spans="6:12" ht="15" customHeight="1">
      <c r="F1839" s="298"/>
      <c r="G1839" s="360">
        <v>15</v>
      </c>
      <c r="H1839" s="386">
        <v>1.155</v>
      </c>
      <c r="J1839" s="343"/>
      <c r="K1839" s="355"/>
      <c r="L1839" s="299"/>
    </row>
    <row r="1840" spans="6:12" ht="15" customHeight="1">
      <c r="F1840" s="298"/>
      <c r="G1840" s="360">
        <v>16</v>
      </c>
      <c r="H1840" s="386">
        <v>1.1759999999999999</v>
      </c>
      <c r="J1840" s="343"/>
      <c r="K1840" s="355"/>
      <c r="L1840" s="299"/>
    </row>
    <row r="1841" spans="5:13" ht="15" customHeight="1">
      <c r="F1841" s="298"/>
      <c r="G1841" s="360">
        <v>17</v>
      </c>
      <c r="H1841" s="386">
        <v>1.1970000000000001</v>
      </c>
      <c r="J1841" s="343"/>
      <c r="K1841" s="355"/>
      <c r="L1841" s="299"/>
    </row>
    <row r="1842" spans="5:13" ht="15" customHeight="1">
      <c r="F1842" s="298"/>
      <c r="G1842" s="360">
        <v>18</v>
      </c>
      <c r="H1842" s="386">
        <v>1.2190000000000001</v>
      </c>
      <c r="J1842" s="343"/>
      <c r="K1842" s="355"/>
      <c r="L1842" s="299"/>
    </row>
    <row r="1843" spans="5:13" ht="15" customHeight="1">
      <c r="F1843" s="298"/>
      <c r="G1843" s="360">
        <v>19</v>
      </c>
      <c r="H1843" s="386">
        <v>1.2410000000000001</v>
      </c>
      <c r="J1843" s="343"/>
      <c r="K1843" s="355"/>
      <c r="L1843" s="299"/>
    </row>
    <row r="1844" spans="5:13" ht="15" customHeight="1">
      <c r="F1844" s="298"/>
      <c r="G1844" s="360">
        <v>20</v>
      </c>
      <c r="H1844" s="386">
        <v>1.264</v>
      </c>
      <c r="J1844" s="343"/>
      <c r="K1844" s="355"/>
      <c r="L1844" s="299"/>
    </row>
    <row r="1845" spans="5:13" ht="15" customHeight="1">
      <c r="F1845" s="298"/>
      <c r="G1845" s="360">
        <v>21</v>
      </c>
      <c r="H1845" s="296">
        <v>1.2869999999999999</v>
      </c>
      <c r="J1845" s="343"/>
      <c r="K1845" s="355"/>
      <c r="L1845" s="299"/>
    </row>
    <row r="1846" spans="5:13" ht="15" customHeight="1">
      <c r="F1846" s="298"/>
      <c r="G1846" s="360">
        <v>22</v>
      </c>
      <c r="H1846" s="296">
        <v>1.31</v>
      </c>
      <c r="J1846" s="343"/>
      <c r="K1846" s="355"/>
      <c r="L1846" s="299"/>
    </row>
    <row r="1847" spans="5:13" ht="15" customHeight="1">
      <c r="F1847" s="298"/>
      <c r="G1847" s="360">
        <v>23</v>
      </c>
      <c r="H1847" s="296">
        <v>1.3340000000000001</v>
      </c>
      <c r="J1847" s="343"/>
      <c r="K1847" s="355"/>
      <c r="L1847" s="299"/>
    </row>
    <row r="1848" spans="5:13" ht="15" customHeight="1">
      <c r="F1848" s="298"/>
      <c r="G1848" s="360">
        <v>24</v>
      </c>
      <c r="H1848" s="296">
        <v>1.3580000000000001</v>
      </c>
      <c r="J1848" s="343"/>
      <c r="K1848" s="355"/>
      <c r="L1848" s="299"/>
    </row>
    <row r="1849" spans="5:13" ht="15" customHeight="1">
      <c r="F1849" s="298"/>
      <c r="G1849" s="298"/>
      <c r="J1849" s="343"/>
      <c r="K1849" s="355"/>
      <c r="L1849" s="299"/>
    </row>
    <row r="1850" spans="5:13" ht="15" customHeight="1">
      <c r="F1850" s="298"/>
      <c r="G1850" s="298"/>
      <c r="J1850" s="343"/>
      <c r="K1850" s="355"/>
      <c r="L1850" s="299"/>
    </row>
    <row r="1851" spans="5:13" ht="15" customHeight="1" thickBot="1">
      <c r="E1851" s="387" t="s">
        <v>483</v>
      </c>
      <c r="F1851" s="298" t="s">
        <v>484</v>
      </c>
      <c r="G1851" s="298"/>
      <c r="J1851" s="343"/>
      <c r="K1851" s="355"/>
      <c r="L1851" s="299"/>
      <c r="M1851" s="299">
        <f>L1871</f>
        <v>706136</v>
      </c>
    </row>
    <row r="1852" spans="5:13" ht="15" customHeight="1" thickBot="1">
      <c r="F1852" s="340" t="s">
        <v>136</v>
      </c>
      <c r="G1852" s="341" t="s">
        <v>162</v>
      </c>
      <c r="H1852" s="352" t="s">
        <v>163</v>
      </c>
      <c r="I1852" s="352" t="s">
        <v>138</v>
      </c>
      <c r="J1852" s="353" t="s">
        <v>164</v>
      </c>
      <c r="K1852" s="341" t="s">
        <v>165</v>
      </c>
      <c r="L1852" s="354" t="s">
        <v>166</v>
      </c>
    </row>
    <row r="1853" spans="5:13" ht="15" customHeight="1">
      <c r="F1853" s="322" t="s">
        <v>167</v>
      </c>
      <c r="G1853" s="323" t="s">
        <v>168</v>
      </c>
      <c r="H1853" s="324"/>
      <c r="I1853" s="324"/>
      <c r="J1853" s="325"/>
      <c r="K1853" s="326"/>
      <c r="L1853" s="327"/>
    </row>
    <row r="1854" spans="5:13" ht="15" customHeight="1">
      <c r="F1854" s="368"/>
      <c r="G1854" s="369" t="s">
        <v>2070</v>
      </c>
      <c r="H1854" s="370" t="s">
        <v>472</v>
      </c>
      <c r="I1854" s="370" t="s">
        <v>171</v>
      </c>
      <c r="J1854" s="371">
        <v>6.0999999999999999E-2</v>
      </c>
      <c r="K1854" s="309">
        <f t="shared" ref="K1854:K1860" si="65">VLOOKUP(G1854,Upah,8,FALSE)</f>
        <v>165000</v>
      </c>
      <c r="L1854" s="310">
        <f t="shared" ref="L1854:L1860" si="66">J1854*K1854</f>
        <v>10065</v>
      </c>
    </row>
    <row r="1855" spans="5:13" ht="15" customHeight="1">
      <c r="F1855" s="368"/>
      <c r="G1855" s="369" t="s">
        <v>2071</v>
      </c>
      <c r="H1855" s="370" t="s">
        <v>473</v>
      </c>
      <c r="I1855" s="370" t="s">
        <v>171</v>
      </c>
      <c r="J1855" s="371">
        <v>6.0999999999999999E-2</v>
      </c>
      <c r="K1855" s="309">
        <f t="shared" si="65"/>
        <v>148500</v>
      </c>
      <c r="L1855" s="310">
        <f t="shared" si="66"/>
        <v>9058.5</v>
      </c>
    </row>
    <row r="1856" spans="5:13" ht="15" customHeight="1">
      <c r="F1856" s="368"/>
      <c r="G1856" s="369" t="s">
        <v>169</v>
      </c>
      <c r="H1856" s="370" t="s">
        <v>170</v>
      </c>
      <c r="I1856" s="370" t="s">
        <v>171</v>
      </c>
      <c r="J1856" s="371">
        <v>6.0999999999999999E-2</v>
      </c>
      <c r="K1856" s="309">
        <f t="shared" si="65"/>
        <v>125000</v>
      </c>
      <c r="L1856" s="310">
        <f t="shared" si="66"/>
        <v>7625</v>
      </c>
    </row>
    <row r="1857" spans="6:12" ht="15" customHeight="1">
      <c r="F1857" s="368"/>
      <c r="G1857" s="369" t="s">
        <v>216</v>
      </c>
      <c r="H1857" s="370" t="s">
        <v>217</v>
      </c>
      <c r="I1857" s="370" t="s">
        <v>171</v>
      </c>
      <c r="J1857" s="371">
        <v>6.0999999999999999E-2</v>
      </c>
      <c r="K1857" s="309">
        <f t="shared" si="65"/>
        <v>150000</v>
      </c>
      <c r="L1857" s="310">
        <f t="shared" si="66"/>
        <v>9150</v>
      </c>
    </row>
    <row r="1858" spans="6:12" ht="15" customHeight="1">
      <c r="F1858" s="368"/>
      <c r="G1858" s="369" t="s">
        <v>474</v>
      </c>
      <c r="H1858" s="370" t="s">
        <v>475</v>
      </c>
      <c r="I1858" s="370" t="s">
        <v>171</v>
      </c>
      <c r="J1858" s="371">
        <v>0.122</v>
      </c>
      <c r="K1858" s="309">
        <f t="shared" si="65"/>
        <v>150000</v>
      </c>
      <c r="L1858" s="310">
        <f t="shared" si="66"/>
        <v>18300</v>
      </c>
    </row>
    <row r="1859" spans="6:12" ht="15" customHeight="1">
      <c r="F1859" s="368"/>
      <c r="G1859" s="369" t="s">
        <v>232</v>
      </c>
      <c r="H1859" s="370" t="s">
        <v>175</v>
      </c>
      <c r="I1859" s="370" t="s">
        <v>171</v>
      </c>
      <c r="J1859" s="371">
        <v>6.0999999999999999E-2</v>
      </c>
      <c r="K1859" s="309">
        <f t="shared" si="65"/>
        <v>165000</v>
      </c>
      <c r="L1859" s="310">
        <f t="shared" si="66"/>
        <v>10065</v>
      </c>
    </row>
    <row r="1860" spans="6:12" ht="15" customHeight="1" thickBot="1">
      <c r="F1860" s="372"/>
      <c r="G1860" s="373" t="s">
        <v>176</v>
      </c>
      <c r="H1860" s="374" t="s">
        <v>177</v>
      </c>
      <c r="I1860" s="374" t="s">
        <v>171</v>
      </c>
      <c r="J1860" s="375">
        <v>6.0999999999999999E-2</v>
      </c>
      <c r="K1860" s="309">
        <f t="shared" si="65"/>
        <v>170000</v>
      </c>
      <c r="L1860" s="330">
        <f t="shared" si="66"/>
        <v>10370</v>
      </c>
    </row>
    <row r="1861" spans="6:12" ht="15" customHeight="1" thickBot="1">
      <c r="F1861" s="316"/>
      <c r="G1861" s="317"/>
      <c r="H1861" s="318"/>
      <c r="I1861" s="318"/>
      <c r="J1861" s="319" t="s">
        <v>178</v>
      </c>
      <c r="K1861" s="320"/>
      <c r="L1861" s="321">
        <f>SUM(L1856:L1860)</f>
        <v>55510</v>
      </c>
    </row>
    <row r="1862" spans="6:12" ht="15" customHeight="1">
      <c r="F1862" s="322" t="s">
        <v>179</v>
      </c>
      <c r="G1862" s="323" t="s">
        <v>180</v>
      </c>
      <c r="H1862" s="324"/>
      <c r="I1862" s="324"/>
      <c r="J1862" s="325"/>
      <c r="K1862" s="326"/>
      <c r="L1862" s="327"/>
    </row>
    <row r="1863" spans="6:12" ht="15" customHeight="1" thickBot="1">
      <c r="F1863" s="372"/>
      <c r="G1863" s="376" t="s">
        <v>476</v>
      </c>
      <c r="H1863" s="374"/>
      <c r="I1863" s="374" t="s">
        <v>438</v>
      </c>
      <c r="J1863" s="375">
        <v>6.11</v>
      </c>
      <c r="K1863" s="328">
        <f>VLOOKUP(G1863,Bahan,6,FALSE)</f>
        <v>10540</v>
      </c>
      <c r="L1863" s="330">
        <f>J1863*K1863</f>
        <v>64399.4</v>
      </c>
    </row>
    <row r="1864" spans="6:12" ht="15" customHeight="1" thickBot="1">
      <c r="F1864" s="316"/>
      <c r="G1864" s="317"/>
      <c r="H1864" s="318"/>
      <c r="I1864" s="318"/>
      <c r="J1864" s="319" t="s">
        <v>189</v>
      </c>
      <c r="K1864" s="320"/>
      <c r="L1864" s="321">
        <f>SUM(L1863)</f>
        <v>64399.4</v>
      </c>
    </row>
    <row r="1865" spans="6:12" ht="15" customHeight="1">
      <c r="F1865" s="322" t="s">
        <v>190</v>
      </c>
      <c r="G1865" s="323" t="s">
        <v>191</v>
      </c>
      <c r="H1865" s="324"/>
      <c r="I1865" s="324"/>
      <c r="J1865" s="325"/>
      <c r="K1865" s="326"/>
      <c r="L1865" s="327"/>
    </row>
    <row r="1866" spans="6:12" ht="15" customHeight="1">
      <c r="F1866" s="368"/>
      <c r="G1866" s="369" t="s">
        <v>2072</v>
      </c>
      <c r="H1866" s="377"/>
      <c r="I1866" s="370" t="s">
        <v>477</v>
      </c>
      <c r="J1866" s="371">
        <v>6.0999999999999999E-2</v>
      </c>
      <c r="K1866" s="328">
        <f>VLOOKUP(G1866,Bahan,6,FALSE)</f>
        <v>1540000</v>
      </c>
      <c r="L1866" s="310">
        <f>J1866*K1866</f>
        <v>93940</v>
      </c>
    </row>
    <row r="1867" spans="6:12" ht="15" customHeight="1" thickBot="1">
      <c r="F1867" s="372"/>
      <c r="G1867" s="373" t="s">
        <v>2073</v>
      </c>
      <c r="H1867" s="378"/>
      <c r="I1867" s="374" t="s">
        <v>478</v>
      </c>
      <c r="J1867" s="375">
        <v>1.1000000000000001</v>
      </c>
      <c r="K1867" s="328">
        <f>VLOOKUP(G1867,Bahan,6,FALSE)</f>
        <v>396800</v>
      </c>
      <c r="L1867" s="330">
        <f>J1867*K1867</f>
        <v>436480.00000000006</v>
      </c>
    </row>
    <row r="1868" spans="6:12" ht="15" customHeight="1" thickBot="1">
      <c r="F1868" s="316"/>
      <c r="G1868" s="317"/>
      <c r="H1868" s="318"/>
      <c r="I1868" s="318"/>
      <c r="J1868" s="319" t="s">
        <v>192</v>
      </c>
      <c r="K1868" s="320"/>
      <c r="L1868" s="321">
        <f>SUM(L1866:L1867)</f>
        <v>530420</v>
      </c>
    </row>
    <row r="1869" spans="6:12" ht="15" customHeight="1" thickBot="1">
      <c r="F1869" s="331" t="s">
        <v>193</v>
      </c>
      <c r="G1869" s="332" t="s">
        <v>194</v>
      </c>
      <c r="H1869" s="333"/>
      <c r="I1869" s="333"/>
      <c r="J1869" s="334"/>
      <c r="K1869" s="335">
        <v>0</v>
      </c>
      <c r="L1869" s="336">
        <f>SUM(L1858:L1868)/2</f>
        <v>641941.9</v>
      </c>
    </row>
    <row r="1870" spans="6:12" ht="15" customHeight="1" thickBot="1">
      <c r="F1870" s="340" t="s">
        <v>195</v>
      </c>
      <c r="G1870" s="341" t="s">
        <v>196</v>
      </c>
      <c r="H1870" s="318"/>
      <c r="I1870" s="318"/>
      <c r="J1870" s="379">
        <v>0.1</v>
      </c>
      <c r="K1870" s="320"/>
      <c r="L1870" s="321">
        <f>J1870*L1869</f>
        <v>64194.19</v>
      </c>
    </row>
    <row r="1871" spans="6:12" ht="15" customHeight="1" thickBot="1">
      <c r="F1871" s="380" t="s">
        <v>197</v>
      </c>
      <c r="G1871" s="381" t="s">
        <v>198</v>
      </c>
      <c r="H1871" s="382"/>
      <c r="I1871" s="382"/>
      <c r="J1871" s="383"/>
      <c r="K1871" s="384">
        <v>0</v>
      </c>
      <c r="L1871" s="385">
        <f>ROUNDDOWN(L1869+L1870,0)</f>
        <v>706136</v>
      </c>
    </row>
    <row r="1872" spans="6:12" ht="15" customHeight="1">
      <c r="F1872" s="298"/>
      <c r="G1872" s="298"/>
      <c r="J1872" s="343"/>
      <c r="K1872" s="355"/>
      <c r="L1872" s="299"/>
    </row>
    <row r="1873" spans="6:12" ht="15" customHeight="1">
      <c r="F1873" s="388" t="s">
        <v>485</v>
      </c>
      <c r="G1873" s="389"/>
      <c r="H1873" s="390"/>
      <c r="J1873" s="343"/>
      <c r="K1873" s="355"/>
      <c r="L1873" s="299"/>
    </row>
    <row r="1874" spans="6:12" ht="15" customHeight="1">
      <c r="F1874" s="389"/>
      <c r="G1874" s="391"/>
      <c r="H1874" s="390"/>
      <c r="J1874" s="343"/>
      <c r="K1874" s="355"/>
      <c r="L1874" s="299"/>
    </row>
    <row r="1875" spans="6:12" ht="15" customHeight="1">
      <c r="F1875" s="389"/>
      <c r="G1875" s="391"/>
      <c r="H1875" s="390"/>
      <c r="J1875" s="343"/>
      <c r="K1875" s="355"/>
      <c r="L1875" s="299"/>
    </row>
    <row r="1876" spans="6:12" ht="15" customHeight="1">
      <c r="F1876" s="389"/>
      <c r="G1876" s="392" t="s">
        <v>480</v>
      </c>
      <c r="H1876" s="393" t="s">
        <v>481</v>
      </c>
      <c r="J1876" s="343"/>
      <c r="K1876" s="355"/>
      <c r="L1876" s="299"/>
    </row>
    <row r="1877" spans="6:12" ht="15" customHeight="1">
      <c r="F1877" s="389"/>
      <c r="G1877" s="391"/>
      <c r="H1877" s="390" t="s">
        <v>486</v>
      </c>
      <c r="J1877" s="343"/>
      <c r="K1877" s="355"/>
      <c r="L1877" s="299"/>
    </row>
    <row r="1878" spans="6:12" ht="15" customHeight="1">
      <c r="F1878" s="389"/>
      <c r="G1878" s="388">
        <v>1</v>
      </c>
      <c r="H1878" s="393">
        <v>1</v>
      </c>
      <c r="J1878" s="343"/>
      <c r="K1878" s="355"/>
      <c r="L1878" s="299"/>
    </row>
    <row r="1879" spans="6:12" ht="15" customHeight="1">
      <c r="F1879" s="389"/>
      <c r="G1879" s="388">
        <v>2</v>
      </c>
      <c r="H1879" s="393">
        <v>1</v>
      </c>
      <c r="J1879" s="343"/>
      <c r="K1879" s="355"/>
      <c r="L1879" s="299"/>
    </row>
    <row r="1880" spans="6:12" ht="15" customHeight="1">
      <c r="F1880" s="389"/>
      <c r="G1880" s="388">
        <v>3</v>
      </c>
      <c r="H1880" s="393">
        <v>1</v>
      </c>
      <c r="J1880" s="343"/>
      <c r="K1880" s="355"/>
      <c r="L1880" s="299"/>
    </row>
    <row r="1881" spans="6:12" ht="15" customHeight="1">
      <c r="F1881" s="389"/>
      <c r="G1881" s="388">
        <v>4</v>
      </c>
      <c r="H1881" s="393">
        <v>1</v>
      </c>
      <c r="J1881" s="343"/>
      <c r="K1881" s="355"/>
      <c r="L1881" s="299"/>
    </row>
    <row r="1882" spans="6:12" ht="15" customHeight="1">
      <c r="F1882" s="389"/>
      <c r="G1882" s="388">
        <v>5</v>
      </c>
      <c r="H1882" s="393">
        <v>1</v>
      </c>
      <c r="J1882" s="343"/>
      <c r="K1882" s="355"/>
      <c r="L1882" s="299"/>
    </row>
    <row r="1883" spans="6:12" ht="15" customHeight="1">
      <c r="F1883" s="389"/>
      <c r="G1883" s="388">
        <v>6</v>
      </c>
      <c r="H1883" s="393">
        <v>1</v>
      </c>
      <c r="J1883" s="343"/>
      <c r="K1883" s="355"/>
      <c r="L1883" s="299"/>
    </row>
    <row r="1884" spans="6:12" ht="15" customHeight="1">
      <c r="F1884" s="389"/>
      <c r="G1884" s="388">
        <v>7</v>
      </c>
      <c r="H1884" s="393">
        <v>1</v>
      </c>
      <c r="J1884" s="343"/>
      <c r="K1884" s="355"/>
      <c r="L1884" s="299"/>
    </row>
    <row r="1885" spans="6:12" ht="15" customHeight="1">
      <c r="F1885" s="389"/>
      <c r="G1885" s="388">
        <v>8</v>
      </c>
      <c r="H1885" s="393">
        <v>1.0109999999999999</v>
      </c>
      <c r="J1885" s="343"/>
      <c r="K1885" s="355"/>
      <c r="L1885" s="299"/>
    </row>
    <row r="1886" spans="6:12" ht="15" customHeight="1">
      <c r="F1886" s="389"/>
      <c r="G1886" s="388">
        <v>9</v>
      </c>
      <c r="H1886" s="393">
        <v>1.022</v>
      </c>
      <c r="J1886" s="343"/>
      <c r="K1886" s="355"/>
      <c r="L1886" s="299"/>
    </row>
    <row r="1887" spans="6:12" ht="15" customHeight="1">
      <c r="F1887" s="389"/>
      <c r="G1887" s="388">
        <v>10</v>
      </c>
      <c r="H1887" s="393">
        <v>1.034</v>
      </c>
      <c r="J1887" s="343"/>
      <c r="K1887" s="355"/>
      <c r="L1887" s="299"/>
    </row>
    <row r="1888" spans="6:12" ht="15" customHeight="1">
      <c r="F1888" s="389"/>
      <c r="G1888" s="388">
        <v>11</v>
      </c>
      <c r="H1888" s="393">
        <v>1.0449999999999999</v>
      </c>
    </row>
    <row r="1889" spans="5:13" ht="15" customHeight="1">
      <c r="F1889" s="389"/>
      <c r="G1889" s="388">
        <v>12</v>
      </c>
      <c r="H1889" s="393">
        <v>1.0569999999999999</v>
      </c>
    </row>
    <row r="1890" spans="5:13" ht="15" customHeight="1">
      <c r="F1890" s="389"/>
      <c r="G1890" s="388">
        <v>13</v>
      </c>
      <c r="H1890" s="393">
        <v>1.0680000000000001</v>
      </c>
    </row>
    <row r="1891" spans="5:13" ht="15" customHeight="1">
      <c r="F1891" s="389"/>
      <c r="G1891" s="388">
        <v>14</v>
      </c>
      <c r="H1891" s="393">
        <v>1.08</v>
      </c>
    </row>
    <row r="1892" spans="5:13" ht="15" customHeight="1">
      <c r="F1892" s="389"/>
      <c r="G1892" s="388">
        <v>15</v>
      </c>
      <c r="H1892" s="393">
        <v>1.0920000000000001</v>
      </c>
    </row>
    <row r="1893" spans="5:13" ht="15" customHeight="1">
      <c r="F1893" s="389"/>
      <c r="G1893" s="388">
        <v>16</v>
      </c>
      <c r="H1893" s="393">
        <v>1.1040000000000001</v>
      </c>
    </row>
    <row r="1894" spans="5:13" ht="15" customHeight="1">
      <c r="F1894" s="389"/>
      <c r="G1894" s="388">
        <v>17</v>
      </c>
      <c r="H1894" s="393">
        <v>1.1160000000000001</v>
      </c>
    </row>
    <row r="1895" spans="5:13" ht="15" customHeight="1">
      <c r="F1895" s="389"/>
      <c r="G1895" s="388">
        <v>18</v>
      </c>
      <c r="H1895" s="393">
        <v>1.129</v>
      </c>
    </row>
    <row r="1896" spans="5:13" ht="15" customHeight="1">
      <c r="F1896" s="389"/>
      <c r="G1896" s="388">
        <v>19</v>
      </c>
      <c r="H1896" s="393">
        <v>1.141</v>
      </c>
    </row>
    <row r="1897" spans="5:13" ht="15" customHeight="1">
      <c r="F1897" s="389"/>
      <c r="G1897" s="388">
        <v>20</v>
      </c>
      <c r="H1897" s="393">
        <v>1.1539999999999999</v>
      </c>
    </row>
    <row r="1898" spans="5:13" ht="15" customHeight="1">
      <c r="F1898" s="389"/>
      <c r="G1898" s="388">
        <v>21</v>
      </c>
      <c r="H1898" s="393">
        <v>1.1659999999999999</v>
      </c>
    </row>
    <row r="1899" spans="5:13" ht="15" customHeight="1">
      <c r="F1899" s="389"/>
      <c r="G1899" s="388">
        <v>22</v>
      </c>
      <c r="H1899" s="393">
        <v>1.179</v>
      </c>
    </row>
    <row r="1900" spans="5:13" ht="15" customHeight="1">
      <c r="F1900" s="389"/>
      <c r="G1900" s="388">
        <v>23</v>
      </c>
      <c r="H1900" s="393">
        <v>1.1919999999999999</v>
      </c>
    </row>
    <row r="1901" spans="5:13" ht="15" customHeight="1">
      <c r="F1901" s="389"/>
      <c r="G1901" s="388">
        <v>24</v>
      </c>
      <c r="H1901" s="393">
        <v>1.206</v>
      </c>
    </row>
    <row r="1904" spans="5:13" ht="15" customHeight="1" thickBot="1">
      <c r="E1904" s="387" t="s">
        <v>487</v>
      </c>
      <c r="F1904" s="298" t="s">
        <v>488</v>
      </c>
      <c r="G1904" s="298"/>
      <c r="J1904" s="343"/>
      <c r="K1904" s="355"/>
      <c r="L1904" s="299"/>
      <c r="M1904" s="299">
        <f>L1924</f>
        <v>1267350</v>
      </c>
    </row>
    <row r="1905" spans="6:12" ht="15" customHeight="1" thickBot="1">
      <c r="F1905" s="340" t="s">
        <v>136</v>
      </c>
      <c r="G1905" s="341" t="s">
        <v>162</v>
      </c>
      <c r="H1905" s="352" t="s">
        <v>163</v>
      </c>
      <c r="I1905" s="352" t="s">
        <v>138</v>
      </c>
      <c r="J1905" s="353" t="s">
        <v>164</v>
      </c>
      <c r="K1905" s="341" t="s">
        <v>165</v>
      </c>
      <c r="L1905" s="354" t="s">
        <v>166</v>
      </c>
    </row>
    <row r="1906" spans="6:12" ht="15" customHeight="1">
      <c r="F1906" s="322" t="s">
        <v>167</v>
      </c>
      <c r="G1906" s="323" t="s">
        <v>168</v>
      </c>
      <c r="H1906" s="324"/>
      <c r="I1906" s="324"/>
      <c r="J1906" s="325"/>
      <c r="K1906" s="326"/>
      <c r="L1906" s="327"/>
    </row>
    <row r="1907" spans="6:12" ht="15" customHeight="1">
      <c r="F1907" s="368"/>
      <c r="G1907" s="369" t="s">
        <v>2070</v>
      </c>
      <c r="H1907" s="370" t="s">
        <v>472</v>
      </c>
      <c r="I1907" s="370" t="s">
        <v>171</v>
      </c>
      <c r="J1907" s="371">
        <v>8.3000000000000004E-2</v>
      </c>
      <c r="K1907" s="309">
        <f t="shared" ref="K1907:K1913" si="67">VLOOKUP(G1907,Upah,8,FALSE)</f>
        <v>165000</v>
      </c>
      <c r="L1907" s="310">
        <f t="shared" ref="L1907:L1913" si="68">J1907*K1907</f>
        <v>13695</v>
      </c>
    </row>
    <row r="1908" spans="6:12" ht="15" customHeight="1">
      <c r="F1908" s="368"/>
      <c r="G1908" s="369" t="s">
        <v>2071</v>
      </c>
      <c r="H1908" s="370" t="s">
        <v>473</v>
      </c>
      <c r="I1908" s="370" t="s">
        <v>171</v>
      </c>
      <c r="J1908" s="371">
        <v>8.3000000000000004E-2</v>
      </c>
      <c r="K1908" s="309">
        <f t="shared" si="67"/>
        <v>148500</v>
      </c>
      <c r="L1908" s="310">
        <f t="shared" si="68"/>
        <v>12325.5</v>
      </c>
    </row>
    <row r="1909" spans="6:12" ht="15" customHeight="1">
      <c r="F1909" s="368"/>
      <c r="G1909" s="369" t="s">
        <v>169</v>
      </c>
      <c r="H1909" s="370" t="s">
        <v>170</v>
      </c>
      <c r="I1909" s="370" t="s">
        <v>171</v>
      </c>
      <c r="J1909" s="371">
        <v>8.3000000000000004E-2</v>
      </c>
      <c r="K1909" s="309">
        <f t="shared" si="67"/>
        <v>125000</v>
      </c>
      <c r="L1909" s="310">
        <f t="shared" si="68"/>
        <v>10375</v>
      </c>
    </row>
    <row r="1910" spans="6:12" ht="15" customHeight="1">
      <c r="F1910" s="368"/>
      <c r="G1910" s="369" t="s">
        <v>216</v>
      </c>
      <c r="H1910" s="370" t="s">
        <v>217</v>
      </c>
      <c r="I1910" s="370" t="s">
        <v>171</v>
      </c>
      <c r="J1910" s="371">
        <v>8.3000000000000004E-2</v>
      </c>
      <c r="K1910" s="309">
        <f t="shared" si="67"/>
        <v>150000</v>
      </c>
      <c r="L1910" s="310">
        <f t="shared" si="68"/>
        <v>12450</v>
      </c>
    </row>
    <row r="1911" spans="6:12" ht="15" customHeight="1">
      <c r="F1911" s="368"/>
      <c r="G1911" s="369" t="s">
        <v>474</v>
      </c>
      <c r="H1911" s="370" t="s">
        <v>475</v>
      </c>
      <c r="I1911" s="370" t="s">
        <v>171</v>
      </c>
      <c r="J1911" s="371">
        <v>0.16600000000000001</v>
      </c>
      <c r="K1911" s="309">
        <f t="shared" si="67"/>
        <v>150000</v>
      </c>
      <c r="L1911" s="310">
        <f t="shared" si="68"/>
        <v>24900</v>
      </c>
    </row>
    <row r="1912" spans="6:12" ht="15" customHeight="1">
      <c r="F1912" s="368"/>
      <c r="G1912" s="369" t="s">
        <v>232</v>
      </c>
      <c r="H1912" s="370" t="s">
        <v>175</v>
      </c>
      <c r="I1912" s="370" t="s">
        <v>171</v>
      </c>
      <c r="J1912" s="371">
        <v>8.3000000000000004E-2</v>
      </c>
      <c r="K1912" s="309">
        <f t="shared" si="67"/>
        <v>165000</v>
      </c>
      <c r="L1912" s="310">
        <f t="shared" si="68"/>
        <v>13695</v>
      </c>
    </row>
    <row r="1913" spans="6:12" ht="15" customHeight="1" thickBot="1">
      <c r="F1913" s="372"/>
      <c r="G1913" s="373" t="s">
        <v>176</v>
      </c>
      <c r="H1913" s="374" t="s">
        <v>177</v>
      </c>
      <c r="I1913" s="374" t="s">
        <v>171</v>
      </c>
      <c r="J1913" s="375">
        <v>8.3000000000000004E-2</v>
      </c>
      <c r="K1913" s="309">
        <f t="shared" si="67"/>
        <v>170000</v>
      </c>
      <c r="L1913" s="330">
        <f t="shared" si="68"/>
        <v>14110</v>
      </c>
    </row>
    <row r="1914" spans="6:12" ht="15" customHeight="1" thickBot="1">
      <c r="F1914" s="316"/>
      <c r="G1914" s="317"/>
      <c r="H1914" s="318"/>
      <c r="I1914" s="318"/>
      <c r="J1914" s="319" t="s">
        <v>178</v>
      </c>
      <c r="K1914" s="320"/>
      <c r="L1914" s="321">
        <f>SUM(L1909:L1913)</f>
        <v>75530</v>
      </c>
    </row>
    <row r="1915" spans="6:12" ht="15" customHeight="1">
      <c r="F1915" s="322" t="s">
        <v>179</v>
      </c>
      <c r="G1915" s="323" t="s">
        <v>180</v>
      </c>
      <c r="H1915" s="324"/>
      <c r="I1915" s="324"/>
      <c r="J1915" s="325"/>
      <c r="K1915" s="326"/>
      <c r="L1915" s="327"/>
    </row>
    <row r="1916" spans="6:12" ht="15" customHeight="1" thickBot="1">
      <c r="F1916" s="372"/>
      <c r="G1916" s="376" t="s">
        <v>476</v>
      </c>
      <c r="H1916" s="374"/>
      <c r="I1916" s="374" t="s">
        <v>438</v>
      </c>
      <c r="J1916" s="375">
        <v>8.2769999999999992</v>
      </c>
      <c r="K1916" s="328">
        <f>VLOOKUP(G1916,Bahan,6,FALSE)</f>
        <v>10540</v>
      </c>
      <c r="L1916" s="330">
        <f>J1916*K1916</f>
        <v>87239.579999999987</v>
      </c>
    </row>
    <row r="1917" spans="6:12" ht="15" customHeight="1" thickBot="1">
      <c r="F1917" s="316"/>
      <c r="G1917" s="317"/>
      <c r="H1917" s="318"/>
      <c r="I1917" s="318"/>
      <c r="J1917" s="319" t="s">
        <v>189</v>
      </c>
      <c r="K1917" s="320"/>
      <c r="L1917" s="321">
        <f>SUM(L1916)</f>
        <v>87239.579999999987</v>
      </c>
    </row>
    <row r="1918" spans="6:12" ht="15" customHeight="1">
      <c r="F1918" s="322" t="s">
        <v>190</v>
      </c>
      <c r="G1918" s="323" t="s">
        <v>191</v>
      </c>
      <c r="H1918" s="324"/>
      <c r="I1918" s="324"/>
      <c r="J1918" s="325"/>
      <c r="K1918" s="326"/>
      <c r="L1918" s="327"/>
    </row>
    <row r="1919" spans="6:12" ht="15" customHeight="1">
      <c r="F1919" s="368"/>
      <c r="G1919" s="369" t="s">
        <v>2072</v>
      </c>
      <c r="H1919" s="377"/>
      <c r="I1919" s="370" t="s">
        <v>477</v>
      </c>
      <c r="J1919" s="371">
        <v>8.3000000000000004E-2</v>
      </c>
      <c r="K1919" s="328">
        <f>VLOOKUP(G1919,Bahan,6,FALSE)</f>
        <v>1540000</v>
      </c>
      <c r="L1919" s="310">
        <f>J1919*K1919</f>
        <v>127820</v>
      </c>
    </row>
    <row r="1920" spans="6:12" ht="15" customHeight="1" thickBot="1">
      <c r="F1920" s="372"/>
      <c r="G1920" s="373" t="s">
        <v>2073</v>
      </c>
      <c r="H1920" s="378"/>
      <c r="I1920" s="374" t="s">
        <v>478</v>
      </c>
      <c r="J1920" s="375">
        <v>2.2000000000000002</v>
      </c>
      <c r="K1920" s="328">
        <f>VLOOKUP(G1920,Bahan,6,FALSE)</f>
        <v>396800</v>
      </c>
      <c r="L1920" s="330">
        <f>J1920*K1920</f>
        <v>872960.00000000012</v>
      </c>
    </row>
    <row r="1921" spans="6:12" ht="15" customHeight="1" thickBot="1">
      <c r="F1921" s="316"/>
      <c r="G1921" s="317"/>
      <c r="H1921" s="318"/>
      <c r="I1921" s="318"/>
      <c r="J1921" s="319" t="s">
        <v>192</v>
      </c>
      <c r="K1921" s="320"/>
      <c r="L1921" s="321">
        <f>SUM(L1919:L1920)</f>
        <v>1000780.0000000001</v>
      </c>
    </row>
    <row r="1922" spans="6:12" ht="15" customHeight="1" thickBot="1">
      <c r="F1922" s="331" t="s">
        <v>193</v>
      </c>
      <c r="G1922" s="332" t="s">
        <v>194</v>
      </c>
      <c r="H1922" s="333"/>
      <c r="I1922" s="333"/>
      <c r="J1922" s="334"/>
      <c r="K1922" s="335">
        <v>0</v>
      </c>
      <c r="L1922" s="336">
        <f>SUM(L1911:L1921)/2</f>
        <v>1152137.08</v>
      </c>
    </row>
    <row r="1923" spans="6:12" ht="15" customHeight="1" thickBot="1">
      <c r="F1923" s="340" t="s">
        <v>195</v>
      </c>
      <c r="G1923" s="341" t="s">
        <v>196</v>
      </c>
      <c r="H1923" s="318"/>
      <c r="I1923" s="318"/>
      <c r="J1923" s="379">
        <v>0.1</v>
      </c>
      <c r="K1923" s="320"/>
      <c r="L1923" s="321">
        <f>J1923*L1922</f>
        <v>115213.70800000001</v>
      </c>
    </row>
    <row r="1924" spans="6:12" ht="15" customHeight="1" thickBot="1">
      <c r="F1924" s="380" t="s">
        <v>197</v>
      </c>
      <c r="G1924" s="381" t="s">
        <v>198</v>
      </c>
      <c r="H1924" s="382"/>
      <c r="I1924" s="382"/>
      <c r="J1924" s="383"/>
      <c r="K1924" s="384">
        <v>0</v>
      </c>
      <c r="L1924" s="385">
        <f>ROUNDDOWN(L1922+L1923,0)</f>
        <v>1267350</v>
      </c>
    </row>
    <row r="1925" spans="6:12" ht="15" customHeight="1">
      <c r="F1925" s="298"/>
      <c r="G1925" s="298"/>
      <c r="J1925" s="343"/>
      <c r="K1925" s="355"/>
      <c r="L1925" s="299"/>
    </row>
    <row r="1926" spans="6:12" ht="15" customHeight="1">
      <c r="F1926" s="388" t="s">
        <v>489</v>
      </c>
      <c r="G1926" s="389"/>
      <c r="H1926" s="390"/>
      <c r="J1926" s="343"/>
      <c r="K1926" s="355"/>
      <c r="L1926" s="299"/>
    </row>
    <row r="1927" spans="6:12" ht="15" customHeight="1">
      <c r="F1927" s="389"/>
      <c r="G1927" s="391"/>
      <c r="H1927" s="390"/>
      <c r="J1927" s="343"/>
      <c r="K1927" s="355"/>
      <c r="L1927" s="299"/>
    </row>
    <row r="1928" spans="6:12" ht="15" customHeight="1">
      <c r="F1928" s="389"/>
      <c r="G1928" s="391"/>
      <c r="H1928" s="390"/>
      <c r="J1928" s="343"/>
      <c r="K1928" s="355"/>
      <c r="L1928" s="299"/>
    </row>
    <row r="1929" spans="6:12" ht="15" customHeight="1">
      <c r="F1929" s="389"/>
      <c r="H1929" s="1099" t="s">
        <v>480</v>
      </c>
      <c r="I1929" s="1101" t="s">
        <v>490</v>
      </c>
      <c r="J1929" s="1101"/>
      <c r="K1929" s="355"/>
      <c r="L1929" s="299"/>
    </row>
    <row r="1930" spans="6:12" ht="15" customHeight="1">
      <c r="F1930" s="389"/>
      <c r="H1930" s="1100"/>
      <c r="I1930" s="1102"/>
      <c r="J1930" s="1102"/>
      <c r="K1930" s="355"/>
      <c r="L1930" s="299"/>
    </row>
    <row r="1931" spans="6:12" ht="15" customHeight="1">
      <c r="F1931" s="389"/>
      <c r="H1931" s="394">
        <v>1</v>
      </c>
      <c r="I1931" s="1103">
        <v>1</v>
      </c>
      <c r="J1931" s="1103"/>
      <c r="K1931" s="355"/>
      <c r="L1931" s="299"/>
    </row>
    <row r="1932" spans="6:12" ht="15" customHeight="1">
      <c r="F1932" s="389"/>
      <c r="H1932" s="395">
        <v>2</v>
      </c>
      <c r="I1932" s="1098">
        <v>1</v>
      </c>
      <c r="J1932" s="1098"/>
      <c r="K1932" s="355"/>
      <c r="L1932" s="299"/>
    </row>
    <row r="1933" spans="6:12" ht="15" customHeight="1">
      <c r="F1933" s="389"/>
      <c r="H1933" s="395">
        <v>3</v>
      </c>
      <c r="I1933" s="1098">
        <v>1</v>
      </c>
      <c r="J1933" s="1098"/>
      <c r="K1933" s="355"/>
      <c r="L1933" s="299"/>
    </row>
    <row r="1934" spans="6:12" ht="15" customHeight="1">
      <c r="F1934" s="389"/>
      <c r="H1934" s="395">
        <v>4</v>
      </c>
      <c r="I1934" s="1098">
        <v>1</v>
      </c>
      <c r="J1934" s="1098"/>
      <c r="K1934" s="355"/>
      <c r="L1934" s="299"/>
    </row>
    <row r="1935" spans="6:12" ht="15" customHeight="1">
      <c r="F1935" s="389"/>
      <c r="H1935" s="395">
        <v>5</v>
      </c>
      <c r="I1935" s="1098">
        <v>1</v>
      </c>
      <c r="J1935" s="1098"/>
      <c r="K1935" s="355"/>
      <c r="L1935" s="299"/>
    </row>
    <row r="1936" spans="6:12" ht="15" customHeight="1">
      <c r="F1936" s="389"/>
      <c r="H1936" s="395">
        <v>6</v>
      </c>
      <c r="I1936" s="1098">
        <v>1</v>
      </c>
      <c r="J1936" s="1098"/>
      <c r="K1936" s="355"/>
      <c r="L1936" s="299"/>
    </row>
    <row r="1937" spans="6:12" ht="15" customHeight="1">
      <c r="F1937" s="389"/>
      <c r="H1937" s="395">
        <v>7</v>
      </c>
      <c r="I1937" s="1098">
        <v>1</v>
      </c>
      <c r="J1937" s="1098"/>
      <c r="K1937" s="355"/>
      <c r="L1937" s="299"/>
    </row>
    <row r="1938" spans="6:12" ht="15" customHeight="1">
      <c r="F1938" s="389"/>
      <c r="H1938" s="395">
        <v>8</v>
      </c>
      <c r="I1938" s="1098">
        <v>1.0109999999999999</v>
      </c>
      <c r="J1938" s="1098"/>
      <c r="K1938" s="355"/>
      <c r="L1938" s="299"/>
    </row>
    <row r="1939" spans="6:12" ht="15" customHeight="1">
      <c r="F1939" s="389"/>
      <c r="H1939" s="395">
        <v>9</v>
      </c>
      <c r="I1939" s="1098">
        <v>1.022</v>
      </c>
      <c r="J1939" s="1098"/>
      <c r="K1939" s="355"/>
      <c r="L1939" s="299"/>
    </row>
    <row r="1940" spans="6:12" ht="15" customHeight="1">
      <c r="F1940" s="389"/>
      <c r="H1940" s="395">
        <v>10</v>
      </c>
      <c r="I1940" s="1098">
        <v>1.034</v>
      </c>
      <c r="J1940" s="1098"/>
      <c r="K1940" s="355"/>
      <c r="L1940" s="299"/>
    </row>
    <row r="1941" spans="6:12" ht="15" customHeight="1">
      <c r="F1941" s="389"/>
      <c r="H1941" s="395">
        <v>11</v>
      </c>
      <c r="I1941" s="1098">
        <v>1.0449999999999999</v>
      </c>
      <c r="J1941" s="1098"/>
    </row>
    <row r="1942" spans="6:12" ht="15" customHeight="1">
      <c r="F1942" s="389"/>
      <c r="H1942" s="395">
        <v>12</v>
      </c>
      <c r="I1942" s="1098">
        <v>1.0569999999999999</v>
      </c>
      <c r="J1942" s="1098"/>
    </row>
    <row r="1943" spans="6:12" ht="15" customHeight="1">
      <c r="F1943" s="389"/>
      <c r="H1943" s="395">
        <v>13</v>
      </c>
      <c r="I1943" s="1098">
        <v>1.0680000000000001</v>
      </c>
      <c r="J1943" s="1098"/>
    </row>
    <row r="1944" spans="6:12" ht="15" customHeight="1">
      <c r="F1944" s="389"/>
      <c r="H1944" s="395">
        <v>14</v>
      </c>
      <c r="I1944" s="1098">
        <v>1.08</v>
      </c>
      <c r="J1944" s="1098"/>
    </row>
    <row r="1945" spans="6:12" ht="15" customHeight="1">
      <c r="F1945" s="389"/>
      <c r="H1945" s="395">
        <v>15</v>
      </c>
      <c r="I1945" s="1098">
        <v>1.0920000000000001</v>
      </c>
      <c r="J1945" s="1098"/>
    </row>
    <row r="1946" spans="6:12" ht="15" customHeight="1">
      <c r="F1946" s="389"/>
      <c r="H1946" s="395">
        <v>16</v>
      </c>
      <c r="I1946" s="1098">
        <v>1.1040000000000001</v>
      </c>
      <c r="J1946" s="1098"/>
    </row>
    <row r="1947" spans="6:12" ht="15" customHeight="1">
      <c r="F1947" s="389"/>
      <c r="H1947" s="395">
        <v>17</v>
      </c>
      <c r="I1947" s="1098">
        <v>1.1160000000000001</v>
      </c>
      <c r="J1947" s="1098"/>
    </row>
    <row r="1948" spans="6:12" ht="15" customHeight="1">
      <c r="F1948" s="389"/>
      <c r="H1948" s="395">
        <v>18</v>
      </c>
      <c r="I1948" s="1098">
        <v>1.129</v>
      </c>
      <c r="J1948" s="1098"/>
    </row>
    <row r="1949" spans="6:12" ht="15" customHeight="1">
      <c r="F1949" s="389"/>
      <c r="H1949" s="395">
        <v>19</v>
      </c>
      <c r="I1949" s="1098">
        <v>1.141</v>
      </c>
      <c r="J1949" s="1098"/>
    </row>
    <row r="1950" spans="6:12" ht="15" customHeight="1">
      <c r="F1950" s="389"/>
      <c r="H1950" s="395">
        <v>20</v>
      </c>
      <c r="I1950" s="1098">
        <v>1.1539999999999999</v>
      </c>
      <c r="J1950" s="1098"/>
    </row>
    <row r="1951" spans="6:12" ht="15" customHeight="1">
      <c r="F1951" s="389"/>
      <c r="H1951" s="395">
        <v>21</v>
      </c>
      <c r="I1951" s="1098">
        <v>1.1659999999999999</v>
      </c>
      <c r="J1951" s="1098"/>
    </row>
    <row r="1952" spans="6:12" ht="15" customHeight="1">
      <c r="F1952" s="389"/>
      <c r="H1952" s="395">
        <v>22</v>
      </c>
      <c r="I1952" s="1098">
        <v>1.179</v>
      </c>
      <c r="J1952" s="1098"/>
    </row>
    <row r="1953" spans="5:13" ht="15" customHeight="1">
      <c r="F1953" s="389"/>
      <c r="H1953" s="395">
        <v>23</v>
      </c>
      <c r="I1953" s="1098">
        <v>1.1919999999999999</v>
      </c>
      <c r="J1953" s="1098"/>
    </row>
    <row r="1954" spans="5:13" ht="15" customHeight="1">
      <c r="F1954" s="389"/>
      <c r="H1954" s="396">
        <v>24</v>
      </c>
      <c r="I1954" s="1104">
        <v>1.206</v>
      </c>
      <c r="J1954" s="1104"/>
    </row>
    <row r="1957" spans="5:13" ht="15" customHeight="1" thickBot="1">
      <c r="E1957" s="356" t="s">
        <v>491</v>
      </c>
      <c r="F1957" s="295" t="s">
        <v>492</v>
      </c>
      <c r="J1957" s="343"/>
      <c r="M1957" s="299">
        <f>L1973</f>
        <v>69614</v>
      </c>
    </row>
    <row r="1958" spans="5:13" ht="15" customHeight="1" thickBot="1">
      <c r="F1958" s="340" t="s">
        <v>136</v>
      </c>
      <c r="G1958" s="341" t="s">
        <v>162</v>
      </c>
      <c r="H1958" s="352" t="s">
        <v>163</v>
      </c>
      <c r="I1958" s="352" t="s">
        <v>138</v>
      </c>
      <c r="J1958" s="353" t="s">
        <v>164</v>
      </c>
      <c r="K1958" s="341" t="s">
        <v>165</v>
      </c>
      <c r="L1958" s="354" t="s">
        <v>166</v>
      </c>
    </row>
    <row r="1959" spans="5:13" ht="15" customHeight="1">
      <c r="F1959" s="300" t="s">
        <v>167</v>
      </c>
      <c r="G1959" s="301" t="s">
        <v>168</v>
      </c>
      <c r="H1959" s="302"/>
      <c r="I1959" s="302"/>
      <c r="J1959" s="351"/>
      <c r="K1959" s="328"/>
      <c r="L1959" s="310"/>
    </row>
    <row r="1960" spans="5:13" ht="15" customHeight="1">
      <c r="F1960" s="306"/>
      <c r="G1960" s="301" t="s">
        <v>169</v>
      </c>
      <c r="H1960" s="307" t="s">
        <v>170</v>
      </c>
      <c r="I1960" s="307" t="s">
        <v>171</v>
      </c>
      <c r="J1960" s="308">
        <v>1.9E-2</v>
      </c>
      <c r="K1960" s="309">
        <f>VLOOKUP(G1960,Upah,8,FALSE)</f>
        <v>125000</v>
      </c>
      <c r="L1960" s="310">
        <f>J1960*K1960</f>
        <v>2375</v>
      </c>
    </row>
    <row r="1961" spans="5:13" ht="15" customHeight="1">
      <c r="F1961" s="306"/>
      <c r="G1961" s="301" t="s">
        <v>216</v>
      </c>
      <c r="H1961" s="307" t="s">
        <v>217</v>
      </c>
      <c r="I1961" s="307" t="s">
        <v>171</v>
      </c>
      <c r="J1961" s="308">
        <v>3.7999999999999999E-2</v>
      </c>
      <c r="K1961" s="309">
        <f>VLOOKUP(G1961,Upah,8,FALSE)</f>
        <v>150000</v>
      </c>
      <c r="L1961" s="310">
        <f>J1961*K1961</f>
        <v>5700</v>
      </c>
    </row>
    <row r="1962" spans="5:13" ht="15" customHeight="1">
      <c r="F1962" s="306"/>
      <c r="G1962" s="301" t="s">
        <v>493</v>
      </c>
      <c r="H1962" s="302" t="s">
        <v>472</v>
      </c>
      <c r="I1962" s="307" t="s">
        <v>171</v>
      </c>
      <c r="J1962" s="308">
        <v>1.9E-2</v>
      </c>
      <c r="K1962" s="309">
        <f>VLOOKUP(G1962,Upah,8,FALSE)</f>
        <v>165000</v>
      </c>
      <c r="L1962" s="310">
        <f>J1962*K1962</f>
        <v>3135</v>
      </c>
    </row>
    <row r="1963" spans="5:13" ht="15" customHeight="1" thickBot="1">
      <c r="F1963" s="306"/>
      <c r="G1963" s="301" t="s">
        <v>494</v>
      </c>
      <c r="H1963" s="302" t="s">
        <v>473</v>
      </c>
      <c r="I1963" s="307" t="s">
        <v>171</v>
      </c>
      <c r="J1963" s="308">
        <v>1.9E-2</v>
      </c>
      <c r="K1963" s="309">
        <f>VLOOKUP(G1963,Upah,8,FALSE)</f>
        <v>148500</v>
      </c>
      <c r="L1963" s="310">
        <f>J1963*K1963</f>
        <v>2821.5</v>
      </c>
    </row>
    <row r="1964" spans="5:13" ht="15" customHeight="1" thickBot="1">
      <c r="F1964" s="316"/>
      <c r="G1964" s="317"/>
      <c r="H1964" s="318"/>
      <c r="I1964" s="318"/>
      <c r="J1964" s="319" t="s">
        <v>178</v>
      </c>
      <c r="K1964" s="320"/>
      <c r="L1964" s="321">
        <f>SUM(L1960:L1963)</f>
        <v>14031.5</v>
      </c>
    </row>
    <row r="1965" spans="5:13" ht="15" customHeight="1">
      <c r="F1965" s="300" t="s">
        <v>179</v>
      </c>
      <c r="G1965" s="301" t="s">
        <v>180</v>
      </c>
      <c r="H1965" s="302"/>
      <c r="I1965" s="302"/>
      <c r="J1965" s="351"/>
      <c r="K1965" s="328"/>
      <c r="L1965" s="310"/>
    </row>
    <row r="1966" spans="5:13" ht="15" customHeight="1" thickBot="1">
      <c r="F1966" s="306"/>
      <c r="G1966" s="301" t="s">
        <v>476</v>
      </c>
      <c r="H1966" s="302"/>
      <c r="I1966" s="307" t="s">
        <v>438</v>
      </c>
      <c r="J1966" s="308">
        <v>1.897</v>
      </c>
      <c r="K1966" s="328">
        <f>VLOOKUP(G1966,Bahan,6,FALSE)</f>
        <v>10540</v>
      </c>
      <c r="L1966" s="310">
        <f>J1966*K1966</f>
        <v>19994.38</v>
      </c>
    </row>
    <row r="1967" spans="5:13" ht="15" customHeight="1" thickBot="1">
      <c r="F1967" s="316"/>
      <c r="G1967" s="317"/>
      <c r="H1967" s="318"/>
      <c r="I1967" s="318"/>
      <c r="J1967" s="319" t="s">
        <v>189</v>
      </c>
      <c r="K1967" s="320"/>
      <c r="L1967" s="321">
        <f>SUM(L1966)</f>
        <v>19994.38</v>
      </c>
    </row>
    <row r="1968" spans="5:13" ht="15" customHeight="1">
      <c r="F1968" s="300" t="s">
        <v>190</v>
      </c>
      <c r="G1968" s="301" t="s">
        <v>191</v>
      </c>
      <c r="H1968" s="302"/>
      <c r="I1968" s="302"/>
      <c r="J1968" s="351"/>
      <c r="K1968" s="328"/>
      <c r="L1968" s="310"/>
    </row>
    <row r="1969" spans="5:13" ht="15" customHeight="1" thickBot="1">
      <c r="F1969" s="306"/>
      <c r="G1969" s="301" t="s">
        <v>495</v>
      </c>
      <c r="H1969" s="302"/>
      <c r="I1969" s="307" t="s">
        <v>496</v>
      </c>
      <c r="J1969" s="308">
        <v>1.9E-2</v>
      </c>
      <c r="K1969" s="328">
        <f>VLOOKUP(G1969,Bahan,6,FALSE)</f>
        <v>1540000</v>
      </c>
      <c r="L1969" s="310">
        <f>J1969*K1969</f>
        <v>29260</v>
      </c>
    </row>
    <row r="1970" spans="5:13" ht="15" customHeight="1" thickBot="1">
      <c r="F1970" s="316"/>
      <c r="G1970" s="317"/>
      <c r="H1970" s="318"/>
      <c r="I1970" s="318"/>
      <c r="J1970" s="319" t="s">
        <v>192</v>
      </c>
      <c r="K1970" s="320"/>
      <c r="L1970" s="321">
        <f>L1969</f>
        <v>29260</v>
      </c>
    </row>
    <row r="1971" spans="5:13" ht="15" customHeight="1">
      <c r="F1971" s="344" t="s">
        <v>193</v>
      </c>
      <c r="G1971" s="345" t="s">
        <v>194</v>
      </c>
      <c r="H1971" s="346"/>
      <c r="I1971" s="346"/>
      <c r="J1971" s="347"/>
      <c r="K1971" s="348">
        <v>0</v>
      </c>
      <c r="L1971" s="310">
        <f>SUM(L1960:L1970)/2</f>
        <v>63285.880000000005</v>
      </c>
    </row>
    <row r="1972" spans="5:13" ht="15" customHeight="1" thickBot="1">
      <c r="F1972" s="331" t="s">
        <v>195</v>
      </c>
      <c r="G1972" s="332" t="s">
        <v>196</v>
      </c>
      <c r="H1972" s="333"/>
      <c r="I1972" s="333"/>
      <c r="J1972" s="350">
        <v>0.1</v>
      </c>
      <c r="K1972" s="335"/>
      <c r="L1972" s="330">
        <f>J1972*L1971</f>
        <v>6328.5880000000006</v>
      </c>
    </row>
    <row r="1973" spans="5:13" ht="15" customHeight="1" thickBot="1">
      <c r="F1973" s="340" t="s">
        <v>197</v>
      </c>
      <c r="G1973" s="341" t="s">
        <v>198</v>
      </c>
      <c r="H1973" s="318"/>
      <c r="I1973" s="318"/>
      <c r="J1973" s="342"/>
      <c r="K1973" s="320">
        <v>0</v>
      </c>
      <c r="L1973" s="321">
        <f>ROUNDDOWN(L1971+L1972,0)</f>
        <v>69614</v>
      </c>
    </row>
    <row r="1974" spans="5:13" ht="15" customHeight="1">
      <c r="F1974" s="298"/>
      <c r="G1974" s="298"/>
      <c r="J1974" s="343"/>
      <c r="K1974" s="355"/>
      <c r="L1974" s="299"/>
    </row>
    <row r="1975" spans="5:13" ht="15" customHeight="1" thickBot="1">
      <c r="E1975" s="356" t="s">
        <v>497</v>
      </c>
      <c r="F1975" s="295" t="s">
        <v>498</v>
      </c>
      <c r="J1975" s="343"/>
      <c r="M1975" s="299">
        <f>L1991</f>
        <v>69614</v>
      </c>
    </row>
    <row r="1976" spans="5:13" ht="15" customHeight="1" thickBot="1">
      <c r="F1976" s="340" t="s">
        <v>136</v>
      </c>
      <c r="G1976" s="341" t="s">
        <v>162</v>
      </c>
      <c r="H1976" s="352" t="s">
        <v>163</v>
      </c>
      <c r="I1976" s="352" t="s">
        <v>138</v>
      </c>
      <c r="J1976" s="353" t="s">
        <v>164</v>
      </c>
      <c r="K1976" s="341" t="s">
        <v>165</v>
      </c>
      <c r="L1976" s="354" t="s">
        <v>166</v>
      </c>
    </row>
    <row r="1977" spans="5:13" ht="15" customHeight="1">
      <c r="F1977" s="300" t="s">
        <v>167</v>
      </c>
      <c r="G1977" s="301" t="s">
        <v>168</v>
      </c>
      <c r="H1977" s="302"/>
      <c r="I1977" s="302"/>
      <c r="J1977" s="351"/>
      <c r="K1977" s="328"/>
      <c r="L1977" s="310"/>
    </row>
    <row r="1978" spans="5:13" ht="15" customHeight="1">
      <c r="F1978" s="306"/>
      <c r="G1978" s="301" t="s">
        <v>169</v>
      </c>
      <c r="H1978" s="307" t="s">
        <v>170</v>
      </c>
      <c r="I1978" s="307" t="s">
        <v>171</v>
      </c>
      <c r="J1978" s="308">
        <v>1.9E-2</v>
      </c>
      <c r="K1978" s="309">
        <f>VLOOKUP(G1978,Upah,8,FALSE)</f>
        <v>125000</v>
      </c>
      <c r="L1978" s="310">
        <f>J1978*K1978</f>
        <v>2375</v>
      </c>
    </row>
    <row r="1979" spans="5:13" ht="15" customHeight="1">
      <c r="F1979" s="306"/>
      <c r="G1979" s="301" t="s">
        <v>216</v>
      </c>
      <c r="H1979" s="307" t="s">
        <v>217</v>
      </c>
      <c r="I1979" s="307" t="s">
        <v>171</v>
      </c>
      <c r="J1979" s="308">
        <v>3.7999999999999999E-2</v>
      </c>
      <c r="K1979" s="309">
        <f>VLOOKUP(G1979,Upah,8,FALSE)</f>
        <v>150000</v>
      </c>
      <c r="L1979" s="310">
        <f>J1979*K1979</f>
        <v>5700</v>
      </c>
    </row>
    <row r="1980" spans="5:13" ht="15" customHeight="1">
      <c r="F1980" s="306"/>
      <c r="G1980" s="301" t="s">
        <v>493</v>
      </c>
      <c r="H1980" s="302" t="s">
        <v>472</v>
      </c>
      <c r="I1980" s="307" t="s">
        <v>171</v>
      </c>
      <c r="J1980" s="308">
        <v>1.9E-2</v>
      </c>
      <c r="K1980" s="309">
        <f>VLOOKUP(G1980,Upah,8,FALSE)</f>
        <v>165000</v>
      </c>
      <c r="L1980" s="310">
        <f>J1980*K1980</f>
        <v>3135</v>
      </c>
    </row>
    <row r="1981" spans="5:13" ht="15" customHeight="1" thickBot="1">
      <c r="F1981" s="306"/>
      <c r="G1981" s="301" t="s">
        <v>494</v>
      </c>
      <c r="H1981" s="302" t="s">
        <v>473</v>
      </c>
      <c r="I1981" s="307" t="s">
        <v>171</v>
      </c>
      <c r="J1981" s="308">
        <v>1.9E-2</v>
      </c>
      <c r="K1981" s="309">
        <f>VLOOKUP(G1981,Upah,8,FALSE)</f>
        <v>148500</v>
      </c>
      <c r="L1981" s="310">
        <f>J1981*K1981</f>
        <v>2821.5</v>
      </c>
    </row>
    <row r="1982" spans="5:13" ht="15" customHeight="1" thickBot="1">
      <c r="F1982" s="316"/>
      <c r="G1982" s="317"/>
      <c r="H1982" s="318"/>
      <c r="I1982" s="318"/>
      <c r="J1982" s="319" t="s">
        <v>178</v>
      </c>
      <c r="K1982" s="320"/>
      <c r="L1982" s="321">
        <f>SUM(L1978:L1981)</f>
        <v>14031.5</v>
      </c>
    </row>
    <row r="1983" spans="5:13" ht="15" customHeight="1">
      <c r="F1983" s="300" t="s">
        <v>179</v>
      </c>
      <c r="G1983" s="301" t="s">
        <v>180</v>
      </c>
      <c r="H1983" s="302"/>
      <c r="I1983" s="302"/>
      <c r="J1983" s="351"/>
      <c r="K1983" s="328"/>
      <c r="L1983" s="310"/>
    </row>
    <row r="1984" spans="5:13" ht="15" customHeight="1" thickBot="1">
      <c r="F1984" s="306"/>
      <c r="G1984" s="301" t="s">
        <v>476</v>
      </c>
      <c r="H1984" s="302"/>
      <c r="I1984" s="307" t="s">
        <v>438</v>
      </c>
      <c r="J1984" s="308">
        <v>1.897</v>
      </c>
      <c r="K1984" s="328">
        <f>VLOOKUP(G1984,Bahan,6,FALSE)</f>
        <v>10540</v>
      </c>
      <c r="L1984" s="310">
        <f>J1984*K1984</f>
        <v>19994.38</v>
      </c>
    </row>
    <row r="1985" spans="5:13" ht="15" customHeight="1" thickBot="1">
      <c r="F1985" s="316"/>
      <c r="G1985" s="317"/>
      <c r="H1985" s="318"/>
      <c r="I1985" s="318"/>
      <c r="J1985" s="319" t="s">
        <v>189</v>
      </c>
      <c r="K1985" s="320"/>
      <c r="L1985" s="321">
        <f>SUM(L1984)</f>
        <v>19994.38</v>
      </c>
    </row>
    <row r="1986" spans="5:13" ht="15" customHeight="1">
      <c r="F1986" s="300" t="s">
        <v>190</v>
      </c>
      <c r="G1986" s="301" t="s">
        <v>191</v>
      </c>
      <c r="H1986" s="302"/>
      <c r="I1986" s="302"/>
      <c r="J1986" s="351"/>
      <c r="K1986" s="328"/>
      <c r="L1986" s="310"/>
    </row>
    <row r="1987" spans="5:13" ht="15" customHeight="1" thickBot="1">
      <c r="F1987" s="306"/>
      <c r="G1987" s="301" t="s">
        <v>495</v>
      </c>
      <c r="H1987" s="302"/>
      <c r="I1987" s="307" t="s">
        <v>496</v>
      </c>
      <c r="J1987" s="308">
        <v>1.9E-2</v>
      </c>
      <c r="K1987" s="328">
        <f>VLOOKUP(G1987,Bahan,6,FALSE)</f>
        <v>1540000</v>
      </c>
      <c r="L1987" s="310">
        <f>J1987*K1987</f>
        <v>29260</v>
      </c>
    </row>
    <row r="1988" spans="5:13" ht="15" customHeight="1" thickBot="1">
      <c r="F1988" s="316"/>
      <c r="G1988" s="317"/>
      <c r="H1988" s="318"/>
      <c r="I1988" s="318"/>
      <c r="J1988" s="319" t="s">
        <v>192</v>
      </c>
      <c r="K1988" s="320"/>
      <c r="L1988" s="321">
        <f>L1987</f>
        <v>29260</v>
      </c>
    </row>
    <row r="1989" spans="5:13" ht="15" customHeight="1">
      <c r="F1989" s="344" t="s">
        <v>193</v>
      </c>
      <c r="G1989" s="345" t="s">
        <v>194</v>
      </c>
      <c r="H1989" s="346"/>
      <c r="I1989" s="346"/>
      <c r="J1989" s="347"/>
      <c r="K1989" s="348">
        <v>0</v>
      </c>
      <c r="L1989" s="310">
        <f>SUM(L1978:L1988)/2</f>
        <v>63285.880000000005</v>
      </c>
    </row>
    <row r="1990" spans="5:13" ht="15" customHeight="1" thickBot="1">
      <c r="F1990" s="331" t="s">
        <v>195</v>
      </c>
      <c r="G1990" s="332" t="s">
        <v>196</v>
      </c>
      <c r="H1990" s="333"/>
      <c r="I1990" s="333"/>
      <c r="J1990" s="350">
        <v>0.1</v>
      </c>
      <c r="K1990" s="335"/>
      <c r="L1990" s="330">
        <f>J1990*L1989</f>
        <v>6328.5880000000006</v>
      </c>
    </row>
    <row r="1991" spans="5:13" ht="15" customHeight="1" thickBot="1">
      <c r="F1991" s="340" t="s">
        <v>197</v>
      </c>
      <c r="G1991" s="341" t="s">
        <v>198</v>
      </c>
      <c r="H1991" s="318"/>
      <c r="I1991" s="318"/>
      <c r="J1991" s="342"/>
      <c r="K1991" s="320">
        <v>0</v>
      </c>
      <c r="L1991" s="321">
        <f>ROUNDDOWN(L1989+L1990,0)</f>
        <v>69614</v>
      </c>
    </row>
    <row r="1992" spans="5:13" ht="15" customHeight="1">
      <c r="F1992" s="298"/>
      <c r="G1992" s="298"/>
      <c r="J1992" s="343"/>
      <c r="K1992" s="355"/>
      <c r="L1992" s="299"/>
    </row>
    <row r="1993" spans="5:13" ht="15" customHeight="1" thickBot="1">
      <c r="E1993" s="356" t="s">
        <v>499</v>
      </c>
      <c r="F1993" s="295" t="s">
        <v>500</v>
      </c>
      <c r="J1993" s="343"/>
      <c r="M1993" s="299">
        <f>L2009</f>
        <v>69614</v>
      </c>
    </row>
    <row r="1994" spans="5:13" ht="15" customHeight="1" thickBot="1">
      <c r="F1994" s="340" t="s">
        <v>136</v>
      </c>
      <c r="G1994" s="341" t="s">
        <v>162</v>
      </c>
      <c r="H1994" s="352" t="s">
        <v>163</v>
      </c>
      <c r="I1994" s="352" t="s">
        <v>138</v>
      </c>
      <c r="J1994" s="353" t="s">
        <v>164</v>
      </c>
      <c r="K1994" s="341" t="s">
        <v>165</v>
      </c>
      <c r="L1994" s="354" t="s">
        <v>166</v>
      </c>
    </row>
    <row r="1995" spans="5:13" ht="15" customHeight="1">
      <c r="F1995" s="300" t="s">
        <v>167</v>
      </c>
      <c r="G1995" s="301" t="s">
        <v>168</v>
      </c>
      <c r="H1995" s="302"/>
      <c r="I1995" s="302"/>
      <c r="J1995" s="351"/>
      <c r="K1995" s="328"/>
      <c r="L1995" s="310"/>
    </row>
    <row r="1996" spans="5:13" ht="15" customHeight="1">
      <c r="F1996" s="306"/>
      <c r="G1996" s="301" t="s">
        <v>169</v>
      </c>
      <c r="H1996" s="307" t="s">
        <v>170</v>
      </c>
      <c r="I1996" s="307" t="s">
        <v>171</v>
      </c>
      <c r="J1996" s="308">
        <v>1.9E-2</v>
      </c>
      <c r="K1996" s="309">
        <f>VLOOKUP(G1996,Upah,8,FALSE)</f>
        <v>125000</v>
      </c>
      <c r="L1996" s="310">
        <f>J1996*K1996</f>
        <v>2375</v>
      </c>
    </row>
    <row r="1997" spans="5:13" ht="15" customHeight="1">
      <c r="F1997" s="306"/>
      <c r="G1997" s="301" t="s">
        <v>216</v>
      </c>
      <c r="H1997" s="307" t="s">
        <v>217</v>
      </c>
      <c r="I1997" s="307" t="s">
        <v>171</v>
      </c>
      <c r="J1997" s="308">
        <v>3.7999999999999999E-2</v>
      </c>
      <c r="K1997" s="309">
        <f>VLOOKUP(G1997,Upah,8,FALSE)</f>
        <v>150000</v>
      </c>
      <c r="L1997" s="310">
        <f>J1997*K1997</f>
        <v>5700</v>
      </c>
    </row>
    <row r="1998" spans="5:13" ht="15" customHeight="1">
      <c r="F1998" s="306"/>
      <c r="G1998" s="301" t="s">
        <v>493</v>
      </c>
      <c r="H1998" s="302" t="s">
        <v>472</v>
      </c>
      <c r="I1998" s="307" t="s">
        <v>171</v>
      </c>
      <c r="J1998" s="308">
        <v>1.9E-2</v>
      </c>
      <c r="K1998" s="309">
        <f>VLOOKUP(G1998,Upah,8,FALSE)</f>
        <v>165000</v>
      </c>
      <c r="L1998" s="310">
        <f>J1998*K1998</f>
        <v>3135</v>
      </c>
    </row>
    <row r="1999" spans="5:13" ht="15" customHeight="1" thickBot="1">
      <c r="F1999" s="306"/>
      <c r="G1999" s="301" t="s">
        <v>494</v>
      </c>
      <c r="H1999" s="302" t="s">
        <v>473</v>
      </c>
      <c r="I1999" s="307" t="s">
        <v>171</v>
      </c>
      <c r="J1999" s="308">
        <v>1.9E-2</v>
      </c>
      <c r="K1999" s="309">
        <f>VLOOKUP(G1999,Upah,8,FALSE)</f>
        <v>148500</v>
      </c>
      <c r="L1999" s="310">
        <f>J1999*K1999</f>
        <v>2821.5</v>
      </c>
    </row>
    <row r="2000" spans="5:13" ht="15" customHeight="1" thickBot="1">
      <c r="F2000" s="316"/>
      <c r="G2000" s="317"/>
      <c r="H2000" s="318"/>
      <c r="I2000" s="318"/>
      <c r="J2000" s="319" t="s">
        <v>178</v>
      </c>
      <c r="K2000" s="320"/>
      <c r="L2000" s="321">
        <f>SUM(L1996:L1999)</f>
        <v>14031.5</v>
      </c>
    </row>
    <row r="2001" spans="5:13" ht="15" customHeight="1">
      <c r="F2001" s="300" t="s">
        <v>179</v>
      </c>
      <c r="G2001" s="301" t="s">
        <v>180</v>
      </c>
      <c r="H2001" s="302"/>
      <c r="I2001" s="302"/>
      <c r="J2001" s="351"/>
      <c r="K2001" s="328"/>
      <c r="L2001" s="310"/>
    </row>
    <row r="2002" spans="5:13" ht="15" customHeight="1" thickBot="1">
      <c r="F2002" s="306"/>
      <c r="G2002" s="301" t="s">
        <v>476</v>
      </c>
      <c r="H2002" s="302"/>
      <c r="I2002" s="307" t="s">
        <v>438</v>
      </c>
      <c r="J2002" s="308">
        <v>1.897</v>
      </c>
      <c r="K2002" s="328">
        <f>VLOOKUP(G2002,Bahan,6,FALSE)</f>
        <v>10540</v>
      </c>
      <c r="L2002" s="310">
        <f>J2002*K2002</f>
        <v>19994.38</v>
      </c>
    </row>
    <row r="2003" spans="5:13" ht="15" customHeight="1" thickBot="1">
      <c r="F2003" s="316"/>
      <c r="G2003" s="317"/>
      <c r="H2003" s="318"/>
      <c r="I2003" s="318"/>
      <c r="J2003" s="319" t="s">
        <v>189</v>
      </c>
      <c r="K2003" s="320"/>
      <c r="L2003" s="321">
        <f>SUM(L2002)</f>
        <v>19994.38</v>
      </c>
    </row>
    <row r="2004" spans="5:13" ht="15" customHeight="1">
      <c r="F2004" s="300" t="s">
        <v>190</v>
      </c>
      <c r="G2004" s="301" t="s">
        <v>191</v>
      </c>
      <c r="H2004" s="302"/>
      <c r="I2004" s="302"/>
      <c r="J2004" s="351"/>
      <c r="K2004" s="328"/>
      <c r="L2004" s="310"/>
    </row>
    <row r="2005" spans="5:13" ht="15" customHeight="1" thickBot="1">
      <c r="F2005" s="306"/>
      <c r="G2005" s="301" t="s">
        <v>495</v>
      </c>
      <c r="H2005" s="302"/>
      <c r="I2005" s="307" t="s">
        <v>496</v>
      </c>
      <c r="J2005" s="308">
        <v>1.9E-2</v>
      </c>
      <c r="K2005" s="328">
        <f>VLOOKUP(G2005,Bahan,6,FALSE)</f>
        <v>1540000</v>
      </c>
      <c r="L2005" s="310">
        <f>J2005*K2005</f>
        <v>29260</v>
      </c>
    </row>
    <row r="2006" spans="5:13" ht="15" customHeight="1" thickBot="1">
      <c r="F2006" s="316"/>
      <c r="G2006" s="317"/>
      <c r="H2006" s="318"/>
      <c r="I2006" s="318"/>
      <c r="J2006" s="319" t="s">
        <v>192</v>
      </c>
      <c r="K2006" s="320"/>
      <c r="L2006" s="321">
        <f>L2005</f>
        <v>29260</v>
      </c>
    </row>
    <row r="2007" spans="5:13" ht="15" customHeight="1">
      <c r="F2007" s="344" t="s">
        <v>193</v>
      </c>
      <c r="G2007" s="345" t="s">
        <v>194</v>
      </c>
      <c r="H2007" s="346"/>
      <c r="I2007" s="346"/>
      <c r="J2007" s="347"/>
      <c r="K2007" s="348">
        <v>0</v>
      </c>
      <c r="L2007" s="310">
        <f>SUM(L1996:L2006)/2</f>
        <v>63285.880000000005</v>
      </c>
    </row>
    <row r="2008" spans="5:13" ht="15" customHeight="1" thickBot="1">
      <c r="F2008" s="331" t="s">
        <v>195</v>
      </c>
      <c r="G2008" s="332" t="s">
        <v>196</v>
      </c>
      <c r="H2008" s="333"/>
      <c r="I2008" s="333"/>
      <c r="J2008" s="350">
        <v>0.1</v>
      </c>
      <c r="K2008" s="335"/>
      <c r="L2008" s="330">
        <f>J2008*L2007</f>
        <v>6328.5880000000006</v>
      </c>
    </row>
    <row r="2009" spans="5:13" ht="15" customHeight="1" thickBot="1">
      <c r="F2009" s="340" t="s">
        <v>197</v>
      </c>
      <c r="G2009" s="341" t="s">
        <v>198</v>
      </c>
      <c r="H2009" s="318"/>
      <c r="I2009" s="318"/>
      <c r="J2009" s="342"/>
      <c r="K2009" s="320">
        <v>0</v>
      </c>
      <c r="L2009" s="321">
        <f>ROUNDDOWN(L2007+L2008,0)</f>
        <v>69614</v>
      </c>
    </row>
    <row r="2010" spans="5:13" ht="15" customHeight="1">
      <c r="F2010" s="298"/>
      <c r="G2010" s="298"/>
      <c r="J2010" s="343"/>
    </row>
    <row r="2011" spans="5:13" ht="15" customHeight="1" thickBot="1">
      <c r="E2011" s="356" t="s">
        <v>501</v>
      </c>
      <c r="F2011" s="295" t="s">
        <v>502</v>
      </c>
      <c r="J2011" s="343"/>
      <c r="M2011" s="299">
        <f>L2024</f>
        <v>4744025</v>
      </c>
    </row>
    <row r="2012" spans="5:13" ht="15" customHeight="1" thickBot="1">
      <c r="F2012" s="340" t="s">
        <v>136</v>
      </c>
      <c r="G2012" s="341" t="s">
        <v>162</v>
      </c>
      <c r="H2012" s="352" t="s">
        <v>163</v>
      </c>
      <c r="I2012" s="352" t="s">
        <v>138</v>
      </c>
      <c r="J2012" s="353" t="s">
        <v>164</v>
      </c>
      <c r="K2012" s="341" t="s">
        <v>165</v>
      </c>
      <c r="L2012" s="354" t="s">
        <v>166</v>
      </c>
    </row>
    <row r="2013" spans="5:13" ht="15" customHeight="1" thickBot="1">
      <c r="F2013" s="300" t="s">
        <v>167</v>
      </c>
      <c r="G2013" s="301" t="s">
        <v>168</v>
      </c>
      <c r="H2013" s="302"/>
      <c r="I2013" s="302"/>
      <c r="J2013" s="351"/>
      <c r="K2013" s="328"/>
      <c r="L2013" s="310"/>
    </row>
    <row r="2014" spans="5:13" ht="15" customHeight="1" thickBot="1">
      <c r="F2014" s="316"/>
      <c r="G2014" s="317"/>
      <c r="H2014" s="318"/>
      <c r="I2014" s="318"/>
      <c r="J2014" s="319" t="s">
        <v>178</v>
      </c>
      <c r="K2014" s="320"/>
      <c r="L2014" s="321">
        <f>SUM(L2010:L2013)</f>
        <v>0</v>
      </c>
    </row>
    <row r="2015" spans="5:13" ht="15" customHeight="1">
      <c r="F2015" s="300" t="s">
        <v>179</v>
      </c>
      <c r="G2015" s="301" t="s">
        <v>180</v>
      </c>
      <c r="H2015" s="302"/>
      <c r="I2015" s="302"/>
      <c r="J2015" s="351"/>
      <c r="K2015" s="328">
        <v>0</v>
      </c>
      <c r="L2015" s="310">
        <f>J2015*K2015</f>
        <v>0</v>
      </c>
    </row>
    <row r="2016" spans="5:13" ht="15" customHeight="1">
      <c r="F2016" s="306"/>
      <c r="G2016" s="301" t="s">
        <v>503</v>
      </c>
      <c r="H2016" s="302"/>
      <c r="I2016" s="307" t="s">
        <v>45</v>
      </c>
      <c r="J2016" s="308">
        <v>1200</v>
      </c>
      <c r="K2016" s="328">
        <f>VLOOKUP(G2016,Bahan,6,FALSE)</f>
        <v>1920</v>
      </c>
      <c r="L2016" s="310">
        <f>J2016*K2016</f>
        <v>2304000</v>
      </c>
    </row>
    <row r="2017" spans="5:13" ht="15" customHeight="1">
      <c r="F2017" s="306"/>
      <c r="G2017" s="301" t="s">
        <v>504</v>
      </c>
      <c r="H2017" s="302"/>
      <c r="I2017" s="307" t="s">
        <v>45</v>
      </c>
      <c r="J2017" s="308">
        <v>650</v>
      </c>
      <c r="K2017" s="328">
        <f>VLOOKUP(G2017,Bahan,6,FALSE)</f>
        <v>3050</v>
      </c>
      <c r="L2017" s="310">
        <f>J2017*K2017</f>
        <v>1982500</v>
      </c>
    </row>
    <row r="2018" spans="5:13" ht="15" customHeight="1" thickBot="1">
      <c r="F2018" s="306"/>
      <c r="G2018" s="301" t="s">
        <v>335</v>
      </c>
      <c r="H2018" s="302"/>
      <c r="I2018" s="307" t="s">
        <v>438</v>
      </c>
      <c r="J2018" s="308">
        <v>350</v>
      </c>
      <c r="K2018" s="328">
        <f>VLOOKUP(G2018,Bahan,6,FALSE)</f>
        <v>75</v>
      </c>
      <c r="L2018" s="310">
        <f>J2018*K2018</f>
        <v>26250</v>
      </c>
    </row>
    <row r="2019" spans="5:13" ht="15" customHeight="1" thickBot="1">
      <c r="F2019" s="316"/>
      <c r="G2019" s="317"/>
      <c r="H2019" s="318"/>
      <c r="I2019" s="318"/>
      <c r="J2019" s="319" t="s">
        <v>189</v>
      </c>
      <c r="K2019" s="320"/>
      <c r="L2019" s="321">
        <f>SUM(L2015:L2018)</f>
        <v>4312750</v>
      </c>
    </row>
    <row r="2020" spans="5:13" ht="15" customHeight="1" thickBot="1">
      <c r="F2020" s="300" t="s">
        <v>190</v>
      </c>
      <c r="G2020" s="301" t="s">
        <v>191</v>
      </c>
      <c r="H2020" s="302"/>
      <c r="I2020" s="302"/>
      <c r="J2020" s="351"/>
      <c r="K2020" s="328"/>
      <c r="L2020" s="310"/>
    </row>
    <row r="2021" spans="5:13" ht="15" customHeight="1" thickBot="1">
      <c r="F2021" s="316"/>
      <c r="G2021" s="317"/>
      <c r="H2021" s="318"/>
      <c r="I2021" s="318"/>
      <c r="J2021" s="319" t="s">
        <v>192</v>
      </c>
      <c r="K2021" s="320"/>
      <c r="L2021" s="321">
        <f>L2020</f>
        <v>0</v>
      </c>
    </row>
    <row r="2022" spans="5:13" ht="15" customHeight="1">
      <c r="F2022" s="344" t="s">
        <v>193</v>
      </c>
      <c r="G2022" s="345" t="s">
        <v>194</v>
      </c>
      <c r="H2022" s="346"/>
      <c r="I2022" s="346"/>
      <c r="J2022" s="347"/>
      <c r="K2022" s="348">
        <v>0</v>
      </c>
      <c r="L2022" s="310">
        <f>SUM(L2012:L2021)/2</f>
        <v>4312750</v>
      </c>
    </row>
    <row r="2023" spans="5:13" ht="15" customHeight="1" thickBot="1">
      <c r="F2023" s="331" t="s">
        <v>195</v>
      </c>
      <c r="G2023" s="332" t="s">
        <v>196</v>
      </c>
      <c r="H2023" s="333"/>
      <c r="I2023" s="333"/>
      <c r="J2023" s="350">
        <v>0.1</v>
      </c>
      <c r="K2023" s="335"/>
      <c r="L2023" s="330">
        <f>J2023*L2022</f>
        <v>431275</v>
      </c>
    </row>
    <row r="2024" spans="5:13" ht="15" customHeight="1" thickBot="1">
      <c r="F2024" s="340" t="s">
        <v>197</v>
      </c>
      <c r="G2024" s="341" t="s">
        <v>198</v>
      </c>
      <c r="H2024" s="318"/>
      <c r="I2024" s="318"/>
      <c r="J2024" s="342"/>
      <c r="K2024" s="320">
        <v>0</v>
      </c>
      <c r="L2024" s="321">
        <f>ROUNDDOWN(L2022+L2023,0)</f>
        <v>4744025</v>
      </c>
    </row>
    <row r="2025" spans="5:13" ht="15" customHeight="1">
      <c r="F2025" s="298"/>
      <c r="G2025" s="298"/>
      <c r="J2025" s="343"/>
      <c r="K2025" s="355"/>
      <c r="L2025" s="299"/>
    </row>
    <row r="2026" spans="5:13" ht="15" customHeight="1" thickBot="1">
      <c r="E2026" s="356" t="s">
        <v>505</v>
      </c>
      <c r="F2026" s="295" t="s">
        <v>506</v>
      </c>
      <c r="J2026" s="343"/>
      <c r="M2026" s="299">
        <f>L2038</f>
        <v>3940200</v>
      </c>
    </row>
    <row r="2027" spans="5:13" ht="15" customHeight="1" thickBot="1">
      <c r="F2027" s="340" t="s">
        <v>136</v>
      </c>
      <c r="G2027" s="341" t="s">
        <v>162</v>
      </c>
      <c r="H2027" s="352" t="s">
        <v>163</v>
      </c>
      <c r="I2027" s="352" t="s">
        <v>138</v>
      </c>
      <c r="J2027" s="353" t="s">
        <v>164</v>
      </c>
      <c r="K2027" s="341" t="s">
        <v>165</v>
      </c>
      <c r="L2027" s="354" t="s">
        <v>166</v>
      </c>
    </row>
    <row r="2028" spans="5:13" ht="15" customHeight="1" thickBot="1">
      <c r="F2028" s="300" t="s">
        <v>167</v>
      </c>
      <c r="G2028" s="301" t="s">
        <v>168</v>
      </c>
      <c r="H2028" s="302"/>
      <c r="I2028" s="302"/>
      <c r="J2028" s="351"/>
      <c r="K2028" s="328"/>
      <c r="L2028" s="310"/>
    </row>
    <row r="2029" spans="5:13" ht="15" customHeight="1" thickBot="1">
      <c r="F2029" s="316"/>
      <c r="G2029" s="317"/>
      <c r="H2029" s="318"/>
      <c r="I2029" s="318"/>
      <c r="J2029" s="319" t="s">
        <v>178</v>
      </c>
      <c r="K2029" s="320"/>
      <c r="L2029" s="321">
        <f>SUM(L2025:L2028)</f>
        <v>0</v>
      </c>
    </row>
    <row r="2030" spans="5:13" ht="15" customHeight="1">
      <c r="F2030" s="300" t="s">
        <v>179</v>
      </c>
      <c r="G2030" s="301" t="s">
        <v>180</v>
      </c>
      <c r="H2030" s="302"/>
      <c r="I2030" s="302"/>
      <c r="J2030" s="351"/>
      <c r="K2030" s="328">
        <v>0</v>
      </c>
      <c r="L2030" s="310">
        <f>J2030*K2030</f>
        <v>0</v>
      </c>
    </row>
    <row r="2031" spans="5:13" ht="15" customHeight="1">
      <c r="F2031" s="306"/>
      <c r="G2031" s="301" t="s">
        <v>503</v>
      </c>
      <c r="H2031" s="302"/>
      <c r="I2031" s="307" t="s">
        <v>45</v>
      </c>
      <c r="J2031" s="308">
        <v>1850</v>
      </c>
      <c r="K2031" s="328">
        <f>VLOOKUP(G2031,Bahan,6,FALSE)</f>
        <v>1920</v>
      </c>
      <c r="L2031" s="310">
        <f>J2031*K2031</f>
        <v>3552000</v>
      </c>
    </row>
    <row r="2032" spans="5:13" ht="15" customHeight="1" thickBot="1">
      <c r="F2032" s="306"/>
      <c r="G2032" s="301" t="s">
        <v>335</v>
      </c>
      <c r="H2032" s="302"/>
      <c r="I2032" s="307" t="s">
        <v>438</v>
      </c>
      <c r="J2032" s="308">
        <v>400</v>
      </c>
      <c r="K2032" s="328">
        <f>VLOOKUP(G2032,Bahan,6,FALSE)</f>
        <v>75</v>
      </c>
      <c r="L2032" s="310">
        <f>J2032*K2032</f>
        <v>30000</v>
      </c>
    </row>
    <row r="2033" spans="5:13" ht="15" customHeight="1" thickBot="1">
      <c r="F2033" s="316"/>
      <c r="G2033" s="317"/>
      <c r="H2033" s="318"/>
      <c r="I2033" s="318"/>
      <c r="J2033" s="319" t="s">
        <v>189</v>
      </c>
      <c r="K2033" s="320"/>
      <c r="L2033" s="321">
        <f>SUM(L2029:L2032)</f>
        <v>3582000</v>
      </c>
    </row>
    <row r="2034" spans="5:13" ht="15" customHeight="1" thickBot="1">
      <c r="F2034" s="300" t="s">
        <v>190</v>
      </c>
      <c r="G2034" s="301" t="s">
        <v>191</v>
      </c>
      <c r="H2034" s="302"/>
      <c r="I2034" s="302"/>
      <c r="J2034" s="351"/>
      <c r="K2034" s="328"/>
      <c r="L2034" s="310"/>
    </row>
    <row r="2035" spans="5:13" ht="15" customHeight="1" thickBot="1">
      <c r="F2035" s="316"/>
      <c r="G2035" s="317"/>
      <c r="H2035" s="318"/>
      <c r="I2035" s="318"/>
      <c r="J2035" s="319" t="s">
        <v>192</v>
      </c>
      <c r="K2035" s="320"/>
      <c r="L2035" s="321">
        <f>L2034</f>
        <v>0</v>
      </c>
    </row>
    <row r="2036" spans="5:13" ht="15" customHeight="1">
      <c r="F2036" s="344" t="s">
        <v>193</v>
      </c>
      <c r="G2036" s="345" t="s">
        <v>194</v>
      </c>
      <c r="H2036" s="346"/>
      <c r="I2036" s="346"/>
      <c r="J2036" s="347"/>
      <c r="K2036" s="348">
        <v>0</v>
      </c>
      <c r="L2036" s="310">
        <f>SUM(L2027:L2035)/2</f>
        <v>3582000</v>
      </c>
    </row>
    <row r="2037" spans="5:13" ht="15" customHeight="1" thickBot="1">
      <c r="F2037" s="331" t="s">
        <v>195</v>
      </c>
      <c r="G2037" s="332" t="s">
        <v>196</v>
      </c>
      <c r="H2037" s="333"/>
      <c r="I2037" s="333"/>
      <c r="J2037" s="350">
        <v>0.1</v>
      </c>
      <c r="K2037" s="335"/>
      <c r="L2037" s="330">
        <f>J2037*L2036</f>
        <v>358200</v>
      </c>
    </row>
    <row r="2038" spans="5:13" ht="15" customHeight="1" thickBot="1">
      <c r="F2038" s="340" t="s">
        <v>197</v>
      </c>
      <c r="G2038" s="341" t="s">
        <v>198</v>
      </c>
      <c r="H2038" s="318"/>
      <c r="I2038" s="318"/>
      <c r="J2038" s="342"/>
      <c r="K2038" s="320">
        <v>0</v>
      </c>
      <c r="L2038" s="321">
        <f>ROUNDDOWN(L2036+L2037,0)</f>
        <v>3940200</v>
      </c>
    </row>
    <row r="2039" spans="5:13" ht="15" customHeight="1">
      <c r="F2039" s="298"/>
      <c r="G2039" s="298"/>
      <c r="J2039" s="343"/>
      <c r="K2039" s="355"/>
      <c r="L2039" s="299"/>
    </row>
    <row r="2040" spans="5:13" ht="15" customHeight="1" thickBot="1">
      <c r="E2040" s="356" t="s">
        <v>507</v>
      </c>
      <c r="F2040" s="295" t="s">
        <v>508</v>
      </c>
      <c r="J2040" s="343"/>
      <c r="M2040" s="299">
        <f>L2053</f>
        <v>80905</v>
      </c>
    </row>
    <row r="2041" spans="5:13" ht="15" customHeight="1" thickBot="1">
      <c r="F2041" s="340" t="s">
        <v>136</v>
      </c>
      <c r="G2041" s="341" t="s">
        <v>162</v>
      </c>
      <c r="H2041" s="352" t="s">
        <v>163</v>
      </c>
      <c r="I2041" s="352" t="s">
        <v>138</v>
      </c>
      <c r="J2041" s="353" t="s">
        <v>164</v>
      </c>
      <c r="K2041" s="341" t="s">
        <v>165</v>
      </c>
      <c r="L2041" s="354" t="s">
        <v>166</v>
      </c>
    </row>
    <row r="2042" spans="5:13" ht="15" customHeight="1">
      <c r="F2042" s="300" t="s">
        <v>167</v>
      </c>
      <c r="G2042" s="301" t="s">
        <v>168</v>
      </c>
      <c r="H2042" s="302"/>
      <c r="I2042" s="302"/>
      <c r="J2042" s="351"/>
      <c r="K2042" s="328"/>
      <c r="L2042" s="310"/>
    </row>
    <row r="2043" spans="5:13" ht="15" customHeight="1">
      <c r="F2043" s="306"/>
      <c r="G2043" s="301" t="s">
        <v>216</v>
      </c>
      <c r="H2043" s="307" t="s">
        <v>217</v>
      </c>
      <c r="I2043" s="307" t="s">
        <v>171</v>
      </c>
      <c r="J2043" s="308">
        <v>0.36699999999999999</v>
      </c>
      <c r="K2043" s="309">
        <f>VLOOKUP(G2043,Upah,8,FALSE)</f>
        <v>150000</v>
      </c>
      <c r="L2043" s="310">
        <f>J2043*K2043</f>
        <v>55050</v>
      </c>
    </row>
    <row r="2044" spans="5:13" ht="15" customHeight="1">
      <c r="F2044" s="306"/>
      <c r="G2044" s="301" t="s">
        <v>232</v>
      </c>
      <c r="H2044" s="307" t="s">
        <v>175</v>
      </c>
      <c r="I2044" s="307" t="s">
        <v>171</v>
      </c>
      <c r="J2044" s="308">
        <v>7.3999999999999996E-2</v>
      </c>
      <c r="K2044" s="309">
        <f>VLOOKUP(G2044,Upah,8,FALSE)</f>
        <v>165000</v>
      </c>
      <c r="L2044" s="310">
        <f>J2044*K2044</f>
        <v>12210</v>
      </c>
    </row>
    <row r="2045" spans="5:13" ht="15" customHeight="1" thickBot="1">
      <c r="F2045" s="306"/>
      <c r="G2045" s="301" t="s">
        <v>176</v>
      </c>
      <c r="H2045" s="307" t="s">
        <v>177</v>
      </c>
      <c r="I2045" s="307" t="s">
        <v>171</v>
      </c>
      <c r="J2045" s="308">
        <v>3.6999999999999998E-2</v>
      </c>
      <c r="K2045" s="309">
        <f>VLOOKUP(G2045,Upah,8,FALSE)</f>
        <v>170000</v>
      </c>
      <c r="L2045" s="310">
        <f>J2045*K2045</f>
        <v>6290</v>
      </c>
    </row>
    <row r="2046" spans="5:13" ht="15" customHeight="1" thickBot="1">
      <c r="F2046" s="316"/>
      <c r="G2046" s="317"/>
      <c r="H2046" s="318"/>
      <c r="I2046" s="318"/>
      <c r="J2046" s="319" t="s">
        <v>178</v>
      </c>
      <c r="K2046" s="320"/>
      <c r="L2046" s="321">
        <f>SUM(L2043:L2045)</f>
        <v>73550</v>
      </c>
    </row>
    <row r="2047" spans="5:13" ht="15" customHeight="1" thickBot="1">
      <c r="F2047" s="300" t="s">
        <v>179</v>
      </c>
      <c r="G2047" s="301" t="s">
        <v>180</v>
      </c>
      <c r="H2047" s="302"/>
      <c r="I2047" s="302"/>
      <c r="J2047" s="351"/>
      <c r="K2047" s="328">
        <v>0</v>
      </c>
      <c r="L2047" s="310">
        <f>J2047*K2047</f>
        <v>0</v>
      </c>
    </row>
    <row r="2048" spans="5:13" ht="15" customHeight="1" thickBot="1">
      <c r="F2048" s="316"/>
      <c r="G2048" s="317"/>
      <c r="H2048" s="318"/>
      <c r="I2048" s="318"/>
      <c r="J2048" s="319" t="s">
        <v>189</v>
      </c>
      <c r="K2048" s="320"/>
      <c r="L2048" s="321">
        <f>SUM(L2047)</f>
        <v>0</v>
      </c>
    </row>
    <row r="2049" spans="5:13" ht="15" customHeight="1" thickBot="1">
      <c r="F2049" s="300" t="s">
        <v>190</v>
      </c>
      <c r="G2049" s="301" t="s">
        <v>191</v>
      </c>
      <c r="H2049" s="302"/>
      <c r="I2049" s="302"/>
      <c r="J2049" s="351"/>
      <c r="K2049" s="328">
        <v>0</v>
      </c>
      <c r="L2049" s="310">
        <f>J2049*K2049</f>
        <v>0</v>
      </c>
    </row>
    <row r="2050" spans="5:13" ht="15" customHeight="1" thickBot="1">
      <c r="F2050" s="316"/>
      <c r="G2050" s="317"/>
      <c r="H2050" s="318"/>
      <c r="I2050" s="318"/>
      <c r="J2050" s="319" t="s">
        <v>192</v>
      </c>
      <c r="K2050" s="320"/>
      <c r="L2050" s="321">
        <f>L2049</f>
        <v>0</v>
      </c>
    </row>
    <row r="2051" spans="5:13" ht="15" customHeight="1">
      <c r="F2051" s="344" t="s">
        <v>193</v>
      </c>
      <c r="G2051" s="345" t="s">
        <v>194</v>
      </c>
      <c r="H2051" s="346"/>
      <c r="I2051" s="346"/>
      <c r="J2051" s="347"/>
      <c r="K2051" s="348">
        <v>0</v>
      </c>
      <c r="L2051" s="310">
        <f>SUM(L2041:L2050)/2</f>
        <v>73550</v>
      </c>
    </row>
    <row r="2052" spans="5:13" ht="15" customHeight="1" thickBot="1">
      <c r="F2052" s="331" t="s">
        <v>195</v>
      </c>
      <c r="G2052" s="332" t="s">
        <v>196</v>
      </c>
      <c r="H2052" s="333"/>
      <c r="I2052" s="333"/>
      <c r="J2052" s="350">
        <v>0.1</v>
      </c>
      <c r="K2052" s="335"/>
      <c r="L2052" s="330">
        <f>J2052*L2051</f>
        <v>7355</v>
      </c>
    </row>
    <row r="2053" spans="5:13" ht="15" customHeight="1" thickBot="1">
      <c r="F2053" s="340" t="s">
        <v>197</v>
      </c>
      <c r="G2053" s="341" t="s">
        <v>198</v>
      </c>
      <c r="H2053" s="318"/>
      <c r="I2053" s="318"/>
      <c r="J2053" s="342"/>
      <c r="K2053" s="320">
        <v>0</v>
      </c>
      <c r="L2053" s="321">
        <f>ROUNDDOWN(L2051+L2052,0)</f>
        <v>80905</v>
      </c>
    </row>
    <row r="2054" spans="5:13" ht="15" customHeight="1">
      <c r="F2054" s="298"/>
      <c r="G2054" s="298"/>
      <c r="J2054" s="343"/>
      <c r="K2054" s="355"/>
      <c r="L2054" s="299"/>
    </row>
    <row r="2055" spans="5:13" ht="15" customHeight="1" thickBot="1">
      <c r="E2055" s="356" t="s">
        <v>509</v>
      </c>
      <c r="F2055" s="295" t="s">
        <v>510</v>
      </c>
      <c r="J2055" s="343"/>
      <c r="M2055" s="299">
        <f>L2072</f>
        <v>127967</v>
      </c>
    </row>
    <row r="2056" spans="5:13" ht="15" customHeight="1" thickBot="1">
      <c r="F2056" s="340" t="s">
        <v>136</v>
      </c>
      <c r="G2056" s="341" t="s">
        <v>162</v>
      </c>
      <c r="H2056" s="352" t="s">
        <v>163</v>
      </c>
      <c r="I2056" s="352" t="s">
        <v>138</v>
      </c>
      <c r="J2056" s="353" t="s">
        <v>164</v>
      </c>
      <c r="K2056" s="341" t="s">
        <v>165</v>
      </c>
      <c r="L2056" s="354" t="s">
        <v>166</v>
      </c>
    </row>
    <row r="2057" spans="5:13" ht="15" customHeight="1">
      <c r="F2057" s="300" t="s">
        <v>167</v>
      </c>
      <c r="G2057" s="301" t="s">
        <v>168</v>
      </c>
      <c r="H2057" s="302"/>
      <c r="I2057" s="302"/>
      <c r="J2057" s="351"/>
      <c r="K2057" s="328"/>
      <c r="L2057" s="310"/>
    </row>
    <row r="2058" spans="5:13" ht="15" customHeight="1">
      <c r="F2058" s="306"/>
      <c r="G2058" s="301" t="s">
        <v>169</v>
      </c>
      <c r="H2058" s="307" t="s">
        <v>170</v>
      </c>
      <c r="I2058" s="302" t="s">
        <v>171</v>
      </c>
      <c r="J2058" s="308">
        <v>0.14699999999999999</v>
      </c>
      <c r="K2058" s="309">
        <f>VLOOKUP(G2058,Upah,8,FALSE)</f>
        <v>125000</v>
      </c>
      <c r="L2058" s="310">
        <f>J2058*K2058</f>
        <v>18375</v>
      </c>
    </row>
    <row r="2059" spans="5:13" ht="15" customHeight="1">
      <c r="F2059" s="306"/>
      <c r="G2059" s="301" t="s">
        <v>413</v>
      </c>
      <c r="H2059" s="307" t="s">
        <v>173</v>
      </c>
      <c r="I2059" s="307" t="s">
        <v>171</v>
      </c>
      <c r="J2059" s="308">
        <v>0.14699999999999999</v>
      </c>
      <c r="K2059" s="309">
        <f>VLOOKUP(G2059,Upah,8,FALSE)</f>
        <v>150000</v>
      </c>
      <c r="L2059" s="310">
        <f>J2059*K2059</f>
        <v>22050</v>
      </c>
    </row>
    <row r="2060" spans="5:13" ht="15" customHeight="1">
      <c r="F2060" s="306"/>
      <c r="G2060" s="301" t="s">
        <v>232</v>
      </c>
      <c r="H2060" s="307" t="s">
        <v>175</v>
      </c>
      <c r="I2060" s="307" t="s">
        <v>171</v>
      </c>
      <c r="J2060" s="308">
        <v>1.4999999999999999E-2</v>
      </c>
      <c r="K2060" s="309">
        <f>VLOOKUP(G2060,Upah,8,FALSE)</f>
        <v>165000</v>
      </c>
      <c r="L2060" s="310">
        <f>J2060*K2060</f>
        <v>2475</v>
      </c>
    </row>
    <row r="2061" spans="5:13" ht="15" customHeight="1" thickBot="1">
      <c r="F2061" s="306"/>
      <c r="G2061" s="301" t="s">
        <v>176</v>
      </c>
      <c r="H2061" s="307" t="s">
        <v>177</v>
      </c>
      <c r="I2061" s="307" t="s">
        <v>171</v>
      </c>
      <c r="J2061" s="308">
        <v>5.0000000000000001E-3</v>
      </c>
      <c r="K2061" s="309">
        <f>VLOOKUP(G2061,Upah,8,FALSE)</f>
        <v>170000</v>
      </c>
      <c r="L2061" s="310">
        <f>J2061*K2061</f>
        <v>850</v>
      </c>
    </row>
    <row r="2062" spans="5:13" ht="15" customHeight="1" thickBot="1">
      <c r="F2062" s="316"/>
      <c r="G2062" s="317"/>
      <c r="H2062" s="318"/>
      <c r="I2062" s="318"/>
      <c r="J2062" s="319" t="s">
        <v>178</v>
      </c>
      <c r="K2062" s="320"/>
      <c r="L2062" s="321">
        <f>SUM(L2058:L2061)</f>
        <v>43750</v>
      </c>
    </row>
    <row r="2063" spans="5:13" ht="15" customHeight="1">
      <c r="F2063" s="300" t="s">
        <v>179</v>
      </c>
      <c r="G2063" s="301" t="s">
        <v>180</v>
      </c>
      <c r="H2063" s="302"/>
      <c r="I2063" s="302"/>
      <c r="J2063" s="351"/>
      <c r="K2063" s="328"/>
      <c r="L2063" s="310"/>
    </row>
    <row r="2064" spans="5:13" ht="15" customHeight="1">
      <c r="F2064" s="306"/>
      <c r="G2064" s="301" t="s">
        <v>449</v>
      </c>
      <c r="H2064" s="302"/>
      <c r="I2064" s="307" t="s">
        <v>44</v>
      </c>
      <c r="J2064" s="308">
        <v>1.2E-2</v>
      </c>
      <c r="K2064" s="328">
        <f>VLOOKUP(G2064,Bahan,6,FALSE)</f>
        <v>4375000</v>
      </c>
      <c r="L2064" s="310">
        <f>J2064*K2064</f>
        <v>52500</v>
      </c>
    </row>
    <row r="2065" spans="5:13" ht="15" customHeight="1">
      <c r="F2065" s="306"/>
      <c r="G2065" s="301" t="s">
        <v>239</v>
      </c>
      <c r="H2065" s="302"/>
      <c r="I2065" s="307" t="s">
        <v>44</v>
      </c>
      <c r="J2065" s="308">
        <v>4.0000000000000001E-3</v>
      </c>
      <c r="K2065" s="328">
        <f>VLOOKUP(G2065,Bahan,6,FALSE)</f>
        <v>3175000</v>
      </c>
      <c r="L2065" s="310">
        <f>J2065*K2065</f>
        <v>12700</v>
      </c>
    </row>
    <row r="2066" spans="5:13" ht="15" customHeight="1" thickBot="1">
      <c r="F2066" s="306"/>
      <c r="G2066" s="301" t="s">
        <v>415</v>
      </c>
      <c r="H2066" s="302"/>
      <c r="I2066" s="307" t="s">
        <v>45</v>
      </c>
      <c r="J2066" s="308">
        <v>0.26400000000000001</v>
      </c>
      <c r="K2066" s="328">
        <f>VLOOKUP(G2066,Bahan,6,FALSE)</f>
        <v>27970</v>
      </c>
      <c r="L2066" s="310">
        <f>J2066*K2066</f>
        <v>7384.08</v>
      </c>
    </row>
    <row r="2067" spans="5:13" ht="15" customHeight="1" thickBot="1">
      <c r="F2067" s="316"/>
      <c r="G2067" s="317"/>
      <c r="H2067" s="318"/>
      <c r="I2067" s="318"/>
      <c r="J2067" s="319" t="s">
        <v>189</v>
      </c>
      <c r="K2067" s="320"/>
      <c r="L2067" s="321">
        <f>SUM(L2063:L2066)</f>
        <v>72584.08</v>
      </c>
    </row>
    <row r="2068" spans="5:13" ht="15" customHeight="1" thickBot="1">
      <c r="F2068" s="300" t="s">
        <v>190</v>
      </c>
      <c r="G2068" s="301" t="s">
        <v>191</v>
      </c>
      <c r="H2068" s="302"/>
      <c r="I2068" s="302"/>
      <c r="J2068" s="351"/>
      <c r="K2068" s="328">
        <v>0</v>
      </c>
      <c r="L2068" s="310">
        <f>J2068*K2068</f>
        <v>0</v>
      </c>
    </row>
    <row r="2069" spans="5:13" ht="15" customHeight="1" thickBot="1">
      <c r="F2069" s="316"/>
      <c r="G2069" s="317"/>
      <c r="H2069" s="318"/>
      <c r="I2069" s="318"/>
      <c r="J2069" s="319" t="s">
        <v>192</v>
      </c>
      <c r="K2069" s="320"/>
      <c r="L2069" s="321">
        <f>L2068</f>
        <v>0</v>
      </c>
    </row>
    <row r="2070" spans="5:13" ht="15" customHeight="1">
      <c r="F2070" s="344" t="s">
        <v>193</v>
      </c>
      <c r="G2070" s="345" t="s">
        <v>194</v>
      </c>
      <c r="H2070" s="346"/>
      <c r="I2070" s="346"/>
      <c r="J2070" s="347"/>
      <c r="K2070" s="348">
        <v>0</v>
      </c>
      <c r="L2070" s="310">
        <f>SUM(L2057:L2069)/2</f>
        <v>116334.07999999999</v>
      </c>
    </row>
    <row r="2071" spans="5:13" ht="15" customHeight="1" thickBot="1">
      <c r="F2071" s="331" t="s">
        <v>195</v>
      </c>
      <c r="G2071" s="332" t="s">
        <v>196</v>
      </c>
      <c r="H2071" s="333"/>
      <c r="I2071" s="333"/>
      <c r="J2071" s="350">
        <v>0.1</v>
      </c>
      <c r="K2071" s="335"/>
      <c r="L2071" s="330">
        <f>J2071*L2070</f>
        <v>11633.407999999999</v>
      </c>
    </row>
    <row r="2072" spans="5:13" ht="15" customHeight="1" thickBot="1">
      <c r="F2072" s="340" t="s">
        <v>197</v>
      </c>
      <c r="G2072" s="341" t="s">
        <v>198</v>
      </c>
      <c r="H2072" s="318"/>
      <c r="I2072" s="318"/>
      <c r="J2072" s="342"/>
      <c r="K2072" s="320">
        <v>0</v>
      </c>
      <c r="L2072" s="321">
        <f>ROUNDDOWN(L2070+L2071,0)</f>
        <v>127967</v>
      </c>
    </row>
    <row r="2073" spans="5:13" ht="15" customHeight="1">
      <c r="F2073" s="298"/>
      <c r="G2073" s="298"/>
      <c r="J2073" s="343"/>
      <c r="K2073" s="355"/>
      <c r="L2073" s="299"/>
    </row>
    <row r="2074" spans="5:13" ht="15" customHeight="1" thickBot="1">
      <c r="E2074" s="356" t="s">
        <v>511</v>
      </c>
      <c r="F2074" s="298" t="s">
        <v>512</v>
      </c>
      <c r="J2074" s="343"/>
      <c r="M2074" s="299">
        <f>L2088</f>
        <v>104907</v>
      </c>
    </row>
    <row r="2075" spans="5:13" ht="15" customHeight="1" thickBot="1">
      <c r="F2075" s="340" t="s">
        <v>136</v>
      </c>
      <c r="G2075" s="341" t="s">
        <v>162</v>
      </c>
      <c r="H2075" s="352" t="s">
        <v>163</v>
      </c>
      <c r="I2075" s="352" t="s">
        <v>138</v>
      </c>
      <c r="J2075" s="353" t="s">
        <v>164</v>
      </c>
      <c r="K2075" s="341" t="s">
        <v>165</v>
      </c>
      <c r="L2075" s="354" t="s">
        <v>166</v>
      </c>
    </row>
    <row r="2076" spans="5:13" ht="15" customHeight="1">
      <c r="F2076" s="300" t="s">
        <v>167</v>
      </c>
      <c r="G2076" s="301" t="s">
        <v>168</v>
      </c>
      <c r="H2076" s="302"/>
      <c r="I2076" s="302"/>
      <c r="J2076" s="351"/>
      <c r="K2076" s="328"/>
      <c r="L2076" s="310"/>
    </row>
    <row r="2077" spans="5:13" ht="15" customHeight="1">
      <c r="F2077" s="306"/>
      <c r="G2077" s="301" t="s">
        <v>169</v>
      </c>
      <c r="H2077" s="307" t="s">
        <v>170</v>
      </c>
      <c r="I2077" s="307" t="s">
        <v>171</v>
      </c>
      <c r="J2077" s="308">
        <v>0.22</v>
      </c>
      <c r="K2077" s="309">
        <f>VLOOKUP(G2077,Upah,8,FALSE)</f>
        <v>125000</v>
      </c>
      <c r="L2077" s="310">
        <f>J2077*K2077</f>
        <v>27500</v>
      </c>
    </row>
    <row r="2078" spans="5:13" ht="15" customHeight="1">
      <c r="F2078" s="306"/>
      <c r="G2078" s="301" t="s">
        <v>413</v>
      </c>
      <c r="H2078" s="307" t="s">
        <v>173</v>
      </c>
      <c r="I2078" s="307" t="s">
        <v>171</v>
      </c>
      <c r="J2078" s="308">
        <v>0.22</v>
      </c>
      <c r="K2078" s="309">
        <f>VLOOKUP(G2078,Upah,8,FALSE)</f>
        <v>150000</v>
      </c>
      <c r="L2078" s="310">
        <f>J2078*K2078</f>
        <v>33000</v>
      </c>
    </row>
    <row r="2079" spans="5:13" ht="15" customHeight="1">
      <c r="F2079" s="306"/>
      <c r="G2079" s="301" t="s">
        <v>414</v>
      </c>
      <c r="H2079" s="307" t="s">
        <v>380</v>
      </c>
      <c r="I2079" s="307" t="s">
        <v>171</v>
      </c>
      <c r="J2079" s="308">
        <v>0.22</v>
      </c>
      <c r="K2079" s="309">
        <f>VLOOKUP(G2079,Upah,8,FALSE)</f>
        <v>150000</v>
      </c>
      <c r="L2079" s="310">
        <f>J2079*K2079</f>
        <v>33000</v>
      </c>
    </row>
    <row r="2080" spans="5:13" ht="15" customHeight="1" thickBot="1">
      <c r="F2080" s="306"/>
      <c r="G2080" s="301" t="s">
        <v>176</v>
      </c>
      <c r="H2080" s="307" t="s">
        <v>177</v>
      </c>
      <c r="I2080" s="307" t="s">
        <v>171</v>
      </c>
      <c r="J2080" s="308">
        <v>1.0999999999999999E-2</v>
      </c>
      <c r="K2080" s="309">
        <f>VLOOKUP(G2080,Upah,8,FALSE)</f>
        <v>170000</v>
      </c>
      <c r="L2080" s="310">
        <f>J2080*K2080</f>
        <v>1870</v>
      </c>
    </row>
    <row r="2081" spans="4:13" ht="15" customHeight="1" thickBot="1">
      <c r="F2081" s="316"/>
      <c r="G2081" s="317"/>
      <c r="H2081" s="318"/>
      <c r="I2081" s="318"/>
      <c r="J2081" s="319" t="s">
        <v>178</v>
      </c>
      <c r="K2081" s="320"/>
      <c r="L2081" s="321">
        <f>SUM(L2077:L2080)</f>
        <v>95370</v>
      </c>
    </row>
    <row r="2082" spans="4:13" ht="15" customHeight="1" thickBot="1">
      <c r="F2082" s="300" t="s">
        <v>179</v>
      </c>
      <c r="G2082" s="301" t="s">
        <v>180</v>
      </c>
      <c r="H2082" s="302"/>
      <c r="I2082" s="302"/>
      <c r="J2082" s="351"/>
      <c r="K2082" s="328"/>
      <c r="L2082" s="310"/>
    </row>
    <row r="2083" spans="4:13" ht="15" customHeight="1" thickBot="1">
      <c r="F2083" s="316"/>
      <c r="G2083" s="317"/>
      <c r="H2083" s="318"/>
      <c r="I2083" s="318"/>
      <c r="J2083" s="319" t="s">
        <v>189</v>
      </c>
      <c r="K2083" s="320"/>
      <c r="L2083" s="321">
        <f>SUM(L2082)</f>
        <v>0</v>
      </c>
    </row>
    <row r="2084" spans="4:13" ht="15" customHeight="1" thickBot="1">
      <c r="F2084" s="300" t="s">
        <v>190</v>
      </c>
      <c r="G2084" s="301" t="s">
        <v>191</v>
      </c>
      <c r="H2084" s="302"/>
      <c r="I2084" s="302"/>
      <c r="J2084" s="351"/>
      <c r="K2084" s="328">
        <v>0</v>
      </c>
      <c r="L2084" s="310">
        <f>J2084*K2084</f>
        <v>0</v>
      </c>
    </row>
    <row r="2085" spans="4:13" ht="15" customHeight="1" thickBot="1">
      <c r="F2085" s="316"/>
      <c r="G2085" s="317"/>
      <c r="H2085" s="318"/>
      <c r="I2085" s="318"/>
      <c r="J2085" s="319" t="s">
        <v>192</v>
      </c>
      <c r="K2085" s="320"/>
      <c r="L2085" s="321">
        <f>L2084</f>
        <v>0</v>
      </c>
    </row>
    <row r="2086" spans="4:13" ht="15" customHeight="1">
      <c r="F2086" s="344" t="s">
        <v>193</v>
      </c>
      <c r="G2086" s="345" t="s">
        <v>194</v>
      </c>
      <c r="H2086" s="346"/>
      <c r="I2086" s="346"/>
      <c r="J2086" s="347"/>
      <c r="K2086" s="348">
        <v>0</v>
      </c>
      <c r="L2086" s="310">
        <f>SUM(L2076:L2085)/2</f>
        <v>95370</v>
      </c>
    </row>
    <row r="2087" spans="4:13" ht="15" customHeight="1" thickBot="1">
      <c r="F2087" s="331" t="s">
        <v>195</v>
      </c>
      <c r="G2087" s="332" t="s">
        <v>196</v>
      </c>
      <c r="H2087" s="333"/>
      <c r="I2087" s="333"/>
      <c r="J2087" s="350">
        <v>0.1</v>
      </c>
      <c r="K2087" s="335"/>
      <c r="L2087" s="330">
        <f>J2087*L2086</f>
        <v>9537</v>
      </c>
    </row>
    <row r="2088" spans="4:13" ht="15" customHeight="1" thickBot="1">
      <c r="F2088" s="340" t="s">
        <v>197</v>
      </c>
      <c r="G2088" s="341" t="s">
        <v>198</v>
      </c>
      <c r="H2088" s="318"/>
      <c r="I2088" s="318"/>
      <c r="J2088" s="342"/>
      <c r="K2088" s="320">
        <v>0</v>
      </c>
      <c r="L2088" s="321">
        <f>ROUNDDOWN(L2086+L2087,0)</f>
        <v>104907</v>
      </c>
    </row>
    <row r="2089" spans="4:13" ht="15" customHeight="1">
      <c r="F2089" s="298"/>
      <c r="G2089" s="298"/>
      <c r="J2089" s="343"/>
      <c r="K2089" s="355"/>
      <c r="L2089" s="299"/>
    </row>
    <row r="2090" spans="4:13" ht="15" customHeight="1">
      <c r="D2090" s="560" t="s">
        <v>513</v>
      </c>
      <c r="E2090" s="358" t="s">
        <v>514</v>
      </c>
      <c r="J2090" s="343"/>
    </row>
    <row r="2091" spans="4:13" ht="15" customHeight="1" thickBot="1">
      <c r="E2091" s="356" t="s">
        <v>515</v>
      </c>
      <c r="F2091" s="295" t="s">
        <v>516</v>
      </c>
      <c r="J2091" s="343"/>
      <c r="M2091" s="299">
        <f>L2106</f>
        <v>44277</v>
      </c>
    </row>
    <row r="2092" spans="4:13" ht="15" customHeight="1" thickBot="1">
      <c r="F2092" s="340" t="s">
        <v>136</v>
      </c>
      <c r="G2092" s="341" t="s">
        <v>162</v>
      </c>
      <c r="H2092" s="352" t="s">
        <v>163</v>
      </c>
      <c r="I2092" s="352" t="s">
        <v>138</v>
      </c>
      <c r="J2092" s="353" t="s">
        <v>164</v>
      </c>
      <c r="K2092" s="341" t="s">
        <v>165</v>
      </c>
      <c r="L2092" s="354" t="s">
        <v>166</v>
      </c>
    </row>
    <row r="2093" spans="4:13" ht="15" customHeight="1">
      <c r="F2093" s="300" t="s">
        <v>167</v>
      </c>
      <c r="G2093" s="301" t="s">
        <v>168</v>
      </c>
      <c r="H2093" s="302"/>
      <c r="I2093" s="302"/>
      <c r="J2093" s="351"/>
      <c r="K2093" s="328"/>
      <c r="L2093" s="310"/>
    </row>
    <row r="2094" spans="4:13" ht="15" customHeight="1">
      <c r="F2094" s="306"/>
      <c r="G2094" s="301" t="s">
        <v>169</v>
      </c>
      <c r="H2094" s="307" t="s">
        <v>170</v>
      </c>
      <c r="I2094" s="307" t="s">
        <v>171</v>
      </c>
      <c r="J2094" s="308">
        <v>0.06</v>
      </c>
      <c r="K2094" s="309">
        <f>VLOOKUP(G2094,Upah,8,FALSE)</f>
        <v>125000</v>
      </c>
      <c r="L2094" s="310">
        <f>J2094*K2094</f>
        <v>7500</v>
      </c>
    </row>
    <row r="2095" spans="4:13" ht="15" customHeight="1">
      <c r="F2095" s="306"/>
      <c r="G2095" s="301" t="s">
        <v>517</v>
      </c>
      <c r="H2095" s="307" t="s">
        <v>518</v>
      </c>
      <c r="I2095" s="307" t="s">
        <v>171</v>
      </c>
      <c r="J2095" s="308">
        <v>0.06</v>
      </c>
      <c r="K2095" s="309">
        <f>VLOOKUP(G2095,Upah,8,FALSE)</f>
        <v>150000</v>
      </c>
      <c r="L2095" s="310">
        <f>J2095*K2095</f>
        <v>9000</v>
      </c>
    </row>
    <row r="2096" spans="4:13" ht="15" customHeight="1">
      <c r="F2096" s="306"/>
      <c r="G2096" s="301" t="s">
        <v>232</v>
      </c>
      <c r="H2096" s="307" t="s">
        <v>175</v>
      </c>
      <c r="I2096" s="307" t="s">
        <v>171</v>
      </c>
      <c r="J2096" s="308">
        <v>6.0000000000000001E-3</v>
      </c>
      <c r="K2096" s="309">
        <f>VLOOKUP(G2096,Upah,8,FALSE)</f>
        <v>165000</v>
      </c>
      <c r="L2096" s="310">
        <f>J2096*K2096</f>
        <v>990</v>
      </c>
    </row>
    <row r="2097" spans="5:13" ht="15" customHeight="1" thickBot="1">
      <c r="F2097" s="306"/>
      <c r="G2097" s="301" t="s">
        <v>176</v>
      </c>
      <c r="H2097" s="307" t="s">
        <v>177</v>
      </c>
      <c r="I2097" s="307" t="s">
        <v>171</v>
      </c>
      <c r="J2097" s="308">
        <v>3.0000000000000001E-3</v>
      </c>
      <c r="K2097" s="309">
        <f>VLOOKUP(G2097,Upah,8,FALSE)</f>
        <v>170000</v>
      </c>
      <c r="L2097" s="310">
        <f>J2097*K2097</f>
        <v>510</v>
      </c>
    </row>
    <row r="2098" spans="5:13" ht="15" customHeight="1" thickBot="1">
      <c r="F2098" s="316"/>
      <c r="G2098" s="317"/>
      <c r="H2098" s="318"/>
      <c r="I2098" s="318"/>
      <c r="J2098" s="319" t="s">
        <v>178</v>
      </c>
      <c r="K2098" s="320"/>
      <c r="L2098" s="321">
        <f>SUM(L2094:L2097)</f>
        <v>18000</v>
      </c>
    </row>
    <row r="2099" spans="5:13" ht="15" customHeight="1">
      <c r="F2099" s="300" t="s">
        <v>179</v>
      </c>
      <c r="G2099" s="301" t="s">
        <v>180</v>
      </c>
      <c r="H2099" s="302"/>
      <c r="I2099" s="302"/>
      <c r="J2099" s="351"/>
      <c r="K2099" s="328"/>
      <c r="L2099" s="310"/>
    </row>
    <row r="2100" spans="5:13" ht="15" customHeight="1" thickBot="1">
      <c r="F2100" s="306"/>
      <c r="G2100" s="301" t="s">
        <v>519</v>
      </c>
      <c r="H2100" s="302"/>
      <c r="I2100" s="307" t="s">
        <v>45</v>
      </c>
      <c r="J2100" s="308">
        <v>1.1499999999999999</v>
      </c>
      <c r="K2100" s="328">
        <f>VLOOKUP(G2100,Bahan,6,FALSE)</f>
        <v>19350</v>
      </c>
      <c r="L2100" s="310">
        <f>J2100*K2100</f>
        <v>22252.5</v>
      </c>
    </row>
    <row r="2101" spans="5:13" ht="15" customHeight="1" thickBot="1">
      <c r="F2101" s="316"/>
      <c r="G2101" s="317"/>
      <c r="H2101" s="318"/>
      <c r="I2101" s="318"/>
      <c r="J2101" s="319" t="s">
        <v>189</v>
      </c>
      <c r="K2101" s="320"/>
      <c r="L2101" s="321">
        <f>SUM(L2100)</f>
        <v>22252.5</v>
      </c>
    </row>
    <row r="2102" spans="5:13" ht="15" customHeight="1" thickBot="1">
      <c r="F2102" s="300" t="s">
        <v>190</v>
      </c>
      <c r="G2102" s="301" t="s">
        <v>191</v>
      </c>
      <c r="H2102" s="302"/>
      <c r="I2102" s="302"/>
      <c r="J2102" s="351"/>
      <c r="K2102" s="328">
        <v>0</v>
      </c>
      <c r="L2102" s="310">
        <f>J2102*K2102</f>
        <v>0</v>
      </c>
    </row>
    <row r="2103" spans="5:13" ht="15" customHeight="1" thickBot="1">
      <c r="F2103" s="316"/>
      <c r="G2103" s="317"/>
      <c r="H2103" s="318"/>
      <c r="I2103" s="318"/>
      <c r="J2103" s="319" t="s">
        <v>192</v>
      </c>
      <c r="K2103" s="320"/>
      <c r="L2103" s="321">
        <f>L2102</f>
        <v>0</v>
      </c>
    </row>
    <row r="2104" spans="5:13" ht="15" customHeight="1">
      <c r="F2104" s="344" t="s">
        <v>193</v>
      </c>
      <c r="G2104" s="345" t="s">
        <v>194</v>
      </c>
      <c r="H2104" s="346"/>
      <c r="I2104" s="346"/>
      <c r="J2104" s="347"/>
      <c r="K2104" s="348">
        <v>0</v>
      </c>
      <c r="L2104" s="310">
        <f>SUM(L2093:L2103)/2</f>
        <v>40252.5</v>
      </c>
    </row>
    <row r="2105" spans="5:13" ht="15" customHeight="1" thickBot="1">
      <c r="F2105" s="331" t="s">
        <v>195</v>
      </c>
      <c r="G2105" s="332" t="s">
        <v>196</v>
      </c>
      <c r="H2105" s="333"/>
      <c r="I2105" s="333"/>
      <c r="J2105" s="350">
        <v>0.1</v>
      </c>
      <c r="K2105" s="335"/>
      <c r="L2105" s="330">
        <f>J2105*L2104</f>
        <v>4025.25</v>
      </c>
    </row>
    <row r="2106" spans="5:13" ht="15" customHeight="1" thickBot="1">
      <c r="F2106" s="340" t="s">
        <v>197</v>
      </c>
      <c r="G2106" s="341" t="s">
        <v>198</v>
      </c>
      <c r="H2106" s="318"/>
      <c r="I2106" s="318"/>
      <c r="J2106" s="342"/>
      <c r="K2106" s="320">
        <v>0</v>
      </c>
      <c r="L2106" s="321">
        <f>ROUNDDOWN(L2104+L2105,0)</f>
        <v>44277</v>
      </c>
    </row>
    <row r="2107" spans="5:13" ht="15" customHeight="1">
      <c r="F2107" s="298"/>
      <c r="G2107" s="298"/>
      <c r="J2107" s="343"/>
      <c r="K2107" s="355"/>
      <c r="L2107" s="299"/>
    </row>
    <row r="2108" spans="5:13" ht="15" customHeight="1" thickBot="1">
      <c r="E2108" s="356" t="s">
        <v>520</v>
      </c>
      <c r="F2108" s="295" t="s">
        <v>521</v>
      </c>
      <c r="J2108" s="343"/>
      <c r="M2108" s="299">
        <f>L2123</f>
        <v>32133</v>
      </c>
    </row>
    <row r="2109" spans="5:13" ht="15" customHeight="1" thickBot="1">
      <c r="F2109" s="340" t="s">
        <v>136</v>
      </c>
      <c r="G2109" s="341" t="s">
        <v>162</v>
      </c>
      <c r="H2109" s="352" t="s">
        <v>163</v>
      </c>
      <c r="I2109" s="352" t="s">
        <v>138</v>
      </c>
      <c r="J2109" s="353" t="s">
        <v>164</v>
      </c>
      <c r="K2109" s="341" t="s">
        <v>165</v>
      </c>
      <c r="L2109" s="354" t="s">
        <v>166</v>
      </c>
    </row>
    <row r="2110" spans="5:13" ht="15" customHeight="1">
      <c r="F2110" s="300" t="s">
        <v>167</v>
      </c>
      <c r="G2110" s="301" t="s">
        <v>168</v>
      </c>
      <c r="H2110" s="302"/>
      <c r="I2110" s="302"/>
      <c r="J2110" s="351"/>
      <c r="K2110" s="328"/>
      <c r="L2110" s="310"/>
    </row>
    <row r="2111" spans="5:13" ht="15" customHeight="1">
      <c r="F2111" s="306"/>
      <c r="G2111" s="301" t="s">
        <v>169</v>
      </c>
      <c r="H2111" s="307" t="s">
        <v>170</v>
      </c>
      <c r="I2111" s="307" t="s">
        <v>171</v>
      </c>
      <c r="J2111" s="308">
        <v>0.06</v>
      </c>
      <c r="K2111" s="309">
        <f>VLOOKUP(G2111,Upah,8,FALSE)</f>
        <v>125000</v>
      </c>
      <c r="L2111" s="310">
        <f>J2111*K2111</f>
        <v>7500</v>
      </c>
    </row>
    <row r="2112" spans="5:13" ht="15" customHeight="1">
      <c r="F2112" s="306"/>
      <c r="G2112" s="301" t="s">
        <v>517</v>
      </c>
      <c r="H2112" s="307" t="s">
        <v>518</v>
      </c>
      <c r="I2112" s="307" t="s">
        <v>171</v>
      </c>
      <c r="J2112" s="308">
        <v>0.06</v>
      </c>
      <c r="K2112" s="309">
        <f>VLOOKUP(G2112,Upah,8,FALSE)</f>
        <v>150000</v>
      </c>
      <c r="L2112" s="310">
        <f>J2112*K2112</f>
        <v>9000</v>
      </c>
    </row>
    <row r="2113" spans="5:13" ht="15" customHeight="1">
      <c r="F2113" s="306"/>
      <c r="G2113" s="301" t="s">
        <v>232</v>
      </c>
      <c r="H2113" s="307" t="s">
        <v>175</v>
      </c>
      <c r="I2113" s="307" t="s">
        <v>171</v>
      </c>
      <c r="J2113" s="308">
        <v>6.0000000000000001E-3</v>
      </c>
      <c r="K2113" s="309">
        <f>VLOOKUP(G2113,Upah,8,FALSE)</f>
        <v>165000</v>
      </c>
      <c r="L2113" s="310">
        <f>J2113*K2113</f>
        <v>990</v>
      </c>
    </row>
    <row r="2114" spans="5:13" ht="15" customHeight="1" thickBot="1">
      <c r="F2114" s="306"/>
      <c r="G2114" s="301" t="s">
        <v>176</v>
      </c>
      <c r="H2114" s="307" t="s">
        <v>177</v>
      </c>
      <c r="I2114" s="307" t="s">
        <v>171</v>
      </c>
      <c r="J2114" s="308">
        <v>3.0000000000000001E-3</v>
      </c>
      <c r="K2114" s="309">
        <f>VLOOKUP(G2114,Upah,8,FALSE)</f>
        <v>170000</v>
      </c>
      <c r="L2114" s="310">
        <f>J2114*K2114</f>
        <v>510</v>
      </c>
    </row>
    <row r="2115" spans="5:13" ht="15" customHeight="1" thickBot="1">
      <c r="F2115" s="316"/>
      <c r="G2115" s="317"/>
      <c r="H2115" s="318"/>
      <c r="I2115" s="318"/>
      <c r="J2115" s="319" t="s">
        <v>178</v>
      </c>
      <c r="K2115" s="320"/>
      <c r="L2115" s="321">
        <f>SUM(L2111:L2114)</f>
        <v>18000</v>
      </c>
    </row>
    <row r="2116" spans="5:13" ht="15" customHeight="1">
      <c r="F2116" s="300" t="s">
        <v>179</v>
      </c>
      <c r="G2116" s="301" t="s">
        <v>180</v>
      </c>
      <c r="H2116" s="302"/>
      <c r="I2116" s="302"/>
      <c r="J2116" s="351"/>
      <c r="K2116" s="328"/>
      <c r="L2116" s="310"/>
    </row>
    <row r="2117" spans="5:13" ht="15" customHeight="1" thickBot="1">
      <c r="F2117" s="306"/>
      <c r="G2117" s="301" t="s">
        <v>522</v>
      </c>
      <c r="H2117" s="302"/>
      <c r="I2117" s="307" t="s">
        <v>45</v>
      </c>
      <c r="J2117" s="308">
        <v>1.1499999999999999</v>
      </c>
      <c r="K2117" s="328">
        <f>VLOOKUP(G2117,Bahan,6,FALSE)</f>
        <v>9750</v>
      </c>
      <c r="L2117" s="310">
        <f>J2117*K2117</f>
        <v>11212.5</v>
      </c>
    </row>
    <row r="2118" spans="5:13" ht="15" customHeight="1" thickBot="1">
      <c r="F2118" s="316"/>
      <c r="G2118" s="317"/>
      <c r="H2118" s="318"/>
      <c r="I2118" s="318"/>
      <c r="J2118" s="319" t="s">
        <v>189</v>
      </c>
      <c r="K2118" s="320"/>
      <c r="L2118" s="321">
        <f>SUM(L2117)</f>
        <v>11212.5</v>
      </c>
    </row>
    <row r="2119" spans="5:13" ht="15" customHeight="1" thickBot="1">
      <c r="F2119" s="300" t="s">
        <v>190</v>
      </c>
      <c r="G2119" s="301" t="s">
        <v>191</v>
      </c>
      <c r="H2119" s="302"/>
      <c r="I2119" s="302"/>
      <c r="J2119" s="351"/>
      <c r="K2119" s="328"/>
      <c r="L2119" s="310"/>
    </row>
    <row r="2120" spans="5:13" ht="15" customHeight="1" thickBot="1">
      <c r="F2120" s="316"/>
      <c r="G2120" s="317"/>
      <c r="H2120" s="318"/>
      <c r="I2120" s="318"/>
      <c r="J2120" s="319" t="s">
        <v>192</v>
      </c>
      <c r="K2120" s="320"/>
      <c r="L2120" s="321">
        <f>L2119</f>
        <v>0</v>
      </c>
    </row>
    <row r="2121" spans="5:13" ht="15" customHeight="1">
      <c r="F2121" s="344" t="s">
        <v>193</v>
      </c>
      <c r="G2121" s="345" t="s">
        <v>194</v>
      </c>
      <c r="H2121" s="346"/>
      <c r="I2121" s="346"/>
      <c r="J2121" s="347"/>
      <c r="K2121" s="348">
        <v>0</v>
      </c>
      <c r="L2121" s="310">
        <f>SUM(L2110:L2120)/2</f>
        <v>29212.5</v>
      </c>
    </row>
    <row r="2122" spans="5:13" ht="15" customHeight="1" thickBot="1">
      <c r="F2122" s="331" t="s">
        <v>195</v>
      </c>
      <c r="G2122" s="332" t="s">
        <v>196</v>
      </c>
      <c r="H2122" s="333"/>
      <c r="I2122" s="333"/>
      <c r="J2122" s="350">
        <v>0.1</v>
      </c>
      <c r="K2122" s="335"/>
      <c r="L2122" s="330">
        <f>J2122*L2121</f>
        <v>2921.25</v>
      </c>
    </row>
    <row r="2123" spans="5:13" ht="15" customHeight="1" thickBot="1">
      <c r="F2123" s="340" t="s">
        <v>197</v>
      </c>
      <c r="G2123" s="341" t="s">
        <v>198</v>
      </c>
      <c r="H2123" s="318"/>
      <c r="I2123" s="318"/>
      <c r="J2123" s="342"/>
      <c r="K2123" s="320">
        <v>0</v>
      </c>
      <c r="L2123" s="321">
        <f>ROUNDDOWN(L2121+L2122,0)</f>
        <v>32133</v>
      </c>
    </row>
    <row r="2124" spans="5:13" ht="15" customHeight="1">
      <c r="F2124" s="298"/>
      <c r="G2124" s="298"/>
      <c r="J2124" s="343"/>
      <c r="K2124" s="355"/>
      <c r="L2124" s="299"/>
    </row>
    <row r="2125" spans="5:13" ht="15" customHeight="1" thickBot="1">
      <c r="E2125" s="356" t="s">
        <v>523</v>
      </c>
      <c r="F2125" s="295" t="s">
        <v>524</v>
      </c>
      <c r="J2125" s="343"/>
      <c r="M2125" s="299">
        <f>L2142</f>
        <v>44324</v>
      </c>
    </row>
    <row r="2126" spans="5:13" ht="15" customHeight="1" thickBot="1">
      <c r="F2126" s="340" t="s">
        <v>136</v>
      </c>
      <c r="G2126" s="341" t="s">
        <v>162</v>
      </c>
      <c r="H2126" s="352" t="s">
        <v>163</v>
      </c>
      <c r="I2126" s="352" t="s">
        <v>138</v>
      </c>
      <c r="J2126" s="353" t="s">
        <v>164</v>
      </c>
      <c r="K2126" s="341" t="s">
        <v>165</v>
      </c>
      <c r="L2126" s="354" t="s">
        <v>166</v>
      </c>
    </row>
    <row r="2127" spans="5:13" ht="15" customHeight="1">
      <c r="F2127" s="300" t="s">
        <v>167</v>
      </c>
      <c r="G2127" s="301" t="s">
        <v>168</v>
      </c>
      <c r="H2127" s="302"/>
      <c r="I2127" s="302"/>
      <c r="J2127" s="351"/>
      <c r="K2127" s="328"/>
      <c r="L2127" s="310"/>
    </row>
    <row r="2128" spans="5:13" ht="15" customHeight="1">
      <c r="F2128" s="306"/>
      <c r="G2128" s="301" t="s">
        <v>169</v>
      </c>
      <c r="H2128" s="307" t="s">
        <v>170</v>
      </c>
      <c r="I2128" s="307" t="s">
        <v>171</v>
      </c>
      <c r="J2128" s="308">
        <v>0.1</v>
      </c>
      <c r="K2128" s="309">
        <f>VLOOKUP(G2128,Upah,8,FALSE)</f>
        <v>125000</v>
      </c>
      <c r="L2128" s="310">
        <f>J2128*K2128</f>
        <v>12500</v>
      </c>
    </row>
    <row r="2129" spans="5:13" ht="15" customHeight="1">
      <c r="F2129" s="306"/>
      <c r="G2129" s="301" t="s">
        <v>525</v>
      </c>
      <c r="H2129" s="307" t="s">
        <v>526</v>
      </c>
      <c r="I2129" s="307" t="s">
        <v>171</v>
      </c>
      <c r="J2129" s="308">
        <v>0.1</v>
      </c>
      <c r="K2129" s="309">
        <f>VLOOKUP(G2129,Upah,8,FALSE)</f>
        <v>150000</v>
      </c>
      <c r="L2129" s="310">
        <f>J2129*K2129</f>
        <v>15000</v>
      </c>
    </row>
    <row r="2130" spans="5:13" ht="15" customHeight="1">
      <c r="F2130" s="306"/>
      <c r="G2130" s="301" t="s">
        <v>232</v>
      </c>
      <c r="H2130" s="307" t="s">
        <v>175</v>
      </c>
      <c r="I2130" s="307" t="s">
        <v>171</v>
      </c>
      <c r="J2130" s="308">
        <v>1E-3</v>
      </c>
      <c r="K2130" s="309">
        <f>VLOOKUP(G2130,Upah,8,FALSE)</f>
        <v>165000</v>
      </c>
      <c r="L2130" s="310">
        <f>J2130*K2130</f>
        <v>165</v>
      </c>
    </row>
    <row r="2131" spans="5:13" ht="15" customHeight="1" thickBot="1">
      <c r="F2131" s="306"/>
      <c r="G2131" s="301" t="s">
        <v>176</v>
      </c>
      <c r="H2131" s="307" t="s">
        <v>177</v>
      </c>
      <c r="I2131" s="307" t="s">
        <v>171</v>
      </c>
      <c r="J2131" s="308">
        <v>5.0000000000000001E-3</v>
      </c>
      <c r="K2131" s="309">
        <f>VLOOKUP(G2131,Upah,8,FALSE)</f>
        <v>170000</v>
      </c>
      <c r="L2131" s="310">
        <f>J2131*K2131</f>
        <v>850</v>
      </c>
    </row>
    <row r="2132" spans="5:13" ht="15" customHeight="1" thickBot="1">
      <c r="F2132" s="316"/>
      <c r="G2132" s="317"/>
      <c r="H2132" s="318"/>
      <c r="I2132" s="318"/>
      <c r="J2132" s="319" t="s">
        <v>178</v>
      </c>
      <c r="K2132" s="320"/>
      <c r="L2132" s="321">
        <f>SUM(L2128:L2131)</f>
        <v>28515</v>
      </c>
    </row>
    <row r="2133" spans="5:13" ht="15" customHeight="1">
      <c r="F2133" s="300" t="s">
        <v>179</v>
      </c>
      <c r="G2133" s="301" t="s">
        <v>180</v>
      </c>
      <c r="H2133" s="302"/>
      <c r="I2133" s="302"/>
      <c r="J2133" s="351"/>
      <c r="K2133" s="328"/>
      <c r="L2133" s="310"/>
    </row>
    <row r="2134" spans="5:13" ht="15" customHeight="1">
      <c r="F2134" s="306"/>
      <c r="G2134" s="301" t="s">
        <v>476</v>
      </c>
      <c r="H2134" s="302"/>
      <c r="I2134" s="307" t="s">
        <v>188</v>
      </c>
      <c r="J2134" s="308">
        <v>1</v>
      </c>
      <c r="K2134" s="328">
        <f>VLOOKUP(G2134,Bahan,6,FALSE)</f>
        <v>10540</v>
      </c>
      <c r="L2134" s="310">
        <f>J2134*K2134</f>
        <v>10540</v>
      </c>
    </row>
    <row r="2135" spans="5:13" ht="15" customHeight="1" thickBot="1">
      <c r="F2135" s="306"/>
      <c r="G2135" s="301" t="s">
        <v>527</v>
      </c>
      <c r="H2135" s="302"/>
      <c r="I2135" s="307" t="s">
        <v>188</v>
      </c>
      <c r="J2135" s="308">
        <v>0.1</v>
      </c>
      <c r="K2135" s="328">
        <f>VLOOKUP(G2135,Bahan,6,FALSE)</f>
        <v>12400</v>
      </c>
      <c r="L2135" s="310">
        <f>J2135*K2135</f>
        <v>1240</v>
      </c>
    </row>
    <row r="2136" spans="5:13" ht="15" customHeight="1" thickBot="1">
      <c r="F2136" s="316"/>
      <c r="G2136" s="317"/>
      <c r="H2136" s="318"/>
      <c r="I2136" s="318"/>
      <c r="J2136" s="319" t="s">
        <v>189</v>
      </c>
      <c r="K2136" s="320"/>
      <c r="L2136" s="321">
        <f>SUM(L2134:L2135)</f>
        <v>11780</v>
      </c>
    </row>
    <row r="2137" spans="5:13" ht="15" customHeight="1">
      <c r="F2137" s="300" t="s">
        <v>190</v>
      </c>
      <c r="G2137" s="301" t="s">
        <v>191</v>
      </c>
      <c r="H2137" s="302"/>
      <c r="I2137" s="302"/>
      <c r="J2137" s="351"/>
      <c r="K2137" s="328"/>
      <c r="L2137" s="310"/>
    </row>
    <row r="2138" spans="5:13" ht="15" customHeight="1" thickBot="1">
      <c r="F2138" s="306"/>
      <c r="G2138" s="301" t="s">
        <v>528</v>
      </c>
      <c r="H2138" s="302"/>
      <c r="I2138" s="307" t="s">
        <v>529</v>
      </c>
      <c r="J2138" s="308">
        <v>0.8</v>
      </c>
      <c r="K2138" s="328"/>
      <c r="L2138" s="310">
        <f>J2138*K2138</f>
        <v>0</v>
      </c>
    </row>
    <row r="2139" spans="5:13" ht="15" customHeight="1" thickBot="1">
      <c r="F2139" s="316"/>
      <c r="G2139" s="317"/>
      <c r="H2139" s="318"/>
      <c r="I2139" s="318"/>
      <c r="J2139" s="319" t="s">
        <v>192</v>
      </c>
      <c r="K2139" s="320"/>
      <c r="L2139" s="321">
        <f>L2138</f>
        <v>0</v>
      </c>
    </row>
    <row r="2140" spans="5:13" ht="15" customHeight="1">
      <c r="F2140" s="344" t="s">
        <v>193</v>
      </c>
      <c r="G2140" s="345" t="s">
        <v>194</v>
      </c>
      <c r="H2140" s="346"/>
      <c r="I2140" s="346"/>
      <c r="J2140" s="347"/>
      <c r="K2140" s="348">
        <v>0</v>
      </c>
      <c r="L2140" s="310">
        <f>SUM(L2127:L2139)/2</f>
        <v>40295</v>
      </c>
    </row>
    <row r="2141" spans="5:13" ht="15" customHeight="1" thickBot="1">
      <c r="F2141" s="331" t="s">
        <v>195</v>
      </c>
      <c r="G2141" s="332" t="s">
        <v>196</v>
      </c>
      <c r="H2141" s="333"/>
      <c r="I2141" s="333"/>
      <c r="J2141" s="350">
        <v>0.1</v>
      </c>
      <c r="K2141" s="335"/>
      <c r="L2141" s="330">
        <f>J2141*L2140</f>
        <v>4029.5</v>
      </c>
    </row>
    <row r="2142" spans="5:13" ht="15" customHeight="1" thickBot="1">
      <c r="F2142" s="340" t="s">
        <v>197</v>
      </c>
      <c r="G2142" s="341" t="s">
        <v>198</v>
      </c>
      <c r="H2142" s="318"/>
      <c r="I2142" s="318"/>
      <c r="J2142" s="342"/>
      <c r="K2142" s="320">
        <v>0</v>
      </c>
      <c r="L2142" s="321">
        <f>ROUNDDOWN(L2140+L2141,0)</f>
        <v>44324</v>
      </c>
    </row>
    <row r="2143" spans="5:13" ht="15" customHeight="1">
      <c r="F2143" s="298"/>
      <c r="G2143" s="298"/>
      <c r="J2143" s="343"/>
    </row>
    <row r="2144" spans="5:13" ht="15" customHeight="1" thickBot="1">
      <c r="E2144" s="356" t="s">
        <v>530</v>
      </c>
      <c r="F2144" s="295" t="s">
        <v>531</v>
      </c>
      <c r="J2144" s="343"/>
      <c r="M2144" s="299">
        <f>L2161</f>
        <v>1051403</v>
      </c>
    </row>
    <row r="2145" spans="6:12" ht="15" customHeight="1" thickBot="1">
      <c r="F2145" s="340" t="s">
        <v>136</v>
      </c>
      <c r="G2145" s="341" t="s">
        <v>162</v>
      </c>
      <c r="H2145" s="352" t="s">
        <v>163</v>
      </c>
      <c r="I2145" s="352" t="s">
        <v>138</v>
      </c>
      <c r="J2145" s="353" t="s">
        <v>164</v>
      </c>
      <c r="K2145" s="341" t="s">
        <v>165</v>
      </c>
      <c r="L2145" s="354" t="s">
        <v>166</v>
      </c>
    </row>
    <row r="2146" spans="6:12" ht="15" customHeight="1">
      <c r="F2146" s="300" t="s">
        <v>167</v>
      </c>
      <c r="G2146" s="301" t="s">
        <v>168</v>
      </c>
      <c r="H2146" s="302"/>
      <c r="I2146" s="302"/>
      <c r="J2146" s="351"/>
      <c r="K2146" s="328"/>
      <c r="L2146" s="310"/>
    </row>
    <row r="2147" spans="6:12" ht="15" customHeight="1">
      <c r="F2147" s="306"/>
      <c r="G2147" s="301" t="s">
        <v>169</v>
      </c>
      <c r="H2147" s="307" t="s">
        <v>170</v>
      </c>
      <c r="I2147" s="307" t="s">
        <v>171</v>
      </c>
      <c r="J2147" s="308">
        <v>1.05</v>
      </c>
      <c r="K2147" s="309">
        <f>VLOOKUP(G2147,Upah,8,FALSE)</f>
        <v>125000</v>
      </c>
      <c r="L2147" s="310">
        <f>J2147*K2147</f>
        <v>131250</v>
      </c>
    </row>
    <row r="2148" spans="6:12" ht="15" customHeight="1">
      <c r="F2148" s="306"/>
      <c r="G2148" s="301" t="s">
        <v>532</v>
      </c>
      <c r="H2148" s="307" t="s">
        <v>533</v>
      </c>
      <c r="I2148" s="307" t="s">
        <v>171</v>
      </c>
      <c r="J2148" s="308">
        <v>1.05</v>
      </c>
      <c r="K2148" s="309">
        <f>VLOOKUP(G2148,Upah,8,FALSE)</f>
        <v>150000</v>
      </c>
      <c r="L2148" s="310">
        <f>J2148*K2148</f>
        <v>157500</v>
      </c>
    </row>
    <row r="2149" spans="6:12" ht="15" customHeight="1">
      <c r="F2149" s="306"/>
      <c r="G2149" s="301" t="s">
        <v>232</v>
      </c>
      <c r="H2149" s="307" t="s">
        <v>175</v>
      </c>
      <c r="I2149" s="307" t="s">
        <v>171</v>
      </c>
      <c r="J2149" s="308">
        <v>0.105</v>
      </c>
      <c r="K2149" s="309">
        <f>VLOOKUP(G2149,Upah,8,FALSE)</f>
        <v>165000</v>
      </c>
      <c r="L2149" s="310">
        <f>J2149*K2149</f>
        <v>17325</v>
      </c>
    </row>
    <row r="2150" spans="6:12" ht="15" customHeight="1" thickBot="1">
      <c r="F2150" s="306"/>
      <c r="G2150" s="301" t="s">
        <v>176</v>
      </c>
      <c r="H2150" s="307" t="s">
        <v>177</v>
      </c>
      <c r="I2150" s="307" t="s">
        <v>171</v>
      </c>
      <c r="J2150" s="308">
        <v>5.1999999999999998E-2</v>
      </c>
      <c r="K2150" s="309">
        <f>VLOOKUP(G2150,Upah,8,FALSE)</f>
        <v>170000</v>
      </c>
      <c r="L2150" s="310">
        <f>J2150*K2150</f>
        <v>8840</v>
      </c>
    </row>
    <row r="2151" spans="6:12" ht="15" customHeight="1" thickBot="1">
      <c r="F2151" s="316"/>
      <c r="G2151" s="317"/>
      <c r="H2151" s="318"/>
      <c r="I2151" s="318"/>
      <c r="J2151" s="319" t="s">
        <v>178</v>
      </c>
      <c r="K2151" s="320"/>
      <c r="L2151" s="321">
        <f>SUM(L2147:L2150)</f>
        <v>314915</v>
      </c>
    </row>
    <row r="2152" spans="6:12" ht="15" customHeight="1">
      <c r="F2152" s="300" t="s">
        <v>179</v>
      </c>
      <c r="G2152" s="301" t="s">
        <v>180</v>
      </c>
      <c r="H2152" s="302"/>
      <c r="I2152" s="302"/>
      <c r="J2152" s="351"/>
      <c r="K2152" s="328"/>
      <c r="L2152" s="310"/>
    </row>
    <row r="2153" spans="6:12" ht="15" customHeight="1">
      <c r="F2153" s="306"/>
      <c r="G2153" s="301" t="s">
        <v>534</v>
      </c>
      <c r="H2153" s="302"/>
      <c r="I2153" s="307" t="s">
        <v>45</v>
      </c>
      <c r="J2153" s="308">
        <v>15</v>
      </c>
      <c r="K2153" s="328">
        <f>VLOOKUP(G2153,Bahan,6,FALSE)</f>
        <v>16890</v>
      </c>
      <c r="L2153" s="310">
        <f>J2153*K2153</f>
        <v>253350</v>
      </c>
    </row>
    <row r="2154" spans="6:12" ht="15" customHeight="1">
      <c r="F2154" s="306"/>
      <c r="G2154" s="301" t="s">
        <v>535</v>
      </c>
      <c r="H2154" s="302"/>
      <c r="I2154" s="307" t="s">
        <v>45</v>
      </c>
      <c r="J2154" s="308">
        <v>32.799999999999997</v>
      </c>
      <c r="K2154" s="328">
        <f>VLOOKUP(G2154,Bahan,6,FALSE)</f>
        <v>11730</v>
      </c>
      <c r="L2154" s="310">
        <f>J2154*K2154</f>
        <v>384743.99999999994</v>
      </c>
    </row>
    <row r="2155" spans="6:12" ht="15" customHeight="1" thickBot="1">
      <c r="F2155" s="306"/>
      <c r="G2155" s="301" t="s">
        <v>536</v>
      </c>
      <c r="H2155" s="302"/>
      <c r="I2155" s="307" t="s">
        <v>45</v>
      </c>
      <c r="J2155" s="308">
        <v>0.05</v>
      </c>
      <c r="K2155" s="328">
        <f>VLOOKUP(G2155,Bahan,6,FALSE)</f>
        <v>56250</v>
      </c>
      <c r="L2155" s="310">
        <f>J2155*K2155</f>
        <v>2812.5</v>
      </c>
    </row>
    <row r="2156" spans="6:12" ht="15" customHeight="1" thickBot="1">
      <c r="F2156" s="316"/>
      <c r="G2156" s="317"/>
      <c r="H2156" s="318"/>
      <c r="I2156" s="318"/>
      <c r="J2156" s="319" t="s">
        <v>189</v>
      </c>
      <c r="K2156" s="320"/>
      <c r="L2156" s="321">
        <f>SUM(L2153:L2155)</f>
        <v>640906.5</v>
      </c>
    </row>
    <row r="2157" spans="6:12" ht="15" customHeight="1" thickBot="1">
      <c r="F2157" s="300" t="s">
        <v>190</v>
      </c>
      <c r="G2157" s="301" t="s">
        <v>191</v>
      </c>
      <c r="H2157" s="302"/>
      <c r="I2157" s="302"/>
      <c r="J2157" s="351"/>
      <c r="K2157" s="328"/>
      <c r="L2157" s="310"/>
    </row>
    <row r="2158" spans="6:12" ht="15" customHeight="1" thickBot="1">
      <c r="F2158" s="316"/>
      <c r="G2158" s="317"/>
      <c r="H2158" s="318"/>
      <c r="I2158" s="318"/>
      <c r="J2158" s="319" t="s">
        <v>192</v>
      </c>
      <c r="K2158" s="320"/>
      <c r="L2158" s="321">
        <f>L2157</f>
        <v>0</v>
      </c>
    </row>
    <row r="2159" spans="6:12" ht="15" customHeight="1">
      <c r="F2159" s="344" t="s">
        <v>193</v>
      </c>
      <c r="G2159" s="345" t="s">
        <v>194</v>
      </c>
      <c r="H2159" s="346"/>
      <c r="I2159" s="346"/>
      <c r="J2159" s="347"/>
      <c r="K2159" s="348">
        <v>0</v>
      </c>
      <c r="L2159" s="310">
        <f>SUM(L2146:L2158)/2</f>
        <v>955821.5</v>
      </c>
    </row>
    <row r="2160" spans="6:12" ht="15" customHeight="1" thickBot="1">
      <c r="F2160" s="331" t="s">
        <v>195</v>
      </c>
      <c r="G2160" s="332" t="s">
        <v>196</v>
      </c>
      <c r="H2160" s="333"/>
      <c r="I2160" s="333"/>
      <c r="J2160" s="350">
        <v>0.1</v>
      </c>
      <c r="K2160" s="335"/>
      <c r="L2160" s="330">
        <f>J2160*L2159</f>
        <v>95582.150000000009</v>
      </c>
    </row>
    <row r="2161" spans="5:13" ht="15" customHeight="1" thickBot="1">
      <c r="F2161" s="340" t="s">
        <v>197</v>
      </c>
      <c r="G2161" s="341" t="s">
        <v>198</v>
      </c>
      <c r="H2161" s="318"/>
      <c r="I2161" s="318"/>
      <c r="J2161" s="342"/>
      <c r="K2161" s="320">
        <v>0</v>
      </c>
      <c r="L2161" s="321">
        <f>ROUNDDOWN(L2159+L2160,0)</f>
        <v>1051403</v>
      </c>
    </row>
    <row r="2162" spans="5:13" ht="15" customHeight="1">
      <c r="F2162" s="298"/>
      <c r="G2162" s="298"/>
      <c r="J2162" s="343"/>
      <c r="K2162" s="355"/>
      <c r="L2162" s="299"/>
    </row>
    <row r="2163" spans="5:13" ht="15" customHeight="1" thickBot="1">
      <c r="E2163" s="356" t="s">
        <v>537</v>
      </c>
      <c r="F2163" s="295" t="s">
        <v>538</v>
      </c>
      <c r="J2163" s="343"/>
      <c r="M2163" s="299">
        <f>L2181</f>
        <v>65766</v>
      </c>
    </row>
    <row r="2164" spans="5:13" ht="15" customHeight="1" thickBot="1">
      <c r="F2164" s="340" t="s">
        <v>136</v>
      </c>
      <c r="G2164" s="341" t="s">
        <v>162</v>
      </c>
      <c r="H2164" s="352" t="s">
        <v>163</v>
      </c>
      <c r="I2164" s="352" t="s">
        <v>138</v>
      </c>
      <c r="J2164" s="353" t="s">
        <v>164</v>
      </c>
      <c r="K2164" s="341" t="s">
        <v>165</v>
      </c>
      <c r="L2164" s="354" t="s">
        <v>166</v>
      </c>
    </row>
    <row r="2165" spans="5:13" ht="15" customHeight="1">
      <c r="F2165" s="300" t="s">
        <v>167</v>
      </c>
      <c r="G2165" s="301" t="s">
        <v>168</v>
      </c>
      <c r="H2165" s="302"/>
      <c r="I2165" s="302"/>
      <c r="J2165" s="351"/>
      <c r="K2165" s="328"/>
      <c r="L2165" s="310"/>
    </row>
    <row r="2166" spans="5:13" ht="15" customHeight="1">
      <c r="F2166" s="306"/>
      <c r="G2166" s="301" t="s">
        <v>169</v>
      </c>
      <c r="H2166" s="307" t="s">
        <v>170</v>
      </c>
      <c r="I2166" s="307" t="s">
        <v>171</v>
      </c>
      <c r="J2166" s="308">
        <v>0.04</v>
      </c>
      <c r="K2166" s="309">
        <f>VLOOKUP(G2166,Upah,8,FALSE)</f>
        <v>125000</v>
      </c>
      <c r="L2166" s="310">
        <f>J2166*K2166</f>
        <v>5000</v>
      </c>
    </row>
    <row r="2167" spans="5:13" ht="15" customHeight="1">
      <c r="F2167" s="306"/>
      <c r="G2167" s="301" t="s">
        <v>525</v>
      </c>
      <c r="H2167" s="307" t="s">
        <v>526</v>
      </c>
      <c r="I2167" s="307" t="s">
        <v>171</v>
      </c>
      <c r="J2167" s="308">
        <v>0.02</v>
      </c>
      <c r="K2167" s="309">
        <f>VLOOKUP(G2167,Upah,8,FALSE)</f>
        <v>150000</v>
      </c>
      <c r="L2167" s="310">
        <f>J2167*K2167</f>
        <v>3000</v>
      </c>
    </row>
    <row r="2168" spans="5:13" ht="15" customHeight="1">
      <c r="F2168" s="306"/>
      <c r="G2168" s="301" t="s">
        <v>232</v>
      </c>
      <c r="H2168" s="307" t="s">
        <v>175</v>
      </c>
      <c r="I2168" s="307" t="s">
        <v>171</v>
      </c>
      <c r="J2168" s="308">
        <v>2E-3</v>
      </c>
      <c r="K2168" s="309">
        <f>VLOOKUP(G2168,Upah,8,FALSE)</f>
        <v>165000</v>
      </c>
      <c r="L2168" s="310">
        <f>J2168*K2168</f>
        <v>330</v>
      </c>
    </row>
    <row r="2169" spans="5:13" ht="15" customHeight="1" thickBot="1">
      <c r="F2169" s="306"/>
      <c r="G2169" s="301" t="s">
        <v>176</v>
      </c>
      <c r="H2169" s="307" t="s">
        <v>177</v>
      </c>
      <c r="I2169" s="307" t="s">
        <v>171</v>
      </c>
      <c r="J2169" s="308">
        <v>2E-3</v>
      </c>
      <c r="K2169" s="309">
        <f>VLOOKUP(G2169,Upah,8,FALSE)</f>
        <v>170000</v>
      </c>
      <c r="L2169" s="310">
        <f>J2169*K2169</f>
        <v>340</v>
      </c>
    </row>
    <row r="2170" spans="5:13" ht="15" customHeight="1" thickBot="1">
      <c r="F2170" s="316"/>
      <c r="G2170" s="317"/>
      <c r="H2170" s="318"/>
      <c r="I2170" s="318"/>
      <c r="J2170" s="319" t="s">
        <v>178</v>
      </c>
      <c r="K2170" s="320"/>
      <c r="L2170" s="321">
        <f>SUM(L2166:L2169)</f>
        <v>8670</v>
      </c>
    </row>
    <row r="2171" spans="5:13" ht="15" customHeight="1">
      <c r="F2171" s="300" t="s">
        <v>179</v>
      </c>
      <c r="G2171" s="301" t="s">
        <v>180</v>
      </c>
      <c r="H2171" s="302"/>
      <c r="I2171" s="302"/>
      <c r="J2171" s="351"/>
      <c r="K2171" s="328"/>
      <c r="L2171" s="310"/>
    </row>
    <row r="2172" spans="5:13" ht="15" customHeight="1">
      <c r="F2172" s="306"/>
      <c r="G2172" s="301" t="s">
        <v>539</v>
      </c>
      <c r="H2172" s="302"/>
      <c r="I2172" s="307" t="s">
        <v>45</v>
      </c>
      <c r="J2172" s="308">
        <v>0.4</v>
      </c>
      <c r="K2172" s="328">
        <f>VLOOKUP(G2172,Bahan,6,FALSE)</f>
        <v>54900</v>
      </c>
      <c r="L2172" s="310">
        <f>J2172*K2172</f>
        <v>21960</v>
      </c>
    </row>
    <row r="2173" spans="5:13" ht="15" customHeight="1">
      <c r="F2173" s="306"/>
      <c r="G2173" s="301" t="s">
        <v>476</v>
      </c>
      <c r="H2173" s="302"/>
      <c r="I2173" s="307" t="s">
        <v>188</v>
      </c>
      <c r="J2173" s="308">
        <v>0.3</v>
      </c>
      <c r="K2173" s="328">
        <f>VLOOKUP(G2173,Bahan,6,FALSE)</f>
        <v>10540</v>
      </c>
      <c r="L2173" s="310">
        <f>J2173*K2173</f>
        <v>3162</v>
      </c>
    </row>
    <row r="2174" spans="5:13" ht="15" customHeight="1" thickBot="1">
      <c r="F2174" s="306"/>
      <c r="G2174" s="301" t="s">
        <v>527</v>
      </c>
      <c r="H2174" s="302"/>
      <c r="I2174" s="307" t="s">
        <v>188</v>
      </c>
      <c r="J2174" s="308">
        <v>0.04</v>
      </c>
      <c r="K2174" s="328">
        <f>VLOOKUP(G2174,Bahan,6,FALSE)</f>
        <v>12400</v>
      </c>
      <c r="L2174" s="310">
        <f>J2174*K2174</f>
        <v>496</v>
      </c>
    </row>
    <row r="2175" spans="5:13" ht="15" customHeight="1" thickBot="1">
      <c r="F2175" s="316"/>
      <c r="G2175" s="317"/>
      <c r="H2175" s="318"/>
      <c r="I2175" s="318"/>
      <c r="J2175" s="319" t="s">
        <v>189</v>
      </c>
      <c r="K2175" s="320"/>
      <c r="L2175" s="321">
        <f>SUM(L2172:L2174)</f>
        <v>25618</v>
      </c>
    </row>
    <row r="2176" spans="5:13" ht="15" customHeight="1">
      <c r="F2176" s="300" t="s">
        <v>190</v>
      </c>
      <c r="G2176" s="301" t="s">
        <v>191</v>
      </c>
      <c r="H2176" s="302"/>
      <c r="I2176" s="302"/>
      <c r="J2176" s="351"/>
      <c r="K2176" s="328"/>
      <c r="L2176" s="310"/>
    </row>
    <row r="2177" spans="5:13" ht="15" customHeight="1" thickBot="1">
      <c r="F2177" s="306"/>
      <c r="G2177" s="301" t="s">
        <v>540</v>
      </c>
      <c r="H2177" s="302"/>
      <c r="I2177" s="307" t="s">
        <v>529</v>
      </c>
      <c r="J2177" s="308">
        <v>0.17</v>
      </c>
      <c r="K2177" s="328">
        <f>VLOOKUP(G2177,Bahan,6,FALSE)</f>
        <v>150000</v>
      </c>
      <c r="L2177" s="310">
        <f>J2177*K2177</f>
        <v>25500.000000000004</v>
      </c>
    </row>
    <row r="2178" spans="5:13" ht="15" customHeight="1" thickBot="1">
      <c r="F2178" s="316"/>
      <c r="G2178" s="317"/>
      <c r="H2178" s="318"/>
      <c r="I2178" s="318"/>
      <c r="J2178" s="319" t="s">
        <v>192</v>
      </c>
      <c r="K2178" s="320"/>
      <c r="L2178" s="321">
        <f>L2177</f>
        <v>25500.000000000004</v>
      </c>
    </row>
    <row r="2179" spans="5:13" ht="15" customHeight="1">
      <c r="F2179" s="344" t="s">
        <v>193</v>
      </c>
      <c r="G2179" s="345" t="s">
        <v>194</v>
      </c>
      <c r="H2179" s="346"/>
      <c r="I2179" s="346"/>
      <c r="J2179" s="347"/>
      <c r="K2179" s="348">
        <v>0</v>
      </c>
      <c r="L2179" s="310">
        <f>SUM(L2166:L2178)/2</f>
        <v>59788</v>
      </c>
    </row>
    <row r="2180" spans="5:13" ht="15" customHeight="1" thickBot="1">
      <c r="F2180" s="331" t="s">
        <v>195</v>
      </c>
      <c r="G2180" s="332" t="s">
        <v>196</v>
      </c>
      <c r="H2180" s="333"/>
      <c r="I2180" s="333"/>
      <c r="J2180" s="350">
        <v>0.1</v>
      </c>
      <c r="K2180" s="335"/>
      <c r="L2180" s="330">
        <f>J2180*L2179</f>
        <v>5978.8</v>
      </c>
    </row>
    <row r="2181" spans="5:13" ht="15" customHeight="1" thickBot="1">
      <c r="F2181" s="340" t="s">
        <v>197</v>
      </c>
      <c r="G2181" s="341" t="s">
        <v>198</v>
      </c>
      <c r="H2181" s="318"/>
      <c r="I2181" s="318"/>
      <c r="J2181" s="342"/>
      <c r="K2181" s="320">
        <v>0</v>
      </c>
      <c r="L2181" s="321">
        <f>ROUNDDOWN(L2179+L2180,0)</f>
        <v>65766</v>
      </c>
    </row>
    <row r="2182" spans="5:13" ht="15" customHeight="1">
      <c r="F2182" s="298"/>
      <c r="G2182" s="298"/>
      <c r="J2182" s="343"/>
      <c r="K2182" s="355"/>
      <c r="L2182" s="299">
        <f>L2181/10</f>
        <v>6576.6</v>
      </c>
    </row>
    <row r="2183" spans="5:13" ht="15" customHeight="1" thickBot="1">
      <c r="E2183" s="356" t="s">
        <v>541</v>
      </c>
      <c r="F2183" s="295" t="s">
        <v>542</v>
      </c>
      <c r="J2183" s="343"/>
      <c r="M2183" s="299">
        <f>L2200</f>
        <v>1976831</v>
      </c>
    </row>
    <row r="2184" spans="5:13" ht="15" customHeight="1" thickBot="1">
      <c r="F2184" s="340" t="s">
        <v>136</v>
      </c>
      <c r="G2184" s="341" t="s">
        <v>162</v>
      </c>
      <c r="H2184" s="352" t="s">
        <v>163</v>
      </c>
      <c r="I2184" s="352" t="s">
        <v>138</v>
      </c>
      <c r="J2184" s="353" t="s">
        <v>164</v>
      </c>
      <c r="K2184" s="341" t="s">
        <v>165</v>
      </c>
      <c r="L2184" s="354" t="s">
        <v>166</v>
      </c>
    </row>
    <row r="2185" spans="5:13" ht="15" customHeight="1">
      <c r="F2185" s="300" t="s">
        <v>167</v>
      </c>
      <c r="G2185" s="301" t="s">
        <v>168</v>
      </c>
      <c r="H2185" s="302"/>
      <c r="I2185" s="302"/>
      <c r="J2185" s="351"/>
      <c r="K2185" s="328"/>
      <c r="L2185" s="310"/>
    </row>
    <row r="2186" spans="5:13" ht="15" customHeight="1">
      <c r="F2186" s="306"/>
      <c r="G2186" s="301" t="s">
        <v>169</v>
      </c>
      <c r="H2186" s="307" t="s">
        <v>170</v>
      </c>
      <c r="I2186" s="307" t="s">
        <v>171</v>
      </c>
      <c r="J2186" s="308">
        <v>0.65</v>
      </c>
      <c r="K2186" s="309">
        <f>VLOOKUP(G2186,Upah,8,FALSE)</f>
        <v>125000</v>
      </c>
      <c r="L2186" s="310">
        <f>J2186*K2186</f>
        <v>81250</v>
      </c>
    </row>
    <row r="2187" spans="5:13" ht="15" customHeight="1">
      <c r="F2187" s="306"/>
      <c r="G2187" s="301" t="s">
        <v>532</v>
      </c>
      <c r="H2187" s="307" t="s">
        <v>533</v>
      </c>
      <c r="I2187" s="307" t="s">
        <v>171</v>
      </c>
      <c r="J2187" s="308">
        <v>0.65</v>
      </c>
      <c r="K2187" s="309">
        <f>VLOOKUP(G2187,Upah,8,FALSE)</f>
        <v>150000</v>
      </c>
      <c r="L2187" s="310">
        <f>J2187*K2187</f>
        <v>97500</v>
      </c>
    </row>
    <row r="2188" spans="5:13" ht="15" customHeight="1">
      <c r="F2188" s="306"/>
      <c r="G2188" s="301" t="s">
        <v>232</v>
      </c>
      <c r="H2188" s="307" t="s">
        <v>175</v>
      </c>
      <c r="I2188" s="307" t="s">
        <v>171</v>
      </c>
      <c r="J2188" s="308">
        <v>6.5000000000000002E-2</v>
      </c>
      <c r="K2188" s="309">
        <f>VLOOKUP(G2188,Upah,8,FALSE)</f>
        <v>165000</v>
      </c>
      <c r="L2188" s="310">
        <f>J2188*K2188</f>
        <v>10725</v>
      </c>
    </row>
    <row r="2189" spans="5:13" ht="15" customHeight="1" thickBot="1">
      <c r="F2189" s="306"/>
      <c r="G2189" s="301" t="s">
        <v>176</v>
      </c>
      <c r="H2189" s="307" t="s">
        <v>177</v>
      </c>
      <c r="I2189" s="307" t="s">
        <v>171</v>
      </c>
      <c r="J2189" s="308">
        <v>3.2000000000000001E-2</v>
      </c>
      <c r="K2189" s="309">
        <f>VLOOKUP(G2189,Upah,8,FALSE)</f>
        <v>170000</v>
      </c>
      <c r="L2189" s="310">
        <f>J2189*K2189</f>
        <v>5440</v>
      </c>
    </row>
    <row r="2190" spans="5:13" ht="15" customHeight="1" thickBot="1">
      <c r="F2190" s="316"/>
      <c r="G2190" s="317"/>
      <c r="H2190" s="318"/>
      <c r="I2190" s="318"/>
      <c r="J2190" s="319" t="s">
        <v>178</v>
      </c>
      <c r="K2190" s="320"/>
      <c r="L2190" s="321">
        <f>SUM(L2186:L2189)</f>
        <v>194915</v>
      </c>
    </row>
    <row r="2191" spans="5:13" ht="15" customHeight="1">
      <c r="F2191" s="300" t="s">
        <v>179</v>
      </c>
      <c r="G2191" s="301" t="s">
        <v>180</v>
      </c>
      <c r="H2191" s="302"/>
      <c r="I2191" s="302"/>
      <c r="J2191" s="351"/>
      <c r="K2191" s="328"/>
      <c r="L2191" s="310"/>
    </row>
    <row r="2192" spans="5:13" ht="15" customHeight="1">
      <c r="F2192" s="306"/>
      <c r="G2192" s="301" t="s">
        <v>543</v>
      </c>
      <c r="H2192" s="302"/>
      <c r="I2192" s="307" t="s">
        <v>33</v>
      </c>
      <c r="J2192" s="308">
        <v>4.76</v>
      </c>
      <c r="K2192" s="328">
        <f>VLOOKUP(G2192,Bahan,6,FALSE)</f>
        <v>33660</v>
      </c>
      <c r="L2192" s="310">
        <f>J2192*K2192</f>
        <v>160221.6</v>
      </c>
    </row>
    <row r="2193" spans="5:13" ht="15" customHeight="1">
      <c r="F2193" s="306"/>
      <c r="G2193" s="301" t="s">
        <v>544</v>
      </c>
      <c r="H2193" s="302"/>
      <c r="I2193" s="307" t="s">
        <v>33</v>
      </c>
      <c r="J2193" s="308">
        <v>4.5220000000000002</v>
      </c>
      <c r="K2193" s="328">
        <f>VLOOKUP(G2193,Bahan,6,FALSE)</f>
        <v>54450</v>
      </c>
      <c r="L2193" s="310">
        <f>J2193*K2193</f>
        <v>246222.90000000002</v>
      </c>
    </row>
    <row r="2194" spans="5:13" ht="15" customHeight="1" thickBot="1">
      <c r="F2194" s="306"/>
      <c r="G2194" s="301" t="s">
        <v>545</v>
      </c>
      <c r="H2194" s="302"/>
      <c r="I2194" s="307" t="s">
        <v>546</v>
      </c>
      <c r="J2194" s="308">
        <v>20</v>
      </c>
      <c r="K2194" s="328">
        <f>L2179</f>
        <v>59788</v>
      </c>
      <c r="L2194" s="310">
        <f>J2194*K2194</f>
        <v>1195760</v>
      </c>
    </row>
    <row r="2195" spans="5:13" ht="15" customHeight="1" thickBot="1">
      <c r="F2195" s="316"/>
      <c r="G2195" s="317"/>
      <c r="H2195" s="318"/>
      <c r="I2195" s="318"/>
      <c r="J2195" s="319" t="s">
        <v>189</v>
      </c>
      <c r="K2195" s="320"/>
      <c r="L2195" s="321">
        <f>SUM(L2192:L2194)</f>
        <v>1602204.5</v>
      </c>
    </row>
    <row r="2196" spans="5:13" ht="15" customHeight="1" thickBot="1">
      <c r="F2196" s="300" t="s">
        <v>190</v>
      </c>
      <c r="G2196" s="301" t="s">
        <v>191</v>
      </c>
      <c r="H2196" s="302"/>
      <c r="I2196" s="302"/>
      <c r="J2196" s="351"/>
      <c r="K2196" s="328"/>
      <c r="L2196" s="310"/>
    </row>
    <row r="2197" spans="5:13" ht="15" customHeight="1" thickBot="1">
      <c r="F2197" s="316"/>
      <c r="G2197" s="317"/>
      <c r="H2197" s="318"/>
      <c r="I2197" s="318"/>
      <c r="J2197" s="319" t="s">
        <v>192</v>
      </c>
      <c r="K2197" s="320"/>
      <c r="L2197" s="321">
        <f>L2196</f>
        <v>0</v>
      </c>
    </row>
    <row r="2198" spans="5:13" ht="15" customHeight="1">
      <c r="F2198" s="344" t="s">
        <v>193</v>
      </c>
      <c r="G2198" s="345" t="s">
        <v>194</v>
      </c>
      <c r="H2198" s="346"/>
      <c r="I2198" s="346"/>
      <c r="J2198" s="347"/>
      <c r="K2198" s="348">
        <v>0</v>
      </c>
      <c r="L2198" s="310">
        <f>SUM(L2185:L2197)/2</f>
        <v>1797119.5</v>
      </c>
    </row>
    <row r="2199" spans="5:13" ht="15" customHeight="1" thickBot="1">
      <c r="F2199" s="331" t="s">
        <v>195</v>
      </c>
      <c r="G2199" s="332" t="s">
        <v>196</v>
      </c>
      <c r="H2199" s="333"/>
      <c r="I2199" s="333"/>
      <c r="J2199" s="350">
        <v>0.1</v>
      </c>
      <c r="K2199" s="335"/>
      <c r="L2199" s="330">
        <f>J2199*L2198</f>
        <v>179711.95</v>
      </c>
    </row>
    <row r="2200" spans="5:13" ht="15" customHeight="1" thickBot="1">
      <c r="F2200" s="340" t="s">
        <v>197</v>
      </c>
      <c r="G2200" s="341" t="s">
        <v>198</v>
      </c>
      <c r="H2200" s="318"/>
      <c r="I2200" s="318"/>
      <c r="J2200" s="342"/>
      <c r="K2200" s="320">
        <v>0</v>
      </c>
      <c r="L2200" s="321">
        <f>ROUNDDOWN(L2198+L2199,0)</f>
        <v>1976831</v>
      </c>
    </row>
    <row r="2201" spans="5:13" ht="15" customHeight="1">
      <c r="F2201" s="298"/>
      <c r="G2201" s="298"/>
      <c r="J2201" s="343"/>
    </row>
    <row r="2202" spans="5:13" ht="15" customHeight="1" thickBot="1">
      <c r="E2202" s="356" t="s">
        <v>547</v>
      </c>
      <c r="F2202" s="295" t="s">
        <v>548</v>
      </c>
      <c r="J2202" s="343"/>
      <c r="M2202" s="299">
        <f>L2217</f>
        <v>1130052</v>
      </c>
    </row>
    <row r="2203" spans="5:13" ht="15" customHeight="1" thickBot="1">
      <c r="F2203" s="340" t="s">
        <v>136</v>
      </c>
      <c r="G2203" s="341" t="s">
        <v>162</v>
      </c>
      <c r="H2203" s="352" t="s">
        <v>163</v>
      </c>
      <c r="I2203" s="352" t="s">
        <v>138</v>
      </c>
      <c r="J2203" s="353" t="s">
        <v>164</v>
      </c>
      <c r="K2203" s="341" t="s">
        <v>165</v>
      </c>
      <c r="L2203" s="354" t="s">
        <v>166</v>
      </c>
    </row>
    <row r="2204" spans="5:13" ht="15" customHeight="1">
      <c r="F2204" s="300" t="s">
        <v>167</v>
      </c>
      <c r="G2204" s="301" t="s">
        <v>168</v>
      </c>
      <c r="H2204" s="302"/>
      <c r="I2204" s="302"/>
      <c r="J2204" s="351"/>
      <c r="K2204" s="328"/>
      <c r="L2204" s="310"/>
    </row>
    <row r="2205" spans="5:13" ht="15" customHeight="1">
      <c r="F2205" s="306"/>
      <c r="G2205" s="301" t="s">
        <v>169</v>
      </c>
      <c r="H2205" s="307" t="s">
        <v>170</v>
      </c>
      <c r="I2205" s="307" t="s">
        <v>171</v>
      </c>
      <c r="J2205" s="308">
        <v>1.2</v>
      </c>
      <c r="K2205" s="309">
        <f>VLOOKUP(G2205,Upah,8,FALSE)</f>
        <v>125000</v>
      </c>
      <c r="L2205" s="310">
        <f>J2205*K2205</f>
        <v>150000</v>
      </c>
    </row>
    <row r="2206" spans="5:13" ht="15" customHeight="1">
      <c r="F2206" s="306"/>
      <c r="G2206" s="301" t="s">
        <v>532</v>
      </c>
      <c r="H2206" s="307" t="s">
        <v>533</v>
      </c>
      <c r="I2206" s="307" t="s">
        <v>171</v>
      </c>
      <c r="J2206" s="308">
        <v>1.2</v>
      </c>
      <c r="K2206" s="309">
        <f>VLOOKUP(G2206,Upah,8,FALSE)</f>
        <v>150000</v>
      </c>
      <c r="L2206" s="310">
        <f>J2206*K2206</f>
        <v>180000</v>
      </c>
    </row>
    <row r="2207" spans="5:13" ht="15" customHeight="1">
      <c r="F2207" s="306"/>
      <c r="G2207" s="301" t="s">
        <v>232</v>
      </c>
      <c r="H2207" s="307" t="s">
        <v>175</v>
      </c>
      <c r="I2207" s="307" t="s">
        <v>171</v>
      </c>
      <c r="J2207" s="308">
        <v>0.12</v>
      </c>
      <c r="K2207" s="309">
        <f>VLOOKUP(G2207,Upah,8,FALSE)</f>
        <v>165000</v>
      </c>
      <c r="L2207" s="310">
        <f>J2207*K2207</f>
        <v>19800</v>
      </c>
    </row>
    <row r="2208" spans="5:13" ht="15" customHeight="1" thickBot="1">
      <c r="F2208" s="306"/>
      <c r="G2208" s="301" t="s">
        <v>176</v>
      </c>
      <c r="H2208" s="307" t="s">
        <v>177</v>
      </c>
      <c r="I2208" s="307" t="s">
        <v>171</v>
      </c>
      <c r="J2208" s="308">
        <v>6.0000000000000001E-3</v>
      </c>
      <c r="K2208" s="309">
        <f>VLOOKUP(G2208,Upah,8,FALSE)</f>
        <v>170000</v>
      </c>
      <c r="L2208" s="310">
        <f>J2208*K2208</f>
        <v>1020</v>
      </c>
    </row>
    <row r="2209" spans="5:13" ht="15" customHeight="1" thickBot="1">
      <c r="F2209" s="316"/>
      <c r="G2209" s="317"/>
      <c r="H2209" s="318"/>
      <c r="I2209" s="318"/>
      <c r="J2209" s="319" t="s">
        <v>178</v>
      </c>
      <c r="K2209" s="320"/>
      <c r="L2209" s="321">
        <f>SUM(L2205:L2208)</f>
        <v>350820</v>
      </c>
    </row>
    <row r="2210" spans="5:13" ht="15" customHeight="1">
      <c r="F2210" s="300" t="s">
        <v>179</v>
      </c>
      <c r="G2210" s="301" t="s">
        <v>180</v>
      </c>
      <c r="H2210" s="302"/>
      <c r="I2210" s="302"/>
      <c r="J2210" s="351"/>
      <c r="K2210" s="328"/>
      <c r="L2210" s="310"/>
    </row>
    <row r="2211" spans="5:13" ht="15" customHeight="1" thickBot="1">
      <c r="F2211" s="306"/>
      <c r="G2211" s="301" t="s">
        <v>549</v>
      </c>
      <c r="H2211" s="302"/>
      <c r="I2211" s="307" t="s">
        <v>23</v>
      </c>
      <c r="J2211" s="308">
        <v>1</v>
      </c>
      <c r="K2211" s="328">
        <f>VLOOKUP(G2211,Bahan,6,FALSE)</f>
        <v>676500</v>
      </c>
      <c r="L2211" s="310">
        <f>J2211*K2211</f>
        <v>676500</v>
      </c>
    </row>
    <row r="2212" spans="5:13" ht="15" customHeight="1" thickBot="1">
      <c r="F2212" s="316"/>
      <c r="G2212" s="317"/>
      <c r="H2212" s="318"/>
      <c r="I2212" s="318"/>
      <c r="J2212" s="319" t="s">
        <v>189</v>
      </c>
      <c r="K2212" s="320"/>
      <c r="L2212" s="321">
        <f>SUM(L2211)</f>
        <v>676500</v>
      </c>
    </row>
    <row r="2213" spans="5:13" ht="15" customHeight="1" thickBot="1">
      <c r="F2213" s="300" t="s">
        <v>190</v>
      </c>
      <c r="G2213" s="301" t="s">
        <v>191</v>
      </c>
      <c r="H2213" s="302"/>
      <c r="I2213" s="302"/>
      <c r="J2213" s="351"/>
      <c r="K2213" s="328"/>
      <c r="L2213" s="310"/>
    </row>
    <row r="2214" spans="5:13" ht="15" customHeight="1" thickBot="1">
      <c r="F2214" s="316"/>
      <c r="G2214" s="317"/>
      <c r="H2214" s="318"/>
      <c r="I2214" s="318"/>
      <c r="J2214" s="319" t="s">
        <v>192</v>
      </c>
      <c r="K2214" s="320"/>
      <c r="L2214" s="321">
        <f>L2213</f>
        <v>0</v>
      </c>
    </row>
    <row r="2215" spans="5:13" ht="15" customHeight="1">
      <c r="F2215" s="344" t="s">
        <v>193</v>
      </c>
      <c r="G2215" s="345" t="s">
        <v>194</v>
      </c>
      <c r="H2215" s="346"/>
      <c r="I2215" s="346"/>
      <c r="J2215" s="347"/>
      <c r="K2215" s="348">
        <v>0</v>
      </c>
      <c r="L2215" s="310">
        <f>SUM(L2202:L2214)/2</f>
        <v>1027320</v>
      </c>
    </row>
    <row r="2216" spans="5:13" ht="15" customHeight="1" thickBot="1">
      <c r="F2216" s="331" t="s">
        <v>195</v>
      </c>
      <c r="G2216" s="332" t="s">
        <v>196</v>
      </c>
      <c r="H2216" s="333"/>
      <c r="I2216" s="333"/>
      <c r="J2216" s="350">
        <v>0.1</v>
      </c>
      <c r="K2216" s="335"/>
      <c r="L2216" s="330">
        <f>J2216*L2215</f>
        <v>102732</v>
      </c>
    </row>
    <row r="2217" spans="5:13" ht="15" customHeight="1" thickBot="1">
      <c r="F2217" s="340" t="s">
        <v>197</v>
      </c>
      <c r="G2217" s="341" t="s">
        <v>198</v>
      </c>
      <c r="H2217" s="318"/>
      <c r="I2217" s="318"/>
      <c r="J2217" s="342"/>
      <c r="K2217" s="320">
        <v>0</v>
      </c>
      <c r="L2217" s="321">
        <f>ROUNDDOWN(L2215+L2216,0)</f>
        <v>1130052</v>
      </c>
    </row>
    <row r="2218" spans="5:13" ht="15" customHeight="1">
      <c r="F2218" s="298"/>
      <c r="G2218" s="298"/>
      <c r="J2218" s="343"/>
    </row>
    <row r="2219" spans="5:13" ht="15" customHeight="1" thickBot="1">
      <c r="E2219" s="356" t="s">
        <v>550</v>
      </c>
      <c r="F2219" s="295" t="s">
        <v>551</v>
      </c>
      <c r="J2219" s="343"/>
      <c r="M2219" s="299">
        <f>L2234</f>
        <v>838200</v>
      </c>
    </row>
    <row r="2220" spans="5:13" ht="15" customHeight="1" thickBot="1">
      <c r="F2220" s="340" t="s">
        <v>136</v>
      </c>
      <c r="G2220" s="341" t="s">
        <v>162</v>
      </c>
      <c r="H2220" s="352" t="s">
        <v>163</v>
      </c>
      <c r="I2220" s="352" t="s">
        <v>138</v>
      </c>
      <c r="J2220" s="353" t="s">
        <v>164</v>
      </c>
      <c r="K2220" s="341" t="s">
        <v>165</v>
      </c>
      <c r="L2220" s="354" t="s">
        <v>166</v>
      </c>
    </row>
    <row r="2221" spans="5:13" ht="15" customHeight="1">
      <c r="F2221" s="300" t="s">
        <v>167</v>
      </c>
      <c r="G2221" s="301" t="s">
        <v>168</v>
      </c>
      <c r="H2221" s="302"/>
      <c r="I2221" s="302"/>
      <c r="J2221" s="351"/>
      <c r="K2221" s="328"/>
      <c r="L2221" s="310"/>
    </row>
    <row r="2222" spans="5:13" ht="15" customHeight="1">
      <c r="F2222" s="306"/>
      <c r="G2222" s="301" t="s">
        <v>169</v>
      </c>
      <c r="H2222" s="307" t="s">
        <v>170</v>
      </c>
      <c r="I2222" s="307" t="s">
        <v>171</v>
      </c>
      <c r="J2222" s="308">
        <v>0.44</v>
      </c>
      <c r="K2222" s="309">
        <f>VLOOKUP(G2222,Upah,8,FALSE)</f>
        <v>125000</v>
      </c>
      <c r="L2222" s="310">
        <f>J2222*K2222</f>
        <v>55000</v>
      </c>
    </row>
    <row r="2223" spans="5:13" ht="15" customHeight="1">
      <c r="F2223" s="306"/>
      <c r="G2223" s="301" t="s">
        <v>258</v>
      </c>
      <c r="H2223" s="307" t="s">
        <v>259</v>
      </c>
      <c r="I2223" s="307" t="s">
        <v>171</v>
      </c>
      <c r="J2223" s="308">
        <v>0.44</v>
      </c>
      <c r="K2223" s="309">
        <f>VLOOKUP(G2223,Upah,8,FALSE)</f>
        <v>150000</v>
      </c>
      <c r="L2223" s="310">
        <f>J2223*K2223</f>
        <v>66000</v>
      </c>
    </row>
    <row r="2224" spans="5:13" ht="15" customHeight="1">
      <c r="F2224" s="306"/>
      <c r="G2224" s="301" t="s">
        <v>232</v>
      </c>
      <c r="H2224" s="307" t="s">
        <v>175</v>
      </c>
      <c r="I2224" s="307" t="s">
        <v>171</v>
      </c>
      <c r="J2224" s="308">
        <v>4.3999999999999997E-2</v>
      </c>
      <c r="K2224" s="309">
        <f>VLOOKUP(G2224,Upah,8,FALSE)</f>
        <v>165000</v>
      </c>
      <c r="L2224" s="310">
        <f>J2224*K2224</f>
        <v>7260</v>
      </c>
    </row>
    <row r="2225" spans="5:13" ht="15" customHeight="1" thickBot="1">
      <c r="F2225" s="306"/>
      <c r="G2225" s="301" t="s">
        <v>176</v>
      </c>
      <c r="H2225" s="307" t="s">
        <v>177</v>
      </c>
      <c r="I2225" s="307" t="s">
        <v>171</v>
      </c>
      <c r="J2225" s="308">
        <v>2.1999999999999999E-2</v>
      </c>
      <c r="K2225" s="309">
        <f>VLOOKUP(G2225,Upah,8,FALSE)</f>
        <v>170000</v>
      </c>
      <c r="L2225" s="310">
        <f>J2225*K2225</f>
        <v>3740</v>
      </c>
    </row>
    <row r="2226" spans="5:13" ht="15" customHeight="1" thickBot="1">
      <c r="F2226" s="316"/>
      <c r="G2226" s="317"/>
      <c r="H2226" s="318"/>
      <c r="I2226" s="318"/>
      <c r="J2226" s="319" t="s">
        <v>178</v>
      </c>
      <c r="K2226" s="320"/>
      <c r="L2226" s="321">
        <f>SUM(L2222:L2225)</f>
        <v>132000</v>
      </c>
    </row>
    <row r="2227" spans="5:13" ht="15" customHeight="1">
      <c r="F2227" s="300" t="s">
        <v>179</v>
      </c>
      <c r="G2227" s="301" t="s">
        <v>180</v>
      </c>
      <c r="H2227" s="302"/>
      <c r="I2227" s="302"/>
      <c r="J2227" s="351"/>
      <c r="K2227" s="328"/>
      <c r="L2227" s="310"/>
    </row>
    <row r="2228" spans="5:13" ht="15" customHeight="1" thickBot="1">
      <c r="F2228" s="306"/>
      <c r="G2228" s="397" t="s">
        <v>552</v>
      </c>
      <c r="H2228" s="398"/>
      <c r="I2228" s="399" t="s">
        <v>23</v>
      </c>
      <c r="J2228" s="400">
        <v>1</v>
      </c>
      <c r="K2228" s="328">
        <f>VLOOKUP(G2228,Bahan,6,FALSE)</f>
        <v>630000</v>
      </c>
      <c r="L2228" s="310">
        <f>J2228*K2228</f>
        <v>630000</v>
      </c>
    </row>
    <row r="2229" spans="5:13" ht="15" customHeight="1" thickBot="1">
      <c r="F2229" s="316"/>
      <c r="G2229" s="317"/>
      <c r="H2229" s="318"/>
      <c r="I2229" s="318"/>
      <c r="J2229" s="319" t="s">
        <v>189</v>
      </c>
      <c r="K2229" s="320"/>
      <c r="L2229" s="321">
        <f>SUM(L2228)</f>
        <v>630000</v>
      </c>
    </row>
    <row r="2230" spans="5:13" ht="15" customHeight="1" thickBot="1">
      <c r="F2230" s="300" t="s">
        <v>190</v>
      </c>
      <c r="G2230" s="301" t="s">
        <v>191</v>
      </c>
      <c r="H2230" s="302"/>
      <c r="I2230" s="302"/>
      <c r="J2230" s="351"/>
      <c r="K2230" s="328">
        <v>0</v>
      </c>
      <c r="L2230" s="310">
        <f>J2230*K2230</f>
        <v>0</v>
      </c>
    </row>
    <row r="2231" spans="5:13" ht="15" customHeight="1" thickBot="1">
      <c r="F2231" s="316"/>
      <c r="G2231" s="317"/>
      <c r="H2231" s="318"/>
      <c r="I2231" s="318"/>
      <c r="J2231" s="319" t="s">
        <v>192</v>
      </c>
      <c r="K2231" s="320"/>
      <c r="L2231" s="321">
        <f>L2230</f>
        <v>0</v>
      </c>
    </row>
    <row r="2232" spans="5:13" ht="15" customHeight="1">
      <c r="F2232" s="344" t="s">
        <v>193</v>
      </c>
      <c r="G2232" s="345" t="s">
        <v>194</v>
      </c>
      <c r="H2232" s="346"/>
      <c r="I2232" s="346"/>
      <c r="J2232" s="347"/>
      <c r="K2232" s="348">
        <v>0</v>
      </c>
      <c r="L2232" s="310">
        <f>SUM(L2221:L2231)/2</f>
        <v>762000</v>
      </c>
    </row>
    <row r="2233" spans="5:13" ht="15" customHeight="1" thickBot="1">
      <c r="F2233" s="331" t="s">
        <v>195</v>
      </c>
      <c r="G2233" s="332" t="s">
        <v>196</v>
      </c>
      <c r="H2233" s="333"/>
      <c r="I2233" s="333"/>
      <c r="J2233" s="350">
        <v>0.1</v>
      </c>
      <c r="K2233" s="335"/>
      <c r="L2233" s="330">
        <f>J2233*L2232</f>
        <v>76200</v>
      </c>
    </row>
    <row r="2234" spans="5:13" ht="15" customHeight="1" thickBot="1">
      <c r="F2234" s="340" t="s">
        <v>197</v>
      </c>
      <c r="G2234" s="341" t="s">
        <v>198</v>
      </c>
      <c r="H2234" s="318"/>
      <c r="I2234" s="318"/>
      <c r="J2234" s="342"/>
      <c r="K2234" s="320">
        <v>0</v>
      </c>
      <c r="L2234" s="321">
        <f>ROUNDDOWN(L2232+L2233,0)</f>
        <v>838200</v>
      </c>
    </row>
    <row r="2235" spans="5:13" ht="15" customHeight="1">
      <c r="F2235" s="298"/>
      <c r="G2235" s="298"/>
      <c r="J2235" s="343"/>
    </row>
    <row r="2236" spans="5:13" ht="15" customHeight="1" thickBot="1">
      <c r="E2236" s="356" t="s">
        <v>553</v>
      </c>
      <c r="F2236" s="295" t="s">
        <v>554</v>
      </c>
      <c r="J2236" s="343"/>
      <c r="M2236" s="299">
        <f>L2251</f>
        <v>480018</v>
      </c>
    </row>
    <row r="2237" spans="5:13" ht="15" customHeight="1" thickBot="1">
      <c r="F2237" s="340" t="s">
        <v>136</v>
      </c>
      <c r="G2237" s="341" t="s">
        <v>162</v>
      </c>
      <c r="H2237" s="352" t="s">
        <v>163</v>
      </c>
      <c r="I2237" s="352" t="s">
        <v>138</v>
      </c>
      <c r="J2237" s="353" t="s">
        <v>164</v>
      </c>
      <c r="K2237" s="341" t="s">
        <v>165</v>
      </c>
      <c r="L2237" s="354" t="s">
        <v>166</v>
      </c>
    </row>
    <row r="2238" spans="5:13" ht="15" customHeight="1">
      <c r="F2238" s="300" t="s">
        <v>167</v>
      </c>
      <c r="G2238" s="301" t="s">
        <v>168</v>
      </c>
      <c r="H2238" s="302"/>
      <c r="I2238" s="302"/>
      <c r="J2238" s="351"/>
      <c r="K2238" s="328"/>
      <c r="L2238" s="310"/>
    </row>
    <row r="2239" spans="5:13" ht="15" customHeight="1">
      <c r="F2239" s="306"/>
      <c r="G2239" s="301" t="s">
        <v>169</v>
      </c>
      <c r="H2239" s="307" t="s">
        <v>170</v>
      </c>
      <c r="I2239" s="307" t="s">
        <v>171</v>
      </c>
      <c r="J2239" s="308">
        <v>0.08</v>
      </c>
      <c r="K2239" s="309">
        <f>VLOOKUP(G2239,Upah,8,FALSE)</f>
        <v>125000</v>
      </c>
      <c r="L2239" s="310">
        <f>J2239*K2239</f>
        <v>10000</v>
      </c>
    </row>
    <row r="2240" spans="5:13" ht="15" customHeight="1">
      <c r="F2240" s="306"/>
      <c r="G2240" s="301" t="s">
        <v>258</v>
      </c>
      <c r="H2240" s="307" t="s">
        <v>259</v>
      </c>
      <c r="I2240" s="307" t="s">
        <v>171</v>
      </c>
      <c r="J2240" s="308">
        <v>0.8</v>
      </c>
      <c r="K2240" s="309">
        <f>VLOOKUP(G2240,Upah,8,FALSE)</f>
        <v>150000</v>
      </c>
      <c r="L2240" s="310">
        <f>J2240*K2240</f>
        <v>120000</v>
      </c>
    </row>
    <row r="2241" spans="5:13" ht="15" customHeight="1">
      <c r="F2241" s="306"/>
      <c r="G2241" s="301" t="s">
        <v>232</v>
      </c>
      <c r="H2241" s="307" t="s">
        <v>175</v>
      </c>
      <c r="I2241" s="307" t="s">
        <v>171</v>
      </c>
      <c r="J2241" s="308">
        <v>0.08</v>
      </c>
      <c r="K2241" s="309">
        <f>VLOOKUP(G2241,Upah,8,FALSE)</f>
        <v>165000</v>
      </c>
      <c r="L2241" s="310">
        <f>J2241*K2241</f>
        <v>13200</v>
      </c>
    </row>
    <row r="2242" spans="5:13" ht="15" customHeight="1" thickBot="1">
      <c r="F2242" s="306"/>
      <c r="G2242" s="301" t="s">
        <v>176</v>
      </c>
      <c r="H2242" s="307" t="s">
        <v>177</v>
      </c>
      <c r="I2242" s="307" t="s">
        <v>171</v>
      </c>
      <c r="J2242" s="308">
        <v>4.0000000000000001E-3</v>
      </c>
      <c r="K2242" s="309">
        <f>VLOOKUP(G2242,Upah,8,FALSE)</f>
        <v>170000</v>
      </c>
      <c r="L2242" s="310">
        <f>J2242*K2242</f>
        <v>680</v>
      </c>
    </row>
    <row r="2243" spans="5:13" ht="15" customHeight="1" thickBot="1">
      <c r="F2243" s="316"/>
      <c r="G2243" s="317"/>
      <c r="H2243" s="318"/>
      <c r="I2243" s="318"/>
      <c r="J2243" s="319" t="s">
        <v>178</v>
      </c>
      <c r="K2243" s="320"/>
      <c r="L2243" s="321">
        <f>SUM(L2239:L2242)</f>
        <v>143880</v>
      </c>
    </row>
    <row r="2244" spans="5:13" ht="15" customHeight="1">
      <c r="F2244" s="300" t="s">
        <v>179</v>
      </c>
      <c r="G2244" s="301" t="s">
        <v>180</v>
      </c>
      <c r="H2244" s="302"/>
      <c r="I2244" s="302"/>
      <c r="J2244" s="351"/>
      <c r="K2244" s="328"/>
      <c r="L2244" s="310"/>
    </row>
    <row r="2245" spans="5:13" ht="15" customHeight="1" thickBot="1">
      <c r="F2245" s="306"/>
      <c r="G2245" s="301" t="s">
        <v>555</v>
      </c>
      <c r="H2245" s="302"/>
      <c r="I2245" s="307" t="s">
        <v>23</v>
      </c>
      <c r="J2245" s="308">
        <v>1</v>
      </c>
      <c r="K2245" s="328">
        <f>VLOOKUP(G2245,Bahan,6,FALSE)</f>
        <v>292500</v>
      </c>
      <c r="L2245" s="310">
        <f>J2245*K2245</f>
        <v>292500</v>
      </c>
    </row>
    <row r="2246" spans="5:13" ht="15" customHeight="1" thickBot="1">
      <c r="F2246" s="316"/>
      <c r="G2246" s="317"/>
      <c r="H2246" s="318"/>
      <c r="I2246" s="318"/>
      <c r="J2246" s="319" t="s">
        <v>189</v>
      </c>
      <c r="K2246" s="320"/>
      <c r="L2246" s="321">
        <f>SUM(L2245)</f>
        <v>292500</v>
      </c>
    </row>
    <row r="2247" spans="5:13" ht="15" customHeight="1" thickBot="1">
      <c r="F2247" s="300" t="s">
        <v>190</v>
      </c>
      <c r="G2247" s="301" t="s">
        <v>191</v>
      </c>
      <c r="H2247" s="302"/>
      <c r="I2247" s="302"/>
      <c r="J2247" s="351"/>
      <c r="K2247" s="328">
        <v>0</v>
      </c>
      <c r="L2247" s="310">
        <f>J2247*K2247</f>
        <v>0</v>
      </c>
    </row>
    <row r="2248" spans="5:13" ht="15" customHeight="1" thickBot="1">
      <c r="F2248" s="316"/>
      <c r="G2248" s="317"/>
      <c r="H2248" s="318"/>
      <c r="I2248" s="318"/>
      <c r="J2248" s="319" t="s">
        <v>192</v>
      </c>
      <c r="K2248" s="320"/>
      <c r="L2248" s="321">
        <f>L2247</f>
        <v>0</v>
      </c>
    </row>
    <row r="2249" spans="5:13" ht="15" customHeight="1">
      <c r="F2249" s="344" t="s">
        <v>193</v>
      </c>
      <c r="G2249" s="345" t="s">
        <v>194</v>
      </c>
      <c r="H2249" s="346"/>
      <c r="I2249" s="346"/>
      <c r="J2249" s="347"/>
      <c r="K2249" s="348">
        <v>0</v>
      </c>
      <c r="L2249" s="310">
        <f>SUM(L2238:L2248)/2</f>
        <v>436380</v>
      </c>
    </row>
    <row r="2250" spans="5:13" ht="15" customHeight="1" thickBot="1">
      <c r="F2250" s="331" t="s">
        <v>195</v>
      </c>
      <c r="G2250" s="332" t="s">
        <v>196</v>
      </c>
      <c r="H2250" s="333"/>
      <c r="I2250" s="333"/>
      <c r="J2250" s="350">
        <v>0.1</v>
      </c>
      <c r="K2250" s="335"/>
      <c r="L2250" s="330">
        <f>J2250*L2249</f>
        <v>43638</v>
      </c>
    </row>
    <row r="2251" spans="5:13" ht="15" customHeight="1" thickBot="1">
      <c r="F2251" s="340" t="s">
        <v>197</v>
      </c>
      <c r="G2251" s="341" t="s">
        <v>198</v>
      </c>
      <c r="H2251" s="318"/>
      <c r="I2251" s="318"/>
      <c r="J2251" s="342"/>
      <c r="K2251" s="320">
        <v>0</v>
      </c>
      <c r="L2251" s="321">
        <f>ROUNDDOWN(L2249+L2250,0)</f>
        <v>480018</v>
      </c>
    </row>
    <row r="2252" spans="5:13" ht="15" customHeight="1">
      <c r="F2252" s="298"/>
      <c r="G2252" s="298"/>
      <c r="J2252" s="343"/>
    </row>
    <row r="2253" spans="5:13" ht="15" customHeight="1" thickBot="1">
      <c r="E2253" s="356" t="s">
        <v>556</v>
      </c>
      <c r="F2253" s="295" t="s">
        <v>557</v>
      </c>
      <c r="J2253" s="343"/>
      <c r="M2253" s="299">
        <f>L2268</f>
        <v>999240</v>
      </c>
    </row>
    <row r="2254" spans="5:13" ht="15" customHeight="1" thickBot="1">
      <c r="F2254" s="340" t="s">
        <v>136</v>
      </c>
      <c r="G2254" s="341" t="s">
        <v>162</v>
      </c>
      <c r="H2254" s="352" t="s">
        <v>163</v>
      </c>
      <c r="I2254" s="352" t="s">
        <v>138</v>
      </c>
      <c r="J2254" s="353" t="s">
        <v>164</v>
      </c>
      <c r="K2254" s="341" t="s">
        <v>165</v>
      </c>
      <c r="L2254" s="354" t="s">
        <v>166</v>
      </c>
    </row>
    <row r="2255" spans="5:13" ht="15" customHeight="1">
      <c r="F2255" s="300" t="s">
        <v>167</v>
      </c>
      <c r="G2255" s="301" t="s">
        <v>168</v>
      </c>
      <c r="H2255" s="302"/>
      <c r="I2255" s="302"/>
      <c r="J2255" s="351"/>
      <c r="K2255" s="328"/>
      <c r="L2255" s="310"/>
    </row>
    <row r="2256" spans="5:13" ht="15" customHeight="1">
      <c r="F2256" s="306"/>
      <c r="G2256" s="301" t="s">
        <v>169</v>
      </c>
      <c r="H2256" s="307" t="s">
        <v>170</v>
      </c>
      <c r="I2256" s="307" t="s">
        <v>171</v>
      </c>
      <c r="J2256" s="308">
        <v>1</v>
      </c>
      <c r="K2256" s="309">
        <f>VLOOKUP(G2256,Upah,8,FALSE)</f>
        <v>125000</v>
      </c>
      <c r="L2256" s="310">
        <f>J2256*K2256</f>
        <v>125000</v>
      </c>
    </row>
    <row r="2257" spans="5:13" ht="15" customHeight="1">
      <c r="F2257" s="306"/>
      <c r="G2257" s="301" t="s">
        <v>558</v>
      </c>
      <c r="H2257" s="307" t="s">
        <v>559</v>
      </c>
      <c r="I2257" s="307" t="s">
        <v>171</v>
      </c>
      <c r="J2257" s="308">
        <v>1</v>
      </c>
      <c r="K2257" s="309">
        <f>VLOOKUP(G2257,Upah,8,FALSE)</f>
        <v>150000</v>
      </c>
      <c r="L2257" s="310">
        <f>J2257*K2257</f>
        <v>150000</v>
      </c>
    </row>
    <row r="2258" spans="5:13" ht="15" customHeight="1">
      <c r="F2258" s="306"/>
      <c r="G2258" s="301" t="s">
        <v>232</v>
      </c>
      <c r="H2258" s="307" t="s">
        <v>175</v>
      </c>
      <c r="I2258" s="307" t="s">
        <v>171</v>
      </c>
      <c r="J2258" s="308">
        <v>0.1</v>
      </c>
      <c r="K2258" s="309">
        <f>VLOOKUP(G2258,Upah,8,FALSE)</f>
        <v>165000</v>
      </c>
      <c r="L2258" s="310">
        <f>J2258*K2258</f>
        <v>16500</v>
      </c>
    </row>
    <row r="2259" spans="5:13" ht="15" customHeight="1" thickBot="1">
      <c r="F2259" s="306"/>
      <c r="G2259" s="301" t="s">
        <v>176</v>
      </c>
      <c r="H2259" s="307" t="s">
        <v>177</v>
      </c>
      <c r="I2259" s="307" t="s">
        <v>171</v>
      </c>
      <c r="J2259" s="308">
        <v>0.05</v>
      </c>
      <c r="K2259" s="309">
        <f>VLOOKUP(G2259,Upah,8,FALSE)</f>
        <v>170000</v>
      </c>
      <c r="L2259" s="310">
        <f>J2259*K2259</f>
        <v>8500</v>
      </c>
    </row>
    <row r="2260" spans="5:13" ht="15" customHeight="1" thickBot="1">
      <c r="F2260" s="316"/>
      <c r="G2260" s="317"/>
      <c r="H2260" s="318"/>
      <c r="I2260" s="318"/>
      <c r="J2260" s="319" t="s">
        <v>178</v>
      </c>
      <c r="K2260" s="320"/>
      <c r="L2260" s="321">
        <f>SUM(L2256:L2259)</f>
        <v>300000</v>
      </c>
    </row>
    <row r="2261" spans="5:13" ht="15" customHeight="1">
      <c r="F2261" s="300" t="s">
        <v>179</v>
      </c>
      <c r="G2261" s="301" t="s">
        <v>180</v>
      </c>
      <c r="H2261" s="302"/>
      <c r="I2261" s="302"/>
      <c r="J2261" s="351"/>
      <c r="K2261" s="328"/>
      <c r="L2261" s="310"/>
    </row>
    <row r="2262" spans="5:13" ht="15" customHeight="1" thickBot="1">
      <c r="F2262" s="306"/>
      <c r="G2262" s="301" t="s">
        <v>560</v>
      </c>
      <c r="H2262" s="302"/>
      <c r="I2262" s="307" t="s">
        <v>23</v>
      </c>
      <c r="J2262" s="308">
        <v>1</v>
      </c>
      <c r="K2262" s="328">
        <f>VLOOKUP(G2262,Bahan,6,FALSE)</f>
        <v>608400</v>
      </c>
      <c r="L2262" s="310">
        <f>J2262*K2262</f>
        <v>608400</v>
      </c>
    </row>
    <row r="2263" spans="5:13" ht="15" customHeight="1" thickBot="1">
      <c r="F2263" s="316"/>
      <c r="G2263" s="317"/>
      <c r="H2263" s="318"/>
      <c r="I2263" s="318"/>
      <c r="J2263" s="319" t="s">
        <v>189</v>
      </c>
      <c r="K2263" s="320"/>
      <c r="L2263" s="321">
        <f>SUM(L2262)</f>
        <v>608400</v>
      </c>
    </row>
    <row r="2264" spans="5:13" ht="15" customHeight="1" thickBot="1">
      <c r="F2264" s="300" t="s">
        <v>190</v>
      </c>
      <c r="G2264" s="301" t="s">
        <v>191</v>
      </c>
      <c r="H2264" s="302"/>
      <c r="I2264" s="302"/>
      <c r="J2264" s="351"/>
      <c r="K2264" s="328">
        <v>0</v>
      </c>
      <c r="L2264" s="310">
        <f>J2264*K2264</f>
        <v>0</v>
      </c>
    </row>
    <row r="2265" spans="5:13" ht="15" customHeight="1" thickBot="1">
      <c r="F2265" s="316"/>
      <c r="G2265" s="317"/>
      <c r="H2265" s="318"/>
      <c r="I2265" s="318"/>
      <c r="J2265" s="319" t="s">
        <v>192</v>
      </c>
      <c r="K2265" s="320"/>
      <c r="L2265" s="321">
        <f>L2264</f>
        <v>0</v>
      </c>
    </row>
    <row r="2266" spans="5:13" ht="15" customHeight="1">
      <c r="F2266" s="344" t="s">
        <v>193</v>
      </c>
      <c r="G2266" s="345" t="s">
        <v>194</v>
      </c>
      <c r="H2266" s="346"/>
      <c r="I2266" s="346"/>
      <c r="J2266" s="347"/>
      <c r="K2266" s="348">
        <v>0</v>
      </c>
      <c r="L2266" s="310">
        <f>SUM(L2255:L2265)/2</f>
        <v>908400</v>
      </c>
    </row>
    <row r="2267" spans="5:13" ht="15" customHeight="1" thickBot="1">
      <c r="F2267" s="331" t="s">
        <v>195</v>
      </c>
      <c r="G2267" s="332" t="s">
        <v>196</v>
      </c>
      <c r="H2267" s="333"/>
      <c r="I2267" s="333"/>
      <c r="J2267" s="350">
        <v>0.1</v>
      </c>
      <c r="K2267" s="335"/>
      <c r="L2267" s="330">
        <f>J2267*L2266</f>
        <v>90840</v>
      </c>
    </row>
    <row r="2268" spans="5:13" ht="15" customHeight="1" thickBot="1">
      <c r="F2268" s="340" t="s">
        <v>197</v>
      </c>
      <c r="G2268" s="341" t="s">
        <v>198</v>
      </c>
      <c r="H2268" s="318"/>
      <c r="I2268" s="318"/>
      <c r="J2268" s="342"/>
      <c r="K2268" s="320">
        <v>0</v>
      </c>
      <c r="L2268" s="321">
        <f>ROUNDDOWN(L2266+L2267,0)</f>
        <v>999240</v>
      </c>
    </row>
    <row r="2269" spans="5:13" ht="15" customHeight="1">
      <c r="F2269" s="298"/>
      <c r="G2269" s="298"/>
      <c r="J2269" s="343"/>
    </row>
    <row r="2270" spans="5:13" ht="15" customHeight="1" thickBot="1">
      <c r="E2270" s="356" t="s">
        <v>561</v>
      </c>
      <c r="F2270" s="295" t="s">
        <v>562</v>
      </c>
      <c r="J2270" s="343"/>
      <c r="M2270" s="299">
        <f>L2287</f>
        <v>41790</v>
      </c>
    </row>
    <row r="2271" spans="5:13" ht="15" customHeight="1" thickBot="1">
      <c r="F2271" s="340" t="s">
        <v>136</v>
      </c>
      <c r="G2271" s="341" t="s">
        <v>162</v>
      </c>
      <c r="H2271" s="352" t="s">
        <v>163</v>
      </c>
      <c r="I2271" s="352" t="s">
        <v>138</v>
      </c>
      <c r="J2271" s="353" t="s">
        <v>164</v>
      </c>
      <c r="K2271" s="341" t="s">
        <v>165</v>
      </c>
      <c r="L2271" s="354" t="s">
        <v>166</v>
      </c>
    </row>
    <row r="2272" spans="5:13" ht="15" customHeight="1">
      <c r="F2272" s="300" t="s">
        <v>167</v>
      </c>
      <c r="G2272" s="301" t="s">
        <v>168</v>
      </c>
      <c r="H2272" s="302"/>
      <c r="I2272" s="302"/>
      <c r="J2272" s="351"/>
      <c r="K2272" s="328"/>
      <c r="L2272" s="310"/>
    </row>
    <row r="2273" spans="6:12" ht="15" customHeight="1">
      <c r="F2273" s="306"/>
      <c r="G2273" s="301" t="s">
        <v>169</v>
      </c>
      <c r="H2273" s="307" t="s">
        <v>170</v>
      </c>
      <c r="I2273" s="307" t="s">
        <v>171</v>
      </c>
      <c r="J2273" s="308">
        <v>4.2999999999999997E-2</v>
      </c>
      <c r="K2273" s="309">
        <f>VLOOKUP(G2273,Upah,8,FALSE)</f>
        <v>125000</v>
      </c>
      <c r="L2273" s="310">
        <f>J2273*K2273</f>
        <v>5375</v>
      </c>
    </row>
    <row r="2274" spans="6:12" ht="15" customHeight="1">
      <c r="F2274" s="306"/>
      <c r="G2274" s="301" t="s">
        <v>558</v>
      </c>
      <c r="H2274" s="307" t="s">
        <v>559</v>
      </c>
      <c r="I2274" s="307" t="s">
        <v>171</v>
      </c>
      <c r="J2274" s="308">
        <v>4.2999999999999997E-2</v>
      </c>
      <c r="K2274" s="309">
        <f>VLOOKUP(G2274,Upah,8,FALSE)</f>
        <v>150000</v>
      </c>
      <c r="L2274" s="310">
        <f>J2274*K2274</f>
        <v>6449.9999999999991</v>
      </c>
    </row>
    <row r="2275" spans="6:12" ht="15" customHeight="1">
      <c r="F2275" s="306"/>
      <c r="G2275" s="301" t="s">
        <v>232</v>
      </c>
      <c r="H2275" s="307" t="s">
        <v>175</v>
      </c>
      <c r="I2275" s="307" t="s">
        <v>171</v>
      </c>
      <c r="J2275" s="308">
        <v>4.3E-3</v>
      </c>
      <c r="K2275" s="309">
        <f>VLOOKUP(G2275,Upah,8,FALSE)</f>
        <v>165000</v>
      </c>
      <c r="L2275" s="310">
        <f>J2275*K2275</f>
        <v>709.5</v>
      </c>
    </row>
    <row r="2276" spans="6:12" ht="15" customHeight="1" thickBot="1">
      <c r="F2276" s="306"/>
      <c r="G2276" s="301" t="s">
        <v>176</v>
      </c>
      <c r="H2276" s="307" t="s">
        <v>177</v>
      </c>
      <c r="I2276" s="307" t="s">
        <v>171</v>
      </c>
      <c r="J2276" s="308">
        <v>2.0999999999999999E-3</v>
      </c>
      <c r="K2276" s="309">
        <f>VLOOKUP(G2276,Upah,8,FALSE)</f>
        <v>170000</v>
      </c>
      <c r="L2276" s="310">
        <f>J2276*K2276</f>
        <v>357</v>
      </c>
    </row>
    <row r="2277" spans="6:12" ht="15" customHeight="1" thickBot="1">
      <c r="F2277" s="316"/>
      <c r="G2277" s="317"/>
      <c r="H2277" s="318"/>
      <c r="I2277" s="318"/>
      <c r="J2277" s="319" t="s">
        <v>178</v>
      </c>
      <c r="K2277" s="320"/>
      <c r="L2277" s="321">
        <f>SUM(L2273:L2276)</f>
        <v>12891.5</v>
      </c>
    </row>
    <row r="2278" spans="6:12" ht="15" customHeight="1">
      <c r="F2278" s="300" t="s">
        <v>179</v>
      </c>
      <c r="G2278" s="301" t="s">
        <v>180</v>
      </c>
      <c r="H2278" s="302"/>
      <c r="I2278" s="302"/>
      <c r="J2278" s="351"/>
      <c r="K2278" s="328"/>
      <c r="L2278" s="310"/>
    </row>
    <row r="2279" spans="6:12" ht="15" customHeight="1">
      <c r="F2279" s="306"/>
      <c r="G2279" s="301" t="s">
        <v>563</v>
      </c>
      <c r="H2279" s="302"/>
      <c r="I2279" s="307" t="s">
        <v>33</v>
      </c>
      <c r="J2279" s="308">
        <v>1.1000000000000001</v>
      </c>
      <c r="K2279" s="328">
        <f>VLOOKUP(G2279,Bahan,6,FALSE)</f>
        <v>20000</v>
      </c>
      <c r="L2279" s="310">
        <f>J2279*K2279</f>
        <v>22000</v>
      </c>
    </row>
    <row r="2280" spans="6:12" ht="15" customHeight="1">
      <c r="F2280" s="306"/>
      <c r="G2280" s="301" t="s">
        <v>564</v>
      </c>
      <c r="H2280" s="302"/>
      <c r="I2280" s="307" t="s">
        <v>42</v>
      </c>
      <c r="J2280" s="308">
        <v>2</v>
      </c>
      <c r="K2280" s="328">
        <f>VLOOKUP(G2280,Bahan,6,FALSE)</f>
        <v>200</v>
      </c>
      <c r="L2280" s="310">
        <f>J2280*K2280</f>
        <v>400</v>
      </c>
    </row>
    <row r="2281" spans="6:12" ht="15" customHeight="1" thickBot="1">
      <c r="F2281" s="306"/>
      <c r="G2281" s="301" t="s">
        <v>565</v>
      </c>
      <c r="H2281" s="302"/>
      <c r="I2281" s="307" t="s">
        <v>566</v>
      </c>
      <c r="J2281" s="308">
        <v>0.06</v>
      </c>
      <c r="K2281" s="328">
        <f>VLOOKUP(G2281,Bahan,6,FALSE)</f>
        <v>45000</v>
      </c>
      <c r="L2281" s="310">
        <f>J2281*K2281</f>
        <v>2700</v>
      </c>
    </row>
    <row r="2282" spans="6:12" ht="15" customHeight="1" thickBot="1">
      <c r="F2282" s="316"/>
      <c r="G2282" s="317"/>
      <c r="H2282" s="318"/>
      <c r="I2282" s="318"/>
      <c r="J2282" s="319" t="s">
        <v>189</v>
      </c>
      <c r="K2282" s="320"/>
      <c r="L2282" s="321">
        <f>SUM(L2279:L2281)</f>
        <v>25100</v>
      </c>
    </row>
    <row r="2283" spans="6:12" ht="15" customHeight="1" thickBot="1">
      <c r="F2283" s="300" t="s">
        <v>190</v>
      </c>
      <c r="G2283" s="301" t="s">
        <v>191</v>
      </c>
      <c r="H2283" s="302"/>
      <c r="I2283" s="302"/>
      <c r="J2283" s="351"/>
      <c r="K2283" s="328">
        <v>0</v>
      </c>
      <c r="L2283" s="310">
        <f>J2283*K2283</f>
        <v>0</v>
      </c>
    </row>
    <row r="2284" spans="6:12" ht="15" customHeight="1" thickBot="1">
      <c r="F2284" s="316"/>
      <c r="G2284" s="317"/>
      <c r="H2284" s="318"/>
      <c r="I2284" s="318"/>
      <c r="J2284" s="319" t="s">
        <v>192</v>
      </c>
      <c r="K2284" s="320"/>
      <c r="L2284" s="321">
        <f>L2283</f>
        <v>0</v>
      </c>
    </row>
    <row r="2285" spans="6:12" ht="15" customHeight="1">
      <c r="F2285" s="344" t="s">
        <v>193</v>
      </c>
      <c r="G2285" s="345" t="s">
        <v>194</v>
      </c>
      <c r="H2285" s="346"/>
      <c r="I2285" s="346"/>
      <c r="J2285" s="347"/>
      <c r="K2285" s="348">
        <v>0</v>
      </c>
      <c r="L2285" s="310">
        <f>SUM(L2272:L2284)/2</f>
        <v>37991.5</v>
      </c>
    </row>
    <row r="2286" spans="6:12" ht="15" customHeight="1" thickBot="1">
      <c r="F2286" s="331" t="s">
        <v>195</v>
      </c>
      <c r="G2286" s="332" t="s">
        <v>196</v>
      </c>
      <c r="H2286" s="333"/>
      <c r="I2286" s="333"/>
      <c r="J2286" s="350">
        <v>0.1</v>
      </c>
      <c r="K2286" s="335"/>
      <c r="L2286" s="330">
        <f>J2286*L2285</f>
        <v>3799.15</v>
      </c>
    </row>
    <row r="2287" spans="6:12" ht="15" customHeight="1" thickBot="1">
      <c r="F2287" s="340" t="s">
        <v>197</v>
      </c>
      <c r="G2287" s="341" t="s">
        <v>198</v>
      </c>
      <c r="H2287" s="318"/>
      <c r="I2287" s="318"/>
      <c r="J2287" s="342"/>
      <c r="K2287" s="320">
        <v>0</v>
      </c>
      <c r="L2287" s="321">
        <f>ROUNDDOWN(L2285+L2286,0)</f>
        <v>41790</v>
      </c>
    </row>
    <row r="2288" spans="6:12" ht="15" customHeight="1">
      <c r="F2288" s="298"/>
      <c r="G2288" s="298"/>
      <c r="J2288" s="343"/>
    </row>
    <row r="2289" spans="5:13" ht="15" customHeight="1" thickBot="1">
      <c r="E2289" s="356" t="s">
        <v>567</v>
      </c>
      <c r="F2289" s="295" t="s">
        <v>568</v>
      </c>
      <c r="J2289" s="343"/>
      <c r="M2289" s="299">
        <f>L2305</f>
        <v>589456</v>
      </c>
    </row>
    <row r="2290" spans="5:13" ht="15" customHeight="1" thickBot="1">
      <c r="F2290" s="340" t="s">
        <v>136</v>
      </c>
      <c r="G2290" s="341" t="s">
        <v>162</v>
      </c>
      <c r="H2290" s="352" t="s">
        <v>163</v>
      </c>
      <c r="I2290" s="352" t="s">
        <v>138</v>
      </c>
      <c r="J2290" s="353" t="s">
        <v>164</v>
      </c>
      <c r="K2290" s="341" t="s">
        <v>165</v>
      </c>
      <c r="L2290" s="354" t="s">
        <v>166</v>
      </c>
    </row>
    <row r="2291" spans="5:13" ht="15" customHeight="1">
      <c r="F2291" s="300" t="s">
        <v>167</v>
      </c>
      <c r="G2291" s="301" t="s">
        <v>168</v>
      </c>
      <c r="H2291" s="302"/>
      <c r="I2291" s="302"/>
      <c r="J2291" s="351"/>
      <c r="K2291" s="328"/>
      <c r="L2291" s="310"/>
    </row>
    <row r="2292" spans="5:13" ht="15" customHeight="1">
      <c r="F2292" s="306"/>
      <c r="G2292" s="301" t="s">
        <v>169</v>
      </c>
      <c r="H2292" s="307" t="s">
        <v>170</v>
      </c>
      <c r="I2292" s="307" t="s">
        <v>171</v>
      </c>
      <c r="J2292" s="308">
        <v>8.5000000000000006E-2</v>
      </c>
      <c r="K2292" s="309">
        <f>VLOOKUP(G2292,Upah,8,FALSE)</f>
        <v>125000</v>
      </c>
      <c r="L2292" s="310">
        <f>J2292*K2292</f>
        <v>10625</v>
      </c>
    </row>
    <row r="2293" spans="5:13" ht="15" customHeight="1">
      <c r="F2293" s="306"/>
      <c r="G2293" s="301" t="s">
        <v>558</v>
      </c>
      <c r="H2293" s="401" t="s">
        <v>559</v>
      </c>
      <c r="I2293" s="307" t="s">
        <v>171</v>
      </c>
      <c r="J2293" s="308">
        <v>8.5000000000000006E-2</v>
      </c>
      <c r="K2293" s="309">
        <f>VLOOKUP(G2293,Upah,8,FALSE)</f>
        <v>150000</v>
      </c>
      <c r="L2293" s="310">
        <f>J2293*K2293</f>
        <v>12750.000000000002</v>
      </c>
    </row>
    <row r="2294" spans="5:13" ht="15" customHeight="1">
      <c r="F2294" s="306"/>
      <c r="G2294" s="301" t="s">
        <v>232</v>
      </c>
      <c r="H2294" s="307" t="s">
        <v>175</v>
      </c>
      <c r="I2294" s="307" t="s">
        <v>171</v>
      </c>
      <c r="J2294" s="308">
        <v>8.5000000000000006E-3</v>
      </c>
      <c r="K2294" s="309">
        <f>VLOOKUP(G2294,Upah,8,FALSE)</f>
        <v>165000</v>
      </c>
      <c r="L2294" s="310">
        <f>J2294*K2294</f>
        <v>1402.5</v>
      </c>
    </row>
    <row r="2295" spans="5:13" ht="15" customHeight="1" thickBot="1">
      <c r="F2295" s="306"/>
      <c r="G2295" s="301" t="s">
        <v>176</v>
      </c>
      <c r="H2295" s="307" t="s">
        <v>177</v>
      </c>
      <c r="I2295" s="307" t="s">
        <v>171</v>
      </c>
      <c r="J2295" s="308">
        <v>4.1999999999999997E-3</v>
      </c>
      <c r="K2295" s="309">
        <f>VLOOKUP(G2295,Upah,8,FALSE)</f>
        <v>170000</v>
      </c>
      <c r="L2295" s="310">
        <f>J2295*K2295</f>
        <v>714</v>
      </c>
    </row>
    <row r="2296" spans="5:13" ht="15" customHeight="1" thickBot="1">
      <c r="F2296" s="316"/>
      <c r="G2296" s="317"/>
      <c r="H2296" s="318"/>
      <c r="I2296" s="318"/>
      <c r="J2296" s="319" t="s">
        <v>178</v>
      </c>
      <c r="K2296" s="320"/>
      <c r="L2296" s="321">
        <f>SUM(L2292:L2295)</f>
        <v>25491.5</v>
      </c>
    </row>
    <row r="2297" spans="5:13" ht="15" customHeight="1">
      <c r="F2297" s="300" t="s">
        <v>179</v>
      </c>
      <c r="G2297" s="301" t="s">
        <v>180</v>
      </c>
      <c r="H2297" s="302"/>
      <c r="I2297" s="302"/>
      <c r="J2297" s="351"/>
      <c r="K2297" s="328"/>
      <c r="L2297" s="310"/>
    </row>
    <row r="2298" spans="5:13" ht="15" customHeight="1">
      <c r="F2298" s="306"/>
      <c r="G2298" s="301" t="s">
        <v>563</v>
      </c>
      <c r="H2298" s="302"/>
      <c r="I2298" s="307" t="s">
        <v>33</v>
      </c>
      <c r="J2298" s="308">
        <v>4.4000000000000004</v>
      </c>
      <c r="K2298" s="328">
        <f>VLOOKUP(G2298,Bahan,6,FALSE)</f>
        <v>20000</v>
      </c>
      <c r="L2298" s="310">
        <f>J2298*K2298</f>
        <v>88000</v>
      </c>
    </row>
    <row r="2299" spans="5:13" ht="15" customHeight="1" thickBot="1">
      <c r="F2299" s="306"/>
      <c r="G2299" s="301" t="s">
        <v>569</v>
      </c>
      <c r="H2299" s="302"/>
      <c r="I2299" s="307" t="s">
        <v>33</v>
      </c>
      <c r="J2299" s="308">
        <v>14.6</v>
      </c>
      <c r="K2299" s="328">
        <f>VLOOKUP(G2299,Bahan,6,FALSE)</f>
        <v>28930</v>
      </c>
      <c r="L2299" s="310">
        <f>J2299*K2299</f>
        <v>422378</v>
      </c>
    </row>
    <row r="2300" spans="5:13" ht="15" customHeight="1" thickBot="1">
      <c r="F2300" s="316"/>
      <c r="G2300" s="317"/>
      <c r="H2300" s="318"/>
      <c r="I2300" s="318"/>
      <c r="J2300" s="319" t="s">
        <v>189</v>
      </c>
      <c r="K2300" s="320"/>
      <c r="L2300" s="321">
        <f>SUM(L2298:L2299)</f>
        <v>510378</v>
      </c>
    </row>
    <row r="2301" spans="5:13" ht="15" customHeight="1" thickBot="1">
      <c r="F2301" s="300" t="s">
        <v>190</v>
      </c>
      <c r="G2301" s="301" t="s">
        <v>191</v>
      </c>
      <c r="H2301" s="302"/>
      <c r="I2301" s="302"/>
      <c r="J2301" s="351"/>
      <c r="K2301" s="328">
        <v>0</v>
      </c>
      <c r="L2301" s="310">
        <f>J2301*K2301</f>
        <v>0</v>
      </c>
    </row>
    <row r="2302" spans="5:13" ht="15" customHeight="1" thickBot="1">
      <c r="F2302" s="316"/>
      <c r="G2302" s="317"/>
      <c r="H2302" s="318"/>
      <c r="I2302" s="318"/>
      <c r="J2302" s="319" t="s">
        <v>192</v>
      </c>
      <c r="K2302" s="320"/>
      <c r="L2302" s="321">
        <f>L2301</f>
        <v>0</v>
      </c>
    </row>
    <row r="2303" spans="5:13" ht="15" customHeight="1">
      <c r="F2303" s="344" t="s">
        <v>193</v>
      </c>
      <c r="G2303" s="345" t="s">
        <v>194</v>
      </c>
      <c r="H2303" s="346"/>
      <c r="I2303" s="346"/>
      <c r="J2303" s="347"/>
      <c r="K2303" s="348">
        <v>0</v>
      </c>
      <c r="L2303" s="310">
        <f>SUM(L2290:L2302)/2</f>
        <v>535869.5</v>
      </c>
    </row>
    <row r="2304" spans="5:13" ht="15" customHeight="1" thickBot="1">
      <c r="F2304" s="331" t="s">
        <v>195</v>
      </c>
      <c r="G2304" s="332" t="s">
        <v>196</v>
      </c>
      <c r="H2304" s="333"/>
      <c r="I2304" s="333"/>
      <c r="J2304" s="350">
        <v>0.1</v>
      </c>
      <c r="K2304" s="335"/>
      <c r="L2304" s="330">
        <f>J2304*L2303</f>
        <v>53586.950000000004</v>
      </c>
    </row>
    <row r="2305" spans="5:13" ht="15" customHeight="1" thickBot="1">
      <c r="F2305" s="340" t="s">
        <v>197</v>
      </c>
      <c r="G2305" s="341" t="s">
        <v>198</v>
      </c>
      <c r="H2305" s="318"/>
      <c r="I2305" s="318"/>
      <c r="J2305" s="342"/>
      <c r="K2305" s="320">
        <v>0</v>
      </c>
      <c r="L2305" s="321">
        <f>ROUNDDOWN(L2303+L2304,0)</f>
        <v>589456</v>
      </c>
    </row>
    <row r="2306" spans="5:13" ht="15" customHeight="1">
      <c r="F2306" s="298"/>
      <c r="G2306" s="298"/>
      <c r="J2306" s="343"/>
    </row>
    <row r="2307" spans="5:13" ht="15" customHeight="1" thickBot="1">
      <c r="E2307" s="356" t="s">
        <v>570</v>
      </c>
      <c r="F2307" s="295" t="s">
        <v>571</v>
      </c>
      <c r="J2307" s="343"/>
      <c r="M2307" s="299">
        <f>L2324</f>
        <v>1746426</v>
      </c>
    </row>
    <row r="2308" spans="5:13" ht="15" customHeight="1" thickBot="1">
      <c r="F2308" s="340" t="s">
        <v>136</v>
      </c>
      <c r="G2308" s="341" t="s">
        <v>162</v>
      </c>
      <c r="H2308" s="352" t="s">
        <v>163</v>
      </c>
      <c r="I2308" s="352" t="s">
        <v>138</v>
      </c>
      <c r="J2308" s="353" t="s">
        <v>164</v>
      </c>
      <c r="K2308" s="341" t="s">
        <v>165</v>
      </c>
      <c r="L2308" s="354" t="s">
        <v>166</v>
      </c>
    </row>
    <row r="2309" spans="5:13" ht="15" customHeight="1">
      <c r="F2309" s="300" t="s">
        <v>167</v>
      </c>
      <c r="G2309" s="301" t="s">
        <v>168</v>
      </c>
      <c r="H2309" s="302"/>
      <c r="I2309" s="302"/>
      <c r="J2309" s="351"/>
      <c r="K2309" s="328"/>
      <c r="L2309" s="310"/>
    </row>
    <row r="2310" spans="5:13" ht="15" customHeight="1">
      <c r="F2310" s="306"/>
      <c r="G2310" s="301" t="s">
        <v>169</v>
      </c>
      <c r="H2310" s="307" t="s">
        <v>170</v>
      </c>
      <c r="I2310" s="307" t="s">
        <v>171</v>
      </c>
      <c r="J2310" s="308">
        <v>8.5000000000000006E-2</v>
      </c>
      <c r="K2310" s="309">
        <f>VLOOKUP(G2310,Upah,8,FALSE)</f>
        <v>125000</v>
      </c>
      <c r="L2310" s="310">
        <f>J2310*K2310</f>
        <v>10625</v>
      </c>
    </row>
    <row r="2311" spans="5:13" ht="15" customHeight="1">
      <c r="F2311" s="306"/>
      <c r="G2311" s="301" t="s">
        <v>558</v>
      </c>
      <c r="H2311" s="307" t="s">
        <v>559</v>
      </c>
      <c r="I2311" s="307" t="s">
        <v>171</v>
      </c>
      <c r="J2311" s="308">
        <v>8.5000000000000006E-2</v>
      </c>
      <c r="K2311" s="309">
        <f>VLOOKUP(G2311,Upah,8,FALSE)</f>
        <v>150000</v>
      </c>
      <c r="L2311" s="310">
        <f>J2311*K2311</f>
        <v>12750.000000000002</v>
      </c>
    </row>
    <row r="2312" spans="5:13" ht="15" customHeight="1">
      <c r="F2312" s="306"/>
      <c r="G2312" s="301" t="s">
        <v>232</v>
      </c>
      <c r="H2312" s="307" t="s">
        <v>175</v>
      </c>
      <c r="I2312" s="307" t="s">
        <v>171</v>
      </c>
      <c r="J2312" s="308">
        <v>8.9999999999999993E-3</v>
      </c>
      <c r="K2312" s="309">
        <f>VLOOKUP(G2312,Upah,8,FALSE)</f>
        <v>165000</v>
      </c>
      <c r="L2312" s="310">
        <f>J2312*K2312</f>
        <v>1485</v>
      </c>
    </row>
    <row r="2313" spans="5:13" ht="15" customHeight="1" thickBot="1">
      <c r="F2313" s="306"/>
      <c r="G2313" s="301" t="s">
        <v>176</v>
      </c>
      <c r="H2313" s="307" t="s">
        <v>177</v>
      </c>
      <c r="I2313" s="307" t="s">
        <v>171</v>
      </c>
      <c r="J2313" s="308">
        <v>5.0000000000000001E-3</v>
      </c>
      <c r="K2313" s="309">
        <f>VLOOKUP(G2313,Upah,8,FALSE)</f>
        <v>170000</v>
      </c>
      <c r="L2313" s="310">
        <f>J2313*K2313</f>
        <v>850</v>
      </c>
    </row>
    <row r="2314" spans="5:13" ht="15" customHeight="1" thickBot="1">
      <c r="F2314" s="316"/>
      <c r="G2314" s="317"/>
      <c r="H2314" s="318"/>
      <c r="I2314" s="318"/>
      <c r="J2314" s="319" t="s">
        <v>178</v>
      </c>
      <c r="K2314" s="320"/>
      <c r="L2314" s="321">
        <f>SUM(L2310:L2313)</f>
        <v>25710</v>
      </c>
    </row>
    <row r="2315" spans="5:13" ht="15" customHeight="1">
      <c r="F2315" s="300" t="s">
        <v>179</v>
      </c>
      <c r="G2315" s="301" t="s">
        <v>180</v>
      </c>
      <c r="H2315" s="302"/>
      <c r="I2315" s="302"/>
      <c r="J2315" s="351"/>
      <c r="K2315" s="328"/>
      <c r="L2315" s="310"/>
    </row>
    <row r="2316" spans="5:13" ht="15" customHeight="1">
      <c r="F2316" s="306"/>
      <c r="G2316" s="301" t="s">
        <v>572</v>
      </c>
      <c r="H2316" s="302"/>
      <c r="I2316" s="307" t="s">
        <v>33</v>
      </c>
      <c r="J2316" s="308">
        <v>4.4000000000000004</v>
      </c>
      <c r="K2316" s="328">
        <f>VLOOKUP(G2316,Bahan,6,FALSE)</f>
        <v>571500</v>
      </c>
      <c r="L2316" s="310">
        <f>J2316*K2316</f>
        <v>2514600</v>
      </c>
    </row>
    <row r="2317" spans="5:13" ht="15" customHeight="1">
      <c r="F2317" s="306"/>
      <c r="G2317" s="301" t="s">
        <v>573</v>
      </c>
      <c r="H2317" s="302"/>
      <c r="I2317" s="307" t="s">
        <v>33</v>
      </c>
      <c r="J2317" s="308">
        <v>4.5</v>
      </c>
      <c r="K2317" s="328">
        <f>VLOOKUP(G2317,Bahan,6,FALSE)</f>
        <v>65000</v>
      </c>
      <c r="L2317" s="310">
        <f>J2317*K2317</f>
        <v>292500</v>
      </c>
    </row>
    <row r="2318" spans="5:13" ht="15" customHeight="1" thickBot="1">
      <c r="F2318" s="306"/>
      <c r="G2318" s="301" t="s">
        <v>565</v>
      </c>
      <c r="H2318" s="302"/>
      <c r="I2318" s="307" t="s">
        <v>566</v>
      </c>
      <c r="J2318" s="308">
        <v>0.27</v>
      </c>
      <c r="K2318" s="328">
        <f>VLOOKUP(G2318,Bahan,6,FALSE)</f>
        <v>45000</v>
      </c>
      <c r="L2318" s="310">
        <f>J2318*K2318</f>
        <v>12150</v>
      </c>
    </row>
    <row r="2319" spans="5:13" ht="15" customHeight="1" thickBot="1">
      <c r="F2319" s="316"/>
      <c r="G2319" s="317"/>
      <c r="H2319" s="318"/>
      <c r="I2319" s="318"/>
      <c r="J2319" s="319" t="s">
        <v>189</v>
      </c>
      <c r="K2319" s="320"/>
      <c r="L2319" s="321">
        <f>SUM(L2317:L2318)</f>
        <v>304650</v>
      </c>
    </row>
    <row r="2320" spans="5:13" ht="15" customHeight="1" thickBot="1">
      <c r="F2320" s="300" t="s">
        <v>190</v>
      </c>
      <c r="G2320" s="301" t="s">
        <v>191</v>
      </c>
      <c r="H2320" s="302"/>
      <c r="I2320" s="302"/>
      <c r="J2320" s="351"/>
      <c r="K2320" s="328">
        <v>0</v>
      </c>
      <c r="L2320" s="310">
        <f>J2320*K2320</f>
        <v>0</v>
      </c>
    </row>
    <row r="2321" spans="5:13" ht="15" customHeight="1" thickBot="1">
      <c r="F2321" s="316"/>
      <c r="G2321" s="317"/>
      <c r="H2321" s="318"/>
      <c r="I2321" s="318"/>
      <c r="J2321" s="319" t="s">
        <v>192</v>
      </c>
      <c r="K2321" s="320"/>
      <c r="L2321" s="321">
        <f>L2320</f>
        <v>0</v>
      </c>
    </row>
    <row r="2322" spans="5:13" ht="15" customHeight="1">
      <c r="F2322" s="344" t="s">
        <v>193</v>
      </c>
      <c r="G2322" s="345" t="s">
        <v>194</v>
      </c>
      <c r="H2322" s="346"/>
      <c r="I2322" s="346"/>
      <c r="J2322" s="347"/>
      <c r="K2322" s="348">
        <v>0</v>
      </c>
      <c r="L2322" s="310">
        <f>SUM(L2309:L2321)/2</f>
        <v>1587660</v>
      </c>
    </row>
    <row r="2323" spans="5:13" ht="15" customHeight="1" thickBot="1">
      <c r="F2323" s="331" t="s">
        <v>195</v>
      </c>
      <c r="G2323" s="332" t="s">
        <v>196</v>
      </c>
      <c r="H2323" s="333"/>
      <c r="I2323" s="333"/>
      <c r="J2323" s="350">
        <v>0.1</v>
      </c>
      <c r="K2323" s="335"/>
      <c r="L2323" s="330">
        <f>J2323*L2322</f>
        <v>158766</v>
      </c>
    </row>
    <row r="2324" spans="5:13" ht="15" customHeight="1" thickBot="1">
      <c r="F2324" s="340" t="s">
        <v>197</v>
      </c>
      <c r="G2324" s="341" t="s">
        <v>198</v>
      </c>
      <c r="H2324" s="318"/>
      <c r="I2324" s="318"/>
      <c r="J2324" s="342"/>
      <c r="K2324" s="320">
        <v>0</v>
      </c>
      <c r="L2324" s="321">
        <f>ROUNDDOWN(L2322+L2323,0)</f>
        <v>1746426</v>
      </c>
    </row>
    <row r="2325" spans="5:13" ht="15" customHeight="1">
      <c r="F2325" s="298"/>
      <c r="G2325" s="298"/>
      <c r="J2325" s="343"/>
    </row>
    <row r="2326" spans="5:13" ht="15" customHeight="1" thickBot="1">
      <c r="E2326" s="356" t="s">
        <v>574</v>
      </c>
      <c r="F2326" s="295" t="s">
        <v>575</v>
      </c>
      <c r="J2326" s="343"/>
      <c r="M2326" s="299">
        <f>L2341</f>
        <v>220368</v>
      </c>
    </row>
    <row r="2327" spans="5:13" ht="15" customHeight="1" thickBot="1">
      <c r="F2327" s="340" t="s">
        <v>136</v>
      </c>
      <c r="G2327" s="341" t="s">
        <v>162</v>
      </c>
      <c r="H2327" s="352" t="s">
        <v>163</v>
      </c>
      <c r="I2327" s="352" t="s">
        <v>138</v>
      </c>
      <c r="J2327" s="353" t="s">
        <v>164</v>
      </c>
      <c r="K2327" s="341" t="s">
        <v>165</v>
      </c>
      <c r="L2327" s="354" t="s">
        <v>166</v>
      </c>
    </row>
    <row r="2328" spans="5:13" ht="15" customHeight="1">
      <c r="F2328" s="300" t="s">
        <v>167</v>
      </c>
      <c r="G2328" s="301" t="s">
        <v>168</v>
      </c>
      <c r="H2328" s="302"/>
      <c r="I2328" s="302"/>
      <c r="J2328" s="351"/>
      <c r="K2328" s="328"/>
      <c r="L2328" s="310"/>
    </row>
    <row r="2329" spans="5:13" ht="15" customHeight="1">
      <c r="F2329" s="306"/>
      <c r="G2329" s="301" t="s">
        <v>169</v>
      </c>
      <c r="H2329" s="307" t="s">
        <v>170</v>
      </c>
      <c r="I2329" s="307" t="s">
        <v>171</v>
      </c>
      <c r="J2329" s="308">
        <v>0.35</v>
      </c>
      <c r="K2329" s="309">
        <f>VLOOKUP(G2329,Upah,8,FALSE)</f>
        <v>125000</v>
      </c>
      <c r="L2329" s="310">
        <f>J2329*K2329</f>
        <v>43750</v>
      </c>
    </row>
    <row r="2330" spans="5:13" ht="15" customHeight="1">
      <c r="F2330" s="306"/>
      <c r="G2330" s="301" t="s">
        <v>258</v>
      </c>
      <c r="H2330" s="307" t="s">
        <v>259</v>
      </c>
      <c r="I2330" s="307" t="s">
        <v>171</v>
      </c>
      <c r="J2330" s="308">
        <v>0.35</v>
      </c>
      <c r="K2330" s="309">
        <f>VLOOKUP(G2330,Upah,8,FALSE)</f>
        <v>150000</v>
      </c>
      <c r="L2330" s="310">
        <f>J2330*K2330</f>
        <v>52500</v>
      </c>
    </row>
    <row r="2331" spans="5:13" ht="15" customHeight="1">
      <c r="F2331" s="306"/>
      <c r="G2331" s="301" t="s">
        <v>232</v>
      </c>
      <c r="H2331" s="307" t="s">
        <v>175</v>
      </c>
      <c r="I2331" s="307" t="s">
        <v>171</v>
      </c>
      <c r="J2331" s="308">
        <v>3.5000000000000003E-2</v>
      </c>
      <c r="K2331" s="309">
        <f>VLOOKUP(G2331,Upah,8,FALSE)</f>
        <v>165000</v>
      </c>
      <c r="L2331" s="310">
        <f>J2331*K2331</f>
        <v>5775.0000000000009</v>
      </c>
    </row>
    <row r="2332" spans="5:13" ht="15" customHeight="1" thickBot="1">
      <c r="F2332" s="306"/>
      <c r="G2332" s="301" t="s">
        <v>176</v>
      </c>
      <c r="H2332" s="307" t="s">
        <v>177</v>
      </c>
      <c r="I2332" s="307" t="s">
        <v>171</v>
      </c>
      <c r="J2332" s="308">
        <v>1.7999999999999999E-2</v>
      </c>
      <c r="K2332" s="309">
        <f>VLOOKUP(G2332,Upah,8,FALSE)</f>
        <v>170000</v>
      </c>
      <c r="L2332" s="310">
        <f>J2332*K2332</f>
        <v>3059.9999999999995</v>
      </c>
    </row>
    <row r="2333" spans="5:13" ht="15" customHeight="1" thickBot="1">
      <c r="F2333" s="316"/>
      <c r="G2333" s="317"/>
      <c r="H2333" s="318"/>
      <c r="I2333" s="318"/>
      <c r="J2333" s="319" t="s">
        <v>178</v>
      </c>
      <c r="K2333" s="320"/>
      <c r="L2333" s="321">
        <f>SUM(L2329:L2332)</f>
        <v>105085</v>
      </c>
    </row>
    <row r="2334" spans="5:13" ht="15" customHeight="1">
      <c r="F2334" s="300" t="s">
        <v>179</v>
      </c>
      <c r="G2334" s="301" t="s">
        <v>180</v>
      </c>
      <c r="H2334" s="302"/>
      <c r="I2334" s="302"/>
      <c r="J2334" s="351"/>
      <c r="K2334" s="328"/>
      <c r="L2334" s="310"/>
    </row>
    <row r="2335" spans="5:13" ht="15" customHeight="1" thickBot="1">
      <c r="F2335" s="306"/>
      <c r="G2335" s="301" t="s">
        <v>576</v>
      </c>
      <c r="H2335" s="302"/>
      <c r="I2335" s="307" t="s">
        <v>23</v>
      </c>
      <c r="J2335" s="308">
        <v>1</v>
      </c>
      <c r="K2335" s="328">
        <f>VLOOKUP(G2335,Bahan,6,FALSE)</f>
        <v>95250</v>
      </c>
      <c r="L2335" s="310">
        <f>J2335*K2335</f>
        <v>95250</v>
      </c>
    </row>
    <row r="2336" spans="5:13" ht="15" customHeight="1" thickBot="1">
      <c r="F2336" s="316"/>
      <c r="G2336" s="317"/>
      <c r="H2336" s="318"/>
      <c r="I2336" s="318"/>
      <c r="J2336" s="319" t="s">
        <v>189</v>
      </c>
      <c r="K2336" s="320"/>
      <c r="L2336" s="321">
        <f>SUM(L2334:L2335)</f>
        <v>95250</v>
      </c>
    </row>
    <row r="2337" spans="5:13" ht="15" customHeight="1" thickBot="1">
      <c r="F2337" s="300" t="s">
        <v>190</v>
      </c>
      <c r="G2337" s="301" t="s">
        <v>191</v>
      </c>
      <c r="H2337" s="302"/>
      <c r="I2337" s="302"/>
      <c r="J2337" s="351"/>
      <c r="K2337" s="328">
        <v>0</v>
      </c>
      <c r="L2337" s="310">
        <f>J2337*K2337</f>
        <v>0</v>
      </c>
    </row>
    <row r="2338" spans="5:13" ht="15" customHeight="1" thickBot="1">
      <c r="F2338" s="316"/>
      <c r="G2338" s="317"/>
      <c r="H2338" s="318"/>
      <c r="I2338" s="318"/>
      <c r="J2338" s="319" t="s">
        <v>192</v>
      </c>
      <c r="K2338" s="320"/>
      <c r="L2338" s="321">
        <f>L2337</f>
        <v>0</v>
      </c>
    </row>
    <row r="2339" spans="5:13" ht="15" customHeight="1">
      <c r="F2339" s="344" t="s">
        <v>193</v>
      </c>
      <c r="G2339" s="345" t="s">
        <v>194</v>
      </c>
      <c r="H2339" s="346"/>
      <c r="I2339" s="346"/>
      <c r="J2339" s="347"/>
      <c r="K2339" s="348">
        <v>0</v>
      </c>
      <c r="L2339" s="310">
        <f>SUM(L2326:L2338)/2</f>
        <v>200335</v>
      </c>
    </row>
    <row r="2340" spans="5:13" ht="15" customHeight="1" thickBot="1">
      <c r="F2340" s="331" t="s">
        <v>195</v>
      </c>
      <c r="G2340" s="332" t="s">
        <v>196</v>
      </c>
      <c r="H2340" s="333"/>
      <c r="I2340" s="333"/>
      <c r="J2340" s="350">
        <v>0.1</v>
      </c>
      <c r="K2340" s="335"/>
      <c r="L2340" s="330">
        <f>J2340*L2339</f>
        <v>20033.5</v>
      </c>
    </row>
    <row r="2341" spans="5:13" ht="15" customHeight="1" thickBot="1">
      <c r="F2341" s="340" t="s">
        <v>197</v>
      </c>
      <c r="G2341" s="341" t="s">
        <v>198</v>
      </c>
      <c r="H2341" s="318"/>
      <c r="I2341" s="318"/>
      <c r="J2341" s="342"/>
      <c r="K2341" s="320">
        <v>0</v>
      </c>
      <c r="L2341" s="321">
        <f>ROUNDDOWN(L2339+L2340,0)</f>
        <v>220368</v>
      </c>
    </row>
    <row r="2342" spans="5:13" ht="15" customHeight="1">
      <c r="F2342" s="298"/>
      <c r="G2342" s="298"/>
      <c r="J2342" s="343"/>
    </row>
    <row r="2343" spans="5:13" ht="15" customHeight="1" thickBot="1">
      <c r="E2343" s="356" t="s">
        <v>577</v>
      </c>
      <c r="F2343" s="295" t="s">
        <v>578</v>
      </c>
      <c r="J2343" s="343"/>
      <c r="M2343" s="299">
        <f>L2359</f>
        <v>2416905</v>
      </c>
    </row>
    <row r="2344" spans="5:13" ht="15" customHeight="1" thickBot="1">
      <c r="F2344" s="340" t="s">
        <v>136</v>
      </c>
      <c r="G2344" s="341" t="s">
        <v>162</v>
      </c>
      <c r="H2344" s="352" t="s">
        <v>163</v>
      </c>
      <c r="I2344" s="352" t="s">
        <v>138</v>
      </c>
      <c r="J2344" s="353" t="s">
        <v>164</v>
      </c>
      <c r="K2344" s="341" t="s">
        <v>165</v>
      </c>
      <c r="L2344" s="354" t="s">
        <v>166</v>
      </c>
    </row>
    <row r="2345" spans="5:13" ht="15" customHeight="1">
      <c r="F2345" s="300" t="s">
        <v>167</v>
      </c>
      <c r="G2345" s="301" t="s">
        <v>168</v>
      </c>
      <c r="H2345" s="302"/>
      <c r="I2345" s="302"/>
      <c r="J2345" s="351"/>
      <c r="K2345" s="328"/>
      <c r="L2345" s="310"/>
    </row>
    <row r="2346" spans="5:13" ht="15" customHeight="1">
      <c r="F2346" s="306"/>
      <c r="G2346" s="301" t="s">
        <v>169</v>
      </c>
      <c r="H2346" s="307" t="s">
        <v>170</v>
      </c>
      <c r="I2346" s="307" t="s">
        <v>171</v>
      </c>
      <c r="J2346" s="308">
        <v>1.67</v>
      </c>
      <c r="K2346" s="309">
        <f>VLOOKUP(G2346,Upah,8,FALSE)</f>
        <v>125000</v>
      </c>
      <c r="L2346" s="310">
        <f>J2346*K2346</f>
        <v>208750</v>
      </c>
    </row>
    <row r="2347" spans="5:13" ht="15" customHeight="1">
      <c r="F2347" s="306"/>
      <c r="G2347" s="301" t="s">
        <v>532</v>
      </c>
      <c r="H2347" s="307" t="s">
        <v>533</v>
      </c>
      <c r="I2347" s="307" t="s">
        <v>171</v>
      </c>
      <c r="J2347" s="308">
        <v>1.67</v>
      </c>
      <c r="K2347" s="309">
        <f>VLOOKUP(G2347,Upah,8,FALSE)</f>
        <v>150000</v>
      </c>
      <c r="L2347" s="310">
        <f>J2347*K2347</f>
        <v>250500</v>
      </c>
    </row>
    <row r="2348" spans="5:13" ht="15" customHeight="1">
      <c r="F2348" s="306"/>
      <c r="G2348" s="301" t="s">
        <v>232</v>
      </c>
      <c r="H2348" s="307" t="s">
        <v>175</v>
      </c>
      <c r="I2348" s="307" t="s">
        <v>171</v>
      </c>
      <c r="J2348" s="308">
        <v>0.16700000000000001</v>
      </c>
      <c r="K2348" s="309">
        <f>VLOOKUP(G2348,Upah,8,FALSE)</f>
        <v>165000</v>
      </c>
      <c r="L2348" s="310">
        <f>J2348*K2348</f>
        <v>27555</v>
      </c>
    </row>
    <row r="2349" spans="5:13" ht="15" customHeight="1" thickBot="1">
      <c r="F2349" s="306"/>
      <c r="G2349" s="301" t="s">
        <v>176</v>
      </c>
      <c r="H2349" s="307" t="s">
        <v>177</v>
      </c>
      <c r="I2349" s="307" t="s">
        <v>171</v>
      </c>
      <c r="J2349" s="308">
        <v>8.3000000000000004E-2</v>
      </c>
      <c r="K2349" s="309">
        <f>VLOOKUP(G2349,Upah,8,FALSE)</f>
        <v>170000</v>
      </c>
      <c r="L2349" s="310">
        <f>J2349*K2349</f>
        <v>14110</v>
      </c>
    </row>
    <row r="2350" spans="5:13" ht="15" customHeight="1" thickBot="1">
      <c r="F2350" s="316"/>
      <c r="G2350" s="317"/>
      <c r="H2350" s="318"/>
      <c r="I2350" s="318"/>
      <c r="J2350" s="319" t="s">
        <v>178</v>
      </c>
      <c r="K2350" s="320"/>
      <c r="L2350" s="321">
        <f>SUM(L2346:L2349)</f>
        <v>500915</v>
      </c>
    </row>
    <row r="2351" spans="5:13" ht="15" customHeight="1">
      <c r="F2351" s="300" t="s">
        <v>179</v>
      </c>
      <c r="G2351" s="301" t="s">
        <v>180</v>
      </c>
      <c r="H2351" s="302"/>
      <c r="I2351" s="302"/>
      <c r="J2351" s="351"/>
      <c r="K2351" s="328"/>
      <c r="L2351" s="310"/>
    </row>
    <row r="2352" spans="5:13" ht="15" customHeight="1">
      <c r="F2352" s="306"/>
      <c r="G2352" s="301" t="s">
        <v>218</v>
      </c>
      <c r="H2352" s="302"/>
      <c r="I2352" s="307" t="s">
        <v>38</v>
      </c>
      <c r="J2352" s="308">
        <v>6.1769999999999996</v>
      </c>
      <c r="K2352" s="328">
        <f>VLOOKUP(G2352,Bahan,6,FALSE)</f>
        <v>12500</v>
      </c>
      <c r="L2352" s="310">
        <f>J2352*K2352</f>
        <v>77212.5</v>
      </c>
    </row>
    <row r="2353" spans="5:13" ht="15" customHeight="1" thickBot="1">
      <c r="F2353" s="306"/>
      <c r="G2353" s="301" t="s">
        <v>545</v>
      </c>
      <c r="H2353" s="302"/>
      <c r="I2353" s="307" t="s">
        <v>546</v>
      </c>
      <c r="J2353" s="308">
        <v>27.08</v>
      </c>
      <c r="K2353" s="328">
        <f>L2179</f>
        <v>59788</v>
      </c>
      <c r="L2353" s="310">
        <f>J2353*K2353</f>
        <v>1619059.0399999998</v>
      </c>
    </row>
    <row r="2354" spans="5:13" ht="15" customHeight="1" thickBot="1">
      <c r="F2354" s="316"/>
      <c r="G2354" s="317"/>
      <c r="H2354" s="318"/>
      <c r="I2354" s="318"/>
      <c r="J2354" s="319" t="s">
        <v>189</v>
      </c>
      <c r="K2354" s="320"/>
      <c r="L2354" s="321">
        <f>SUM(L2352:L2353)</f>
        <v>1696271.5399999998</v>
      </c>
    </row>
    <row r="2355" spans="5:13" ht="15" customHeight="1" thickBot="1">
      <c r="F2355" s="300" t="s">
        <v>190</v>
      </c>
      <c r="G2355" s="301" t="s">
        <v>191</v>
      </c>
      <c r="H2355" s="302"/>
      <c r="I2355" s="302"/>
      <c r="J2355" s="351"/>
      <c r="K2355" s="328">
        <v>0</v>
      </c>
      <c r="L2355" s="310">
        <f>J2355*K2355</f>
        <v>0</v>
      </c>
    </row>
    <row r="2356" spans="5:13" ht="15" customHeight="1" thickBot="1">
      <c r="F2356" s="316"/>
      <c r="G2356" s="317"/>
      <c r="H2356" s="318"/>
      <c r="I2356" s="318"/>
      <c r="J2356" s="319" t="s">
        <v>192</v>
      </c>
      <c r="K2356" s="320"/>
      <c r="L2356" s="321">
        <f>L2355</f>
        <v>0</v>
      </c>
    </row>
    <row r="2357" spans="5:13" ht="15" customHeight="1">
      <c r="F2357" s="344" t="s">
        <v>193</v>
      </c>
      <c r="G2357" s="345" t="s">
        <v>194</v>
      </c>
      <c r="H2357" s="346"/>
      <c r="I2357" s="346"/>
      <c r="J2357" s="347"/>
      <c r="K2357" s="348">
        <v>0</v>
      </c>
      <c r="L2357" s="310">
        <f>SUM(L2344:L2356)/2</f>
        <v>2197186.54</v>
      </c>
    </row>
    <row r="2358" spans="5:13" ht="15" customHeight="1" thickBot="1">
      <c r="F2358" s="331" t="s">
        <v>195</v>
      </c>
      <c r="G2358" s="332" t="s">
        <v>196</v>
      </c>
      <c r="H2358" s="333"/>
      <c r="I2358" s="333"/>
      <c r="J2358" s="350">
        <v>0.1</v>
      </c>
      <c r="K2358" s="335"/>
      <c r="L2358" s="330">
        <f>J2358*L2357</f>
        <v>219718.65400000001</v>
      </c>
    </row>
    <row r="2359" spans="5:13" ht="15" customHeight="1" thickBot="1">
      <c r="F2359" s="340" t="s">
        <v>197</v>
      </c>
      <c r="G2359" s="341" t="s">
        <v>198</v>
      </c>
      <c r="H2359" s="318"/>
      <c r="I2359" s="318"/>
      <c r="J2359" s="342"/>
      <c r="K2359" s="320">
        <v>0</v>
      </c>
      <c r="L2359" s="321">
        <f>ROUNDDOWN(L2357+L2358,0)</f>
        <v>2416905</v>
      </c>
    </row>
    <row r="2360" spans="5:13" ht="15" customHeight="1">
      <c r="F2360" s="298"/>
      <c r="G2360" s="298"/>
      <c r="J2360" s="343"/>
    </row>
    <row r="2361" spans="5:13" ht="15" customHeight="1" thickBot="1">
      <c r="E2361" s="356" t="s">
        <v>579</v>
      </c>
      <c r="F2361" s="295" t="s">
        <v>580</v>
      </c>
      <c r="J2361" s="343"/>
      <c r="M2361" s="299">
        <f>L2378</f>
        <v>807692</v>
      </c>
    </row>
    <row r="2362" spans="5:13" ht="15" customHeight="1" thickBot="1">
      <c r="F2362" s="340" t="s">
        <v>136</v>
      </c>
      <c r="G2362" s="341" t="s">
        <v>162</v>
      </c>
      <c r="H2362" s="352" t="s">
        <v>163</v>
      </c>
      <c r="I2362" s="352" t="s">
        <v>138</v>
      </c>
      <c r="J2362" s="353" t="s">
        <v>164</v>
      </c>
      <c r="K2362" s="341" t="s">
        <v>165</v>
      </c>
      <c r="L2362" s="354" t="s">
        <v>166</v>
      </c>
    </row>
    <row r="2363" spans="5:13" ht="15" customHeight="1">
      <c r="F2363" s="300" t="s">
        <v>167</v>
      </c>
      <c r="G2363" s="301" t="s">
        <v>168</v>
      </c>
      <c r="H2363" s="302"/>
      <c r="I2363" s="302"/>
      <c r="J2363" s="351"/>
      <c r="K2363" s="328"/>
      <c r="L2363" s="310"/>
    </row>
    <row r="2364" spans="5:13" ht="15" customHeight="1">
      <c r="F2364" s="306"/>
      <c r="G2364" s="301" t="s">
        <v>169</v>
      </c>
      <c r="H2364" s="307" t="s">
        <v>170</v>
      </c>
      <c r="I2364" s="307" t="s">
        <v>171</v>
      </c>
      <c r="J2364" s="308">
        <v>0.1</v>
      </c>
      <c r="K2364" s="309">
        <f>VLOOKUP(G2364,Upah,8,FALSE)</f>
        <v>125000</v>
      </c>
      <c r="L2364" s="310">
        <f>J2364*K2364</f>
        <v>12500</v>
      </c>
    </row>
    <row r="2365" spans="5:13" ht="15" customHeight="1">
      <c r="F2365" s="306"/>
      <c r="G2365" s="301" t="s">
        <v>258</v>
      </c>
      <c r="H2365" s="307" t="s">
        <v>259</v>
      </c>
      <c r="I2365" s="307" t="s">
        <v>171</v>
      </c>
      <c r="J2365" s="308">
        <v>0.1</v>
      </c>
      <c r="K2365" s="309">
        <f>VLOOKUP(G2365,Upah,8,FALSE)</f>
        <v>150000</v>
      </c>
      <c r="L2365" s="310">
        <f>J2365*K2365</f>
        <v>15000</v>
      </c>
    </row>
    <row r="2366" spans="5:13" ht="15" customHeight="1">
      <c r="F2366" s="306"/>
      <c r="G2366" s="301" t="s">
        <v>232</v>
      </c>
      <c r="H2366" s="307" t="s">
        <v>175</v>
      </c>
      <c r="I2366" s="307" t="s">
        <v>171</v>
      </c>
      <c r="J2366" s="308">
        <v>0.01</v>
      </c>
      <c r="K2366" s="309">
        <f>VLOOKUP(G2366,Upah,8,FALSE)</f>
        <v>165000</v>
      </c>
      <c r="L2366" s="310">
        <f>J2366*K2366</f>
        <v>1650</v>
      </c>
    </row>
    <row r="2367" spans="5:13" ht="15" customHeight="1" thickBot="1">
      <c r="F2367" s="306"/>
      <c r="G2367" s="301" t="s">
        <v>176</v>
      </c>
      <c r="H2367" s="307" t="s">
        <v>177</v>
      </c>
      <c r="I2367" s="307" t="s">
        <v>171</v>
      </c>
      <c r="J2367" s="308">
        <v>5.0000000000000001E-3</v>
      </c>
      <c r="K2367" s="309">
        <f>VLOOKUP(G2367,Upah,8,FALSE)</f>
        <v>170000</v>
      </c>
      <c r="L2367" s="310">
        <f>J2367*K2367</f>
        <v>850</v>
      </c>
    </row>
    <row r="2368" spans="5:13" ht="15" customHeight="1" thickBot="1">
      <c r="F2368" s="316"/>
      <c r="G2368" s="317"/>
      <c r="H2368" s="318"/>
      <c r="I2368" s="318"/>
      <c r="J2368" s="319" t="s">
        <v>178</v>
      </c>
      <c r="K2368" s="320"/>
      <c r="L2368" s="321">
        <f>SUM(L2364:L2367)</f>
        <v>30000</v>
      </c>
    </row>
    <row r="2369" spans="5:13" ht="15" customHeight="1">
      <c r="F2369" s="300" t="s">
        <v>179</v>
      </c>
      <c r="G2369" s="301" t="s">
        <v>180</v>
      </c>
      <c r="H2369" s="302"/>
      <c r="I2369" s="302"/>
      <c r="J2369" s="351"/>
      <c r="K2369" s="328"/>
      <c r="L2369" s="310"/>
    </row>
    <row r="2370" spans="5:13" ht="15" customHeight="1">
      <c r="F2370" s="306"/>
      <c r="G2370" s="301" t="s">
        <v>581</v>
      </c>
      <c r="H2370" s="302"/>
      <c r="I2370" s="307" t="s">
        <v>23</v>
      </c>
      <c r="J2370" s="308">
        <v>1.1000000000000001</v>
      </c>
      <c r="K2370" s="328">
        <f>VLOOKUP(G2370,Bahan,6,FALSE)</f>
        <v>13560</v>
      </c>
      <c r="L2370" s="310">
        <f>J2370*K2370</f>
        <v>14916.000000000002</v>
      </c>
    </row>
    <row r="2371" spans="5:13" ht="15" customHeight="1">
      <c r="F2371" s="306"/>
      <c r="G2371" s="301" t="s">
        <v>545</v>
      </c>
      <c r="H2371" s="302"/>
      <c r="I2371" s="307" t="s">
        <v>546</v>
      </c>
      <c r="J2371" s="308">
        <v>11.11</v>
      </c>
      <c r="K2371" s="328">
        <f>L2179</f>
        <v>59788</v>
      </c>
      <c r="L2371" s="310">
        <f>J2371*K2371</f>
        <v>664244.67999999993</v>
      </c>
    </row>
    <row r="2372" spans="5:13" ht="15" customHeight="1" thickBot="1">
      <c r="F2372" s="306"/>
      <c r="G2372" s="301" t="s">
        <v>582</v>
      </c>
      <c r="H2372" s="302"/>
      <c r="I2372" s="307" t="s">
        <v>38</v>
      </c>
      <c r="J2372" s="308">
        <v>1.716</v>
      </c>
      <c r="K2372" s="328">
        <f>VLOOKUP(G2372,Bahan,6,FALSE)</f>
        <v>14630</v>
      </c>
      <c r="L2372" s="310">
        <f>J2372*K2372</f>
        <v>25105.079999999998</v>
      </c>
    </row>
    <row r="2373" spans="5:13" ht="15" customHeight="1" thickBot="1">
      <c r="F2373" s="316"/>
      <c r="G2373" s="317"/>
      <c r="H2373" s="318"/>
      <c r="I2373" s="318"/>
      <c r="J2373" s="319" t="s">
        <v>189</v>
      </c>
      <c r="K2373" s="320"/>
      <c r="L2373" s="321">
        <f>SUM(L2370:L2372)</f>
        <v>704265.75999999989</v>
      </c>
    </row>
    <row r="2374" spans="5:13" ht="15" customHeight="1" thickBot="1">
      <c r="F2374" s="300" t="s">
        <v>190</v>
      </c>
      <c r="G2374" s="301" t="s">
        <v>191</v>
      </c>
      <c r="H2374" s="302"/>
      <c r="I2374" s="302"/>
      <c r="J2374" s="351"/>
      <c r="K2374" s="328">
        <v>0</v>
      </c>
      <c r="L2374" s="310">
        <f>J2374*K2374</f>
        <v>0</v>
      </c>
    </row>
    <row r="2375" spans="5:13" ht="15" customHeight="1" thickBot="1">
      <c r="F2375" s="316"/>
      <c r="G2375" s="317"/>
      <c r="H2375" s="318"/>
      <c r="I2375" s="318"/>
      <c r="J2375" s="319" t="s">
        <v>192</v>
      </c>
      <c r="K2375" s="320"/>
      <c r="L2375" s="321">
        <f>L2374</f>
        <v>0</v>
      </c>
    </row>
    <row r="2376" spans="5:13" ht="15" customHeight="1">
      <c r="F2376" s="344" t="s">
        <v>193</v>
      </c>
      <c r="G2376" s="345" t="s">
        <v>194</v>
      </c>
      <c r="H2376" s="346"/>
      <c r="I2376" s="346"/>
      <c r="J2376" s="347"/>
      <c r="K2376" s="348">
        <v>0</v>
      </c>
      <c r="L2376" s="310">
        <f>SUM(L2363:L2375)/2</f>
        <v>734265.75999999989</v>
      </c>
    </row>
    <row r="2377" spans="5:13" ht="15" customHeight="1" thickBot="1">
      <c r="F2377" s="331" t="s">
        <v>195</v>
      </c>
      <c r="G2377" s="332" t="s">
        <v>196</v>
      </c>
      <c r="H2377" s="333"/>
      <c r="I2377" s="333"/>
      <c r="J2377" s="350">
        <v>0.1</v>
      </c>
      <c r="K2377" s="335"/>
      <c r="L2377" s="330">
        <f>J2377*L2376</f>
        <v>73426.575999999986</v>
      </c>
    </row>
    <row r="2378" spans="5:13" ht="15" customHeight="1" thickBot="1">
      <c r="F2378" s="340" t="s">
        <v>197</v>
      </c>
      <c r="G2378" s="341" t="s">
        <v>198</v>
      </c>
      <c r="H2378" s="318"/>
      <c r="I2378" s="318"/>
      <c r="J2378" s="342"/>
      <c r="K2378" s="320">
        <v>0</v>
      </c>
      <c r="L2378" s="321">
        <f>ROUNDDOWN(L2376+L2377,0)</f>
        <v>807692</v>
      </c>
    </row>
    <row r="2379" spans="5:13" ht="15" customHeight="1">
      <c r="F2379" s="298"/>
      <c r="G2379" s="298"/>
      <c r="J2379" s="343"/>
    </row>
    <row r="2380" spans="5:13" ht="15" customHeight="1" thickBot="1">
      <c r="E2380" s="356" t="s">
        <v>583</v>
      </c>
      <c r="F2380" s="295" t="s">
        <v>584</v>
      </c>
      <c r="J2380" s="343"/>
      <c r="M2380" s="299">
        <f>L2397</f>
        <v>247670</v>
      </c>
    </row>
    <row r="2381" spans="5:13" ht="15" customHeight="1" thickBot="1">
      <c r="F2381" s="340" t="s">
        <v>136</v>
      </c>
      <c r="G2381" s="341" t="s">
        <v>162</v>
      </c>
      <c r="H2381" s="352" t="s">
        <v>163</v>
      </c>
      <c r="I2381" s="352" t="s">
        <v>138</v>
      </c>
      <c r="J2381" s="353" t="s">
        <v>164</v>
      </c>
      <c r="K2381" s="341" t="s">
        <v>165</v>
      </c>
      <c r="L2381" s="354" t="s">
        <v>166</v>
      </c>
    </row>
    <row r="2382" spans="5:13" ht="15" customHeight="1">
      <c r="F2382" s="300" t="s">
        <v>167</v>
      </c>
      <c r="G2382" s="301" t="s">
        <v>168</v>
      </c>
      <c r="H2382" s="302"/>
      <c r="I2382" s="302"/>
      <c r="J2382" s="351"/>
      <c r="K2382" s="328"/>
      <c r="L2382" s="310"/>
    </row>
    <row r="2383" spans="5:13" ht="15" customHeight="1">
      <c r="F2383" s="306"/>
      <c r="G2383" s="301" t="s">
        <v>169</v>
      </c>
      <c r="H2383" s="307" t="s">
        <v>170</v>
      </c>
      <c r="I2383" s="307" t="s">
        <v>171</v>
      </c>
      <c r="J2383" s="308">
        <v>0.2</v>
      </c>
      <c r="K2383" s="309">
        <f>VLOOKUP(G2383,Upah,8,FALSE)</f>
        <v>125000</v>
      </c>
      <c r="L2383" s="310">
        <f>J2383*K2383</f>
        <v>25000</v>
      </c>
    </row>
    <row r="2384" spans="5:13" ht="15" customHeight="1">
      <c r="F2384" s="306"/>
      <c r="G2384" s="301" t="s">
        <v>258</v>
      </c>
      <c r="H2384" s="307" t="s">
        <v>259</v>
      </c>
      <c r="I2384" s="307" t="s">
        <v>171</v>
      </c>
      <c r="J2384" s="308">
        <v>0.2</v>
      </c>
      <c r="K2384" s="309">
        <f>VLOOKUP(G2384,Upah,8,FALSE)</f>
        <v>150000</v>
      </c>
      <c r="L2384" s="310">
        <f>J2384*K2384</f>
        <v>30000</v>
      </c>
    </row>
    <row r="2385" spans="5:13" ht="15" customHeight="1">
      <c r="F2385" s="306"/>
      <c r="G2385" s="301" t="s">
        <v>232</v>
      </c>
      <c r="H2385" s="307" t="s">
        <v>175</v>
      </c>
      <c r="I2385" s="307" t="s">
        <v>171</v>
      </c>
      <c r="J2385" s="308">
        <v>0.02</v>
      </c>
      <c r="K2385" s="309">
        <f>VLOOKUP(G2385,Upah,8,FALSE)</f>
        <v>165000</v>
      </c>
      <c r="L2385" s="310">
        <f>J2385*K2385</f>
        <v>3300</v>
      </c>
    </row>
    <row r="2386" spans="5:13" ht="15" customHeight="1" thickBot="1">
      <c r="F2386" s="306"/>
      <c r="G2386" s="301" t="s">
        <v>176</v>
      </c>
      <c r="H2386" s="307" t="s">
        <v>177</v>
      </c>
      <c r="I2386" s="307" t="s">
        <v>171</v>
      </c>
      <c r="J2386" s="308">
        <v>1E-3</v>
      </c>
      <c r="K2386" s="309">
        <f>VLOOKUP(G2386,Upah,8,FALSE)</f>
        <v>170000</v>
      </c>
      <c r="L2386" s="310">
        <f>J2386*K2386</f>
        <v>170</v>
      </c>
    </row>
    <row r="2387" spans="5:13" ht="15" customHeight="1" thickBot="1">
      <c r="F2387" s="316"/>
      <c r="G2387" s="317"/>
      <c r="H2387" s="318"/>
      <c r="I2387" s="318"/>
      <c r="J2387" s="319" t="s">
        <v>178</v>
      </c>
      <c r="K2387" s="320"/>
      <c r="L2387" s="321">
        <f>SUM(L2383:L2386)</f>
        <v>58470</v>
      </c>
    </row>
    <row r="2388" spans="5:13" ht="15" customHeight="1">
      <c r="F2388" s="300" t="s">
        <v>179</v>
      </c>
      <c r="G2388" s="301" t="s">
        <v>180</v>
      </c>
      <c r="H2388" s="302"/>
      <c r="I2388" s="302"/>
      <c r="J2388" s="351"/>
      <c r="K2388" s="328"/>
      <c r="L2388" s="310"/>
    </row>
    <row r="2389" spans="5:13" ht="15" customHeight="1">
      <c r="F2389" s="306"/>
      <c r="G2389" s="301" t="s">
        <v>585</v>
      </c>
      <c r="H2389" s="302"/>
      <c r="I2389" s="307" t="s">
        <v>23</v>
      </c>
      <c r="J2389" s="308">
        <v>1.1000000000000001</v>
      </c>
      <c r="K2389" s="328">
        <f>VLOOKUP(G2389,Bahan,6,FALSE)</f>
        <v>64350</v>
      </c>
      <c r="L2389" s="310">
        <f>J2389*K2389</f>
        <v>70785</v>
      </c>
    </row>
    <row r="2390" spans="5:13" ht="15" customHeight="1">
      <c r="F2390" s="306"/>
      <c r="G2390" s="301" t="s">
        <v>586</v>
      </c>
      <c r="H2390" s="302"/>
      <c r="I2390" s="307" t="s">
        <v>42</v>
      </c>
      <c r="J2390" s="308">
        <v>10</v>
      </c>
      <c r="K2390" s="328">
        <f>VLOOKUP(G2390,Bahan,6,FALSE)</f>
        <v>840</v>
      </c>
      <c r="L2390" s="310">
        <f>J2390*K2390</f>
        <v>8400</v>
      </c>
    </row>
    <row r="2391" spans="5:13" ht="15" customHeight="1" thickBot="1">
      <c r="F2391" s="306"/>
      <c r="G2391" s="301" t="s">
        <v>218</v>
      </c>
      <c r="H2391" s="302"/>
      <c r="I2391" s="307" t="s">
        <v>33</v>
      </c>
      <c r="J2391" s="308">
        <v>7</v>
      </c>
      <c r="K2391" s="328">
        <f>VLOOKUP(G2391,Bahan,6,FALSE)</f>
        <v>12500</v>
      </c>
      <c r="L2391" s="310">
        <f>J2391*K2391</f>
        <v>87500</v>
      </c>
    </row>
    <row r="2392" spans="5:13" ht="15" customHeight="1" thickBot="1">
      <c r="F2392" s="316"/>
      <c r="G2392" s="317"/>
      <c r="H2392" s="318"/>
      <c r="I2392" s="318"/>
      <c r="J2392" s="319" t="s">
        <v>189</v>
      </c>
      <c r="K2392" s="320"/>
      <c r="L2392" s="321">
        <f>SUM(L2389:L2391)</f>
        <v>166685</v>
      </c>
    </row>
    <row r="2393" spans="5:13" ht="15" customHeight="1" thickBot="1">
      <c r="F2393" s="300" t="s">
        <v>190</v>
      </c>
      <c r="G2393" s="301" t="s">
        <v>191</v>
      </c>
      <c r="H2393" s="302"/>
      <c r="I2393" s="302"/>
      <c r="J2393" s="351"/>
      <c r="K2393" s="328">
        <v>0</v>
      </c>
      <c r="L2393" s="310">
        <f>J2393*K2393</f>
        <v>0</v>
      </c>
    </row>
    <row r="2394" spans="5:13" ht="15" customHeight="1" thickBot="1">
      <c r="F2394" s="316"/>
      <c r="G2394" s="317"/>
      <c r="H2394" s="318"/>
      <c r="I2394" s="318"/>
      <c r="J2394" s="319" t="s">
        <v>192</v>
      </c>
      <c r="K2394" s="320"/>
      <c r="L2394" s="321">
        <f>L2393</f>
        <v>0</v>
      </c>
    </row>
    <row r="2395" spans="5:13" ht="15" customHeight="1">
      <c r="F2395" s="344" t="s">
        <v>193</v>
      </c>
      <c r="G2395" s="345" t="s">
        <v>194</v>
      </c>
      <c r="H2395" s="346"/>
      <c r="I2395" s="346"/>
      <c r="J2395" s="347"/>
      <c r="K2395" s="348">
        <v>0</v>
      </c>
      <c r="L2395" s="310">
        <f>SUM(L2382:L2394)/2</f>
        <v>225155</v>
      </c>
    </row>
    <row r="2396" spans="5:13" ht="15" customHeight="1" thickBot="1">
      <c r="F2396" s="331" t="s">
        <v>195</v>
      </c>
      <c r="G2396" s="332" t="s">
        <v>196</v>
      </c>
      <c r="H2396" s="333"/>
      <c r="I2396" s="333"/>
      <c r="J2396" s="350">
        <v>0.1</v>
      </c>
      <c r="K2396" s="335"/>
      <c r="L2396" s="330">
        <f>J2396*L2395</f>
        <v>22515.5</v>
      </c>
    </row>
    <row r="2397" spans="5:13" ht="15" customHeight="1" thickBot="1">
      <c r="F2397" s="340" t="s">
        <v>197</v>
      </c>
      <c r="G2397" s="341" t="s">
        <v>198</v>
      </c>
      <c r="H2397" s="318"/>
      <c r="I2397" s="318"/>
      <c r="J2397" s="342"/>
      <c r="K2397" s="320">
        <v>0</v>
      </c>
      <c r="L2397" s="321">
        <f>ROUNDDOWN(L2395+L2396,0)</f>
        <v>247670</v>
      </c>
    </row>
    <row r="2398" spans="5:13" ht="15" customHeight="1">
      <c r="F2398" s="298"/>
      <c r="G2398" s="298"/>
      <c r="J2398" s="343"/>
    </row>
    <row r="2399" spans="5:13" ht="15" customHeight="1" thickBot="1">
      <c r="E2399" s="356" t="s">
        <v>587</v>
      </c>
      <c r="F2399" s="295" t="s">
        <v>588</v>
      </c>
      <c r="J2399" s="343"/>
      <c r="M2399" s="299">
        <f>L2416</f>
        <v>192868</v>
      </c>
    </row>
    <row r="2400" spans="5:13" ht="15" customHeight="1" thickBot="1">
      <c r="F2400" s="340" t="s">
        <v>136</v>
      </c>
      <c r="G2400" s="341" t="s">
        <v>162</v>
      </c>
      <c r="H2400" s="352" t="s">
        <v>163</v>
      </c>
      <c r="I2400" s="352" t="s">
        <v>138</v>
      </c>
      <c r="J2400" s="353" t="s">
        <v>164</v>
      </c>
      <c r="K2400" s="341" t="s">
        <v>165</v>
      </c>
      <c r="L2400" s="354" t="s">
        <v>166</v>
      </c>
    </row>
    <row r="2401" spans="6:12" ht="15" customHeight="1">
      <c r="F2401" s="300" t="s">
        <v>167</v>
      </c>
      <c r="G2401" s="301" t="s">
        <v>168</v>
      </c>
      <c r="H2401" s="302"/>
      <c r="I2401" s="302"/>
      <c r="J2401" s="351"/>
      <c r="K2401" s="328"/>
      <c r="L2401" s="310"/>
    </row>
    <row r="2402" spans="6:12" ht="15" customHeight="1">
      <c r="F2402" s="306"/>
      <c r="G2402" s="301" t="s">
        <v>169</v>
      </c>
      <c r="H2402" s="307" t="s">
        <v>170</v>
      </c>
      <c r="I2402" s="307" t="s">
        <v>171</v>
      </c>
      <c r="J2402" s="308">
        <v>0.2</v>
      </c>
      <c r="K2402" s="309">
        <f>VLOOKUP(G2402,Upah,8,FALSE)</f>
        <v>125000</v>
      </c>
      <c r="L2402" s="310">
        <f>J2402*K2402</f>
        <v>25000</v>
      </c>
    </row>
    <row r="2403" spans="6:12" ht="15" customHeight="1">
      <c r="F2403" s="306"/>
      <c r="G2403" s="301" t="s">
        <v>258</v>
      </c>
      <c r="H2403" s="307" t="s">
        <v>259</v>
      </c>
      <c r="I2403" s="307" t="s">
        <v>171</v>
      </c>
      <c r="J2403" s="308">
        <v>0.2</v>
      </c>
      <c r="K2403" s="309">
        <f>VLOOKUP(G2403,Upah,8,FALSE)</f>
        <v>150000</v>
      </c>
      <c r="L2403" s="310">
        <f>J2403*K2403</f>
        <v>30000</v>
      </c>
    </row>
    <row r="2404" spans="6:12" ht="15" customHeight="1">
      <c r="F2404" s="306"/>
      <c r="G2404" s="301" t="s">
        <v>232</v>
      </c>
      <c r="H2404" s="307" t="s">
        <v>175</v>
      </c>
      <c r="I2404" s="307" t="s">
        <v>171</v>
      </c>
      <c r="J2404" s="308">
        <v>0.02</v>
      </c>
      <c r="K2404" s="309">
        <f>VLOOKUP(G2404,Upah,8,FALSE)</f>
        <v>165000</v>
      </c>
      <c r="L2404" s="310">
        <f>J2404*K2404</f>
        <v>3300</v>
      </c>
    </row>
    <row r="2405" spans="6:12" ht="15" customHeight="1" thickBot="1">
      <c r="F2405" s="306"/>
      <c r="G2405" s="301" t="s">
        <v>176</v>
      </c>
      <c r="H2405" s="307" t="s">
        <v>177</v>
      </c>
      <c r="I2405" s="307" t="s">
        <v>171</v>
      </c>
      <c r="J2405" s="308">
        <v>1E-3</v>
      </c>
      <c r="K2405" s="309">
        <f>VLOOKUP(G2405,Upah,8,FALSE)</f>
        <v>170000</v>
      </c>
      <c r="L2405" s="310">
        <f>J2405*K2405</f>
        <v>170</v>
      </c>
    </row>
    <row r="2406" spans="6:12" ht="15" customHeight="1" thickBot="1">
      <c r="F2406" s="316"/>
      <c r="G2406" s="317"/>
      <c r="H2406" s="318"/>
      <c r="I2406" s="318"/>
      <c r="J2406" s="319" t="s">
        <v>178</v>
      </c>
      <c r="K2406" s="320"/>
      <c r="L2406" s="321">
        <f>SUM(L2402:L2405)</f>
        <v>58470</v>
      </c>
    </row>
    <row r="2407" spans="6:12" ht="15" customHeight="1">
      <c r="F2407" s="300" t="s">
        <v>179</v>
      </c>
      <c r="G2407" s="301" t="s">
        <v>180</v>
      </c>
      <c r="H2407" s="302"/>
      <c r="I2407" s="302"/>
      <c r="J2407" s="351"/>
      <c r="K2407" s="328"/>
      <c r="L2407" s="310"/>
    </row>
    <row r="2408" spans="6:12" ht="15" customHeight="1">
      <c r="F2408" s="306"/>
      <c r="G2408" s="301" t="s">
        <v>222</v>
      </c>
      <c r="H2408" s="302"/>
      <c r="I2408" s="307" t="s">
        <v>33</v>
      </c>
      <c r="J2408" s="308">
        <v>1.05</v>
      </c>
      <c r="K2408" s="328">
        <f>VLOOKUP(G2408,Bahan,6,FALSE)</f>
        <v>33000</v>
      </c>
      <c r="L2408" s="310">
        <f>J2408*K2408</f>
        <v>34650</v>
      </c>
    </row>
    <row r="2409" spans="6:12" ht="15" customHeight="1">
      <c r="F2409" s="306"/>
      <c r="G2409" s="301" t="s">
        <v>415</v>
      </c>
      <c r="H2409" s="302"/>
      <c r="I2409" s="307" t="s">
        <v>38</v>
      </c>
      <c r="J2409" s="308">
        <v>1.4999999999999999E-2</v>
      </c>
      <c r="K2409" s="328">
        <f>VLOOKUP(G2409,Bahan,6,FALSE)</f>
        <v>27970</v>
      </c>
      <c r="L2409" s="310">
        <f>J2409*K2409</f>
        <v>419.55</v>
      </c>
    </row>
    <row r="2410" spans="6:12" ht="15" customHeight="1" thickBot="1">
      <c r="F2410" s="306"/>
      <c r="G2410" s="301" t="s">
        <v>589</v>
      </c>
      <c r="H2410" s="302"/>
      <c r="I2410" s="307" t="s">
        <v>44</v>
      </c>
      <c r="J2410" s="308">
        <v>1.9E-2</v>
      </c>
      <c r="K2410" s="328">
        <f>VLOOKUP(G2410,Bahan,6,FALSE)</f>
        <v>4305000</v>
      </c>
      <c r="L2410" s="310">
        <f>J2410*K2410</f>
        <v>81795</v>
      </c>
    </row>
    <row r="2411" spans="6:12" ht="15" customHeight="1" thickBot="1">
      <c r="F2411" s="316"/>
      <c r="G2411" s="317"/>
      <c r="H2411" s="318"/>
      <c r="I2411" s="318"/>
      <c r="J2411" s="319" t="s">
        <v>189</v>
      </c>
      <c r="K2411" s="320"/>
      <c r="L2411" s="321">
        <f>SUM(L2408:L2410)</f>
        <v>116864.55</v>
      </c>
    </row>
    <row r="2412" spans="6:12" ht="15" customHeight="1" thickBot="1">
      <c r="F2412" s="300" t="s">
        <v>190</v>
      </c>
      <c r="G2412" s="301" t="s">
        <v>191</v>
      </c>
      <c r="H2412" s="302"/>
      <c r="I2412" s="302"/>
      <c r="J2412" s="351"/>
      <c r="K2412" s="328">
        <v>0</v>
      </c>
      <c r="L2412" s="310">
        <f>J2412*K2412</f>
        <v>0</v>
      </c>
    </row>
    <row r="2413" spans="6:12" ht="15" customHeight="1" thickBot="1">
      <c r="F2413" s="316"/>
      <c r="G2413" s="317"/>
      <c r="H2413" s="318"/>
      <c r="I2413" s="318"/>
      <c r="J2413" s="319" t="s">
        <v>192</v>
      </c>
      <c r="K2413" s="320"/>
      <c r="L2413" s="321">
        <f>L2412</f>
        <v>0</v>
      </c>
    </row>
    <row r="2414" spans="6:12" ht="15" customHeight="1">
      <c r="F2414" s="344" t="s">
        <v>193</v>
      </c>
      <c r="G2414" s="345" t="s">
        <v>194</v>
      </c>
      <c r="H2414" s="346"/>
      <c r="I2414" s="346"/>
      <c r="J2414" s="347"/>
      <c r="K2414" s="348">
        <v>0</v>
      </c>
      <c r="L2414" s="310">
        <f>SUM(L2401:L2413)/2</f>
        <v>175334.55</v>
      </c>
    </row>
    <row r="2415" spans="6:12" ht="15" customHeight="1" thickBot="1">
      <c r="F2415" s="331" t="s">
        <v>195</v>
      </c>
      <c r="G2415" s="332" t="s">
        <v>196</v>
      </c>
      <c r="H2415" s="333"/>
      <c r="I2415" s="333"/>
      <c r="J2415" s="350">
        <v>0.1</v>
      </c>
      <c r="K2415" s="335"/>
      <c r="L2415" s="330">
        <f>J2415*L2414</f>
        <v>17533.454999999998</v>
      </c>
    </row>
    <row r="2416" spans="6:12" ht="15" customHeight="1" thickBot="1">
      <c r="F2416" s="340" t="s">
        <v>197</v>
      </c>
      <c r="G2416" s="341" t="s">
        <v>198</v>
      </c>
      <c r="H2416" s="318"/>
      <c r="I2416" s="318"/>
      <c r="J2416" s="342"/>
      <c r="K2416" s="320">
        <v>0</v>
      </c>
      <c r="L2416" s="321">
        <f>ROUNDDOWN(L2414+L2415,0)</f>
        <v>192868</v>
      </c>
    </row>
    <row r="2417" spans="5:13" ht="15" customHeight="1">
      <c r="F2417" s="298"/>
      <c r="G2417" s="298"/>
      <c r="J2417" s="343"/>
    </row>
    <row r="2418" spans="5:13" ht="15" customHeight="1" thickBot="1">
      <c r="E2418" s="356" t="s">
        <v>590</v>
      </c>
      <c r="F2418" s="298" t="s">
        <v>591</v>
      </c>
      <c r="J2418" s="343"/>
      <c r="M2418" s="299">
        <f>L2435</f>
        <v>122363</v>
      </c>
    </row>
    <row r="2419" spans="5:13" ht="15" customHeight="1" thickBot="1">
      <c r="F2419" s="340" t="s">
        <v>136</v>
      </c>
      <c r="G2419" s="341" t="s">
        <v>162</v>
      </c>
      <c r="H2419" s="352" t="s">
        <v>163</v>
      </c>
      <c r="I2419" s="352" t="s">
        <v>138</v>
      </c>
      <c r="J2419" s="353" t="s">
        <v>164</v>
      </c>
      <c r="K2419" s="341" t="s">
        <v>165</v>
      </c>
      <c r="L2419" s="354" t="s">
        <v>166</v>
      </c>
    </row>
    <row r="2420" spans="5:13" ht="15" customHeight="1">
      <c r="F2420" s="300" t="s">
        <v>167</v>
      </c>
      <c r="G2420" s="301" t="s">
        <v>168</v>
      </c>
      <c r="H2420" s="302"/>
      <c r="I2420" s="302"/>
      <c r="J2420" s="351"/>
      <c r="K2420" s="328"/>
      <c r="L2420" s="310"/>
    </row>
    <row r="2421" spans="5:13" ht="15" customHeight="1">
      <c r="F2421" s="306"/>
      <c r="G2421" s="301" t="s">
        <v>169</v>
      </c>
      <c r="H2421" s="307" t="s">
        <v>170</v>
      </c>
      <c r="I2421" s="307" t="s">
        <v>171</v>
      </c>
      <c r="J2421" s="308">
        <v>0.15</v>
      </c>
      <c r="K2421" s="309">
        <f>VLOOKUP(G2421,Upah,8,FALSE)</f>
        <v>125000</v>
      </c>
      <c r="L2421" s="310">
        <f>J2421*K2421</f>
        <v>18750</v>
      </c>
    </row>
    <row r="2422" spans="5:13" ht="15" customHeight="1">
      <c r="F2422" s="306"/>
      <c r="G2422" s="301" t="s">
        <v>258</v>
      </c>
      <c r="H2422" s="307" t="s">
        <v>259</v>
      </c>
      <c r="I2422" s="307" t="s">
        <v>171</v>
      </c>
      <c r="J2422" s="308">
        <v>0.3</v>
      </c>
      <c r="K2422" s="309">
        <f>VLOOKUP(G2422,Upah,8,FALSE)</f>
        <v>150000</v>
      </c>
      <c r="L2422" s="310">
        <f>J2422*K2422</f>
        <v>45000</v>
      </c>
    </row>
    <row r="2423" spans="5:13" ht="15" customHeight="1">
      <c r="F2423" s="306"/>
      <c r="G2423" s="301" t="s">
        <v>232</v>
      </c>
      <c r="H2423" s="307" t="s">
        <v>175</v>
      </c>
      <c r="I2423" s="307" t="s">
        <v>171</v>
      </c>
      <c r="J2423" s="308">
        <v>0.03</v>
      </c>
      <c r="K2423" s="309">
        <f>VLOOKUP(G2423,Upah,8,FALSE)</f>
        <v>165000</v>
      </c>
      <c r="L2423" s="310">
        <f>J2423*K2423</f>
        <v>4950</v>
      </c>
    </row>
    <row r="2424" spans="5:13" ht="15" customHeight="1" thickBot="1">
      <c r="F2424" s="306"/>
      <c r="G2424" s="301" t="s">
        <v>176</v>
      </c>
      <c r="H2424" s="307" t="s">
        <v>177</v>
      </c>
      <c r="I2424" s="307" t="s">
        <v>171</v>
      </c>
      <c r="J2424" s="308">
        <v>8.0000000000000002E-3</v>
      </c>
      <c r="K2424" s="309">
        <f>VLOOKUP(G2424,Upah,8,FALSE)</f>
        <v>170000</v>
      </c>
      <c r="L2424" s="310">
        <f>J2424*K2424</f>
        <v>1360</v>
      </c>
    </row>
    <row r="2425" spans="5:13" ht="15" customHeight="1" thickBot="1">
      <c r="F2425" s="316"/>
      <c r="G2425" s="317"/>
      <c r="H2425" s="318"/>
      <c r="I2425" s="318"/>
      <c r="J2425" s="319" t="s">
        <v>178</v>
      </c>
      <c r="K2425" s="320"/>
      <c r="L2425" s="321">
        <f>SUM(L2421:L2424)</f>
        <v>70060</v>
      </c>
    </row>
    <row r="2426" spans="5:13" ht="15" customHeight="1">
      <c r="F2426" s="300" t="s">
        <v>179</v>
      </c>
      <c r="G2426" s="301" t="s">
        <v>180</v>
      </c>
      <c r="H2426" s="302"/>
      <c r="I2426" s="302"/>
      <c r="J2426" s="351"/>
      <c r="K2426" s="328"/>
      <c r="L2426" s="310"/>
    </row>
    <row r="2427" spans="5:13" ht="15" customHeight="1">
      <c r="F2427" s="306"/>
      <c r="G2427" s="301" t="s">
        <v>222</v>
      </c>
      <c r="H2427" s="302"/>
      <c r="I2427" s="307" t="s">
        <v>33</v>
      </c>
      <c r="J2427" s="308">
        <v>1.05</v>
      </c>
      <c r="K2427" s="328">
        <f>VLOOKUP(G2427,Bahan,6,FALSE)</f>
        <v>33000</v>
      </c>
      <c r="L2427" s="310">
        <f>J2427*K2427</f>
        <v>34650</v>
      </c>
    </row>
    <row r="2428" spans="5:13" ht="15" customHeight="1">
      <c r="F2428" s="306"/>
      <c r="G2428" s="301" t="s">
        <v>415</v>
      </c>
      <c r="H2428" s="302"/>
      <c r="I2428" s="307" t="s">
        <v>38</v>
      </c>
      <c r="J2428" s="308">
        <v>0.01</v>
      </c>
      <c r="K2428" s="328">
        <f>VLOOKUP(G2428,Bahan,6,FALSE)</f>
        <v>27970</v>
      </c>
      <c r="L2428" s="310">
        <f>J2428*K2428</f>
        <v>279.7</v>
      </c>
    </row>
    <row r="2429" spans="5:13" ht="15" customHeight="1" thickBot="1">
      <c r="F2429" s="306"/>
      <c r="G2429" s="301" t="s">
        <v>218</v>
      </c>
      <c r="H2429" s="302"/>
      <c r="I2429" s="307" t="s">
        <v>38</v>
      </c>
      <c r="J2429" s="308">
        <v>0.5</v>
      </c>
      <c r="K2429" s="328">
        <f>VLOOKUP(G2429,Bahan,6,FALSE)</f>
        <v>12500</v>
      </c>
      <c r="L2429" s="310">
        <f>J2429*K2429</f>
        <v>6250</v>
      </c>
    </row>
    <row r="2430" spans="5:13" ht="15" customHeight="1" thickBot="1">
      <c r="F2430" s="316"/>
      <c r="G2430" s="317"/>
      <c r="H2430" s="318"/>
      <c r="I2430" s="318"/>
      <c r="J2430" s="319" t="s">
        <v>189</v>
      </c>
      <c r="K2430" s="320"/>
      <c r="L2430" s="321">
        <f>SUM(L2427:L2429)</f>
        <v>41179.699999999997</v>
      </c>
    </row>
    <row r="2431" spans="5:13" ht="15" customHeight="1" thickBot="1">
      <c r="F2431" s="300" t="s">
        <v>190</v>
      </c>
      <c r="G2431" s="301" t="s">
        <v>191</v>
      </c>
      <c r="H2431" s="302"/>
      <c r="I2431" s="302"/>
      <c r="J2431" s="351"/>
      <c r="K2431" s="328">
        <v>0</v>
      </c>
      <c r="L2431" s="310">
        <f>J2431*K2431</f>
        <v>0</v>
      </c>
    </row>
    <row r="2432" spans="5:13" ht="15" customHeight="1" thickBot="1">
      <c r="F2432" s="316"/>
      <c r="G2432" s="317"/>
      <c r="H2432" s="318"/>
      <c r="I2432" s="318"/>
      <c r="J2432" s="319" t="s">
        <v>192</v>
      </c>
      <c r="K2432" s="320"/>
      <c r="L2432" s="321">
        <f>L2431</f>
        <v>0</v>
      </c>
    </row>
    <row r="2433" spans="5:13" ht="15" customHeight="1">
      <c r="F2433" s="344" t="s">
        <v>193</v>
      </c>
      <c r="G2433" s="345" t="s">
        <v>194</v>
      </c>
      <c r="H2433" s="346"/>
      <c r="I2433" s="346"/>
      <c r="J2433" s="347"/>
      <c r="K2433" s="348">
        <v>0</v>
      </c>
      <c r="L2433" s="310">
        <f>SUM(L2420:L2432)/2</f>
        <v>111239.70000000001</v>
      </c>
    </row>
    <row r="2434" spans="5:13" ht="15" customHeight="1" thickBot="1">
      <c r="F2434" s="331" t="s">
        <v>195</v>
      </c>
      <c r="G2434" s="332" t="s">
        <v>196</v>
      </c>
      <c r="H2434" s="333"/>
      <c r="I2434" s="333"/>
      <c r="J2434" s="350">
        <v>0.1</v>
      </c>
      <c r="K2434" s="335"/>
      <c r="L2434" s="330">
        <f>J2434*L2433</f>
        <v>11123.970000000001</v>
      </c>
    </row>
    <row r="2435" spans="5:13" ht="15" customHeight="1" thickBot="1">
      <c r="F2435" s="340" t="s">
        <v>197</v>
      </c>
      <c r="G2435" s="341" t="s">
        <v>198</v>
      </c>
      <c r="H2435" s="318"/>
      <c r="I2435" s="318"/>
      <c r="J2435" s="342"/>
      <c r="K2435" s="320">
        <v>0</v>
      </c>
      <c r="L2435" s="321">
        <f>ROUNDDOWN(L2433+L2434,0)</f>
        <v>122363</v>
      </c>
    </row>
    <row r="2436" spans="5:13" ht="15" customHeight="1">
      <c r="F2436" s="298"/>
      <c r="G2436" s="298"/>
      <c r="J2436" s="343"/>
    </row>
    <row r="2437" spans="5:13" ht="15" customHeight="1" thickBot="1">
      <c r="E2437" s="356" t="s">
        <v>592</v>
      </c>
      <c r="F2437" s="295" t="s">
        <v>593</v>
      </c>
      <c r="I2437" s="359"/>
      <c r="J2437" s="343"/>
      <c r="M2437" s="299">
        <f>L2453</f>
        <v>358968</v>
      </c>
    </row>
    <row r="2438" spans="5:13" ht="15" customHeight="1" thickBot="1">
      <c r="F2438" s="340" t="s">
        <v>136</v>
      </c>
      <c r="G2438" s="341" t="s">
        <v>162</v>
      </c>
      <c r="H2438" s="352" t="s">
        <v>163</v>
      </c>
      <c r="I2438" s="352" t="s">
        <v>138</v>
      </c>
      <c r="J2438" s="353" t="s">
        <v>164</v>
      </c>
      <c r="K2438" s="341" t="s">
        <v>165</v>
      </c>
      <c r="L2438" s="354" t="s">
        <v>166</v>
      </c>
    </row>
    <row r="2439" spans="5:13" ht="15" customHeight="1">
      <c r="F2439" s="300" t="s">
        <v>167</v>
      </c>
      <c r="G2439" s="301" t="s">
        <v>168</v>
      </c>
      <c r="H2439" s="302"/>
      <c r="I2439" s="302"/>
      <c r="J2439" s="351"/>
      <c r="K2439" s="328"/>
      <c r="L2439" s="310"/>
    </row>
    <row r="2440" spans="5:13" ht="15" customHeight="1">
      <c r="F2440" s="306"/>
      <c r="G2440" s="301" t="s">
        <v>169</v>
      </c>
      <c r="H2440" s="307" t="s">
        <v>170</v>
      </c>
      <c r="I2440" s="307" t="s">
        <v>171</v>
      </c>
      <c r="J2440" s="308">
        <v>0.25</v>
      </c>
      <c r="K2440" s="309">
        <f>VLOOKUP(G2440,Upah,8,FALSE)</f>
        <v>125000</v>
      </c>
      <c r="L2440" s="310">
        <f>J2440*K2440</f>
        <v>31250</v>
      </c>
    </row>
    <row r="2441" spans="5:13" ht="15" customHeight="1">
      <c r="F2441" s="306"/>
      <c r="G2441" s="301" t="s">
        <v>379</v>
      </c>
      <c r="H2441" s="307" t="s">
        <v>380</v>
      </c>
      <c r="I2441" s="307" t="s">
        <v>171</v>
      </c>
      <c r="J2441" s="308">
        <v>0.25</v>
      </c>
      <c r="K2441" s="309">
        <f>VLOOKUP(G2441,Upah,8,FALSE)</f>
        <v>150000</v>
      </c>
      <c r="L2441" s="310">
        <f>J2441*K2441</f>
        <v>37500</v>
      </c>
    </row>
    <row r="2442" spans="5:13" ht="15" customHeight="1">
      <c r="F2442" s="306"/>
      <c r="G2442" s="301" t="s">
        <v>174</v>
      </c>
      <c r="H2442" s="307" t="s">
        <v>175</v>
      </c>
      <c r="I2442" s="307" t="s">
        <v>171</v>
      </c>
      <c r="J2442" s="308">
        <v>2.5000000000000001E-2</v>
      </c>
      <c r="K2442" s="309">
        <f>VLOOKUP(G2442,Upah,8,FALSE)</f>
        <v>165000</v>
      </c>
      <c r="L2442" s="310">
        <f>J2442*K2442</f>
        <v>4125</v>
      </c>
    </row>
    <row r="2443" spans="5:13" ht="15" customHeight="1" thickBot="1">
      <c r="F2443" s="306"/>
      <c r="G2443" s="301" t="s">
        <v>176</v>
      </c>
      <c r="H2443" s="307" t="s">
        <v>177</v>
      </c>
      <c r="I2443" s="307" t="s">
        <v>171</v>
      </c>
      <c r="J2443" s="308">
        <v>1.2999999999999999E-2</v>
      </c>
      <c r="K2443" s="309">
        <f>VLOOKUP(G2443,Upah,8,FALSE)</f>
        <v>170000</v>
      </c>
      <c r="L2443" s="310">
        <f>J2443*K2443</f>
        <v>2210</v>
      </c>
    </row>
    <row r="2444" spans="5:13" ht="15" customHeight="1" thickBot="1">
      <c r="F2444" s="316"/>
      <c r="G2444" s="317"/>
      <c r="H2444" s="318"/>
      <c r="I2444" s="318"/>
      <c r="J2444" s="319" t="s">
        <v>178</v>
      </c>
      <c r="K2444" s="320"/>
      <c r="L2444" s="321">
        <f>SUM(L2440:L2443)</f>
        <v>75085</v>
      </c>
    </row>
    <row r="2445" spans="5:13" ht="15" customHeight="1">
      <c r="F2445" s="300" t="s">
        <v>179</v>
      </c>
      <c r="G2445" s="301" t="s">
        <v>180</v>
      </c>
      <c r="H2445" s="302"/>
      <c r="I2445" s="302"/>
      <c r="J2445" s="351"/>
      <c r="K2445" s="328"/>
      <c r="L2445" s="310"/>
    </row>
    <row r="2446" spans="5:13" ht="15" customHeight="1">
      <c r="F2446" s="306"/>
      <c r="G2446" s="301" t="s">
        <v>594</v>
      </c>
      <c r="H2446" s="302"/>
      <c r="I2446" s="307" t="s">
        <v>595</v>
      </c>
      <c r="J2446" s="308">
        <v>3.5</v>
      </c>
      <c r="K2446" s="328">
        <f>VLOOKUP(G2446,Bahan,6,FALSE)</f>
        <v>57500</v>
      </c>
      <c r="L2446" s="310">
        <f>J2446*K2446</f>
        <v>201250</v>
      </c>
    </row>
    <row r="2447" spans="5:13" ht="15" customHeight="1" thickBot="1">
      <c r="F2447" s="306"/>
      <c r="G2447" s="301" t="s">
        <v>596</v>
      </c>
      <c r="H2447" s="302"/>
      <c r="I2447" s="307" t="s">
        <v>597</v>
      </c>
      <c r="J2447" s="308">
        <v>1</v>
      </c>
      <c r="K2447" s="328">
        <f>VLOOKUP(G2447,Bahan,6,FALSE)</f>
        <v>50000</v>
      </c>
      <c r="L2447" s="310">
        <f>J2447*K2447</f>
        <v>50000</v>
      </c>
    </row>
    <row r="2448" spans="5:13" ht="15" customHeight="1" thickBot="1">
      <c r="F2448" s="316"/>
      <c r="G2448" s="317"/>
      <c r="H2448" s="318"/>
      <c r="I2448" s="318"/>
      <c r="J2448" s="319" t="s">
        <v>189</v>
      </c>
      <c r="K2448" s="320"/>
      <c r="L2448" s="321">
        <f>SUM(L2445:L2447)</f>
        <v>251250</v>
      </c>
    </row>
    <row r="2449" spans="5:13" ht="15" customHeight="1" thickBot="1">
      <c r="F2449" s="300" t="s">
        <v>190</v>
      </c>
      <c r="G2449" s="301" t="s">
        <v>191</v>
      </c>
      <c r="H2449" s="302"/>
      <c r="I2449" s="302"/>
      <c r="J2449" s="351"/>
      <c r="K2449" s="328">
        <v>0</v>
      </c>
      <c r="L2449" s="310">
        <f>J2449*K2449</f>
        <v>0</v>
      </c>
    </row>
    <row r="2450" spans="5:13" ht="15" customHeight="1" thickBot="1">
      <c r="F2450" s="316"/>
      <c r="G2450" s="317"/>
      <c r="H2450" s="318"/>
      <c r="I2450" s="318"/>
      <c r="J2450" s="319" t="s">
        <v>192</v>
      </c>
      <c r="K2450" s="320"/>
      <c r="L2450" s="321">
        <f>L2449</f>
        <v>0</v>
      </c>
    </row>
    <row r="2451" spans="5:13" ht="15" customHeight="1">
      <c r="F2451" s="344" t="s">
        <v>193</v>
      </c>
      <c r="G2451" s="345" t="s">
        <v>194</v>
      </c>
      <c r="H2451" s="346"/>
      <c r="I2451" s="346"/>
      <c r="J2451" s="347"/>
      <c r="K2451" s="348">
        <v>0</v>
      </c>
      <c r="L2451" s="310">
        <f>SUM(L2438:L2450)/2</f>
        <v>326335</v>
      </c>
    </row>
    <row r="2452" spans="5:13" ht="15" customHeight="1" thickBot="1">
      <c r="F2452" s="331" t="s">
        <v>195</v>
      </c>
      <c r="G2452" s="332" t="s">
        <v>196</v>
      </c>
      <c r="H2452" s="333"/>
      <c r="I2452" s="333"/>
      <c r="J2452" s="350">
        <v>0.1</v>
      </c>
      <c r="K2452" s="335"/>
      <c r="L2452" s="330">
        <f>J2452*L2451</f>
        <v>32633.5</v>
      </c>
    </row>
    <row r="2453" spans="5:13" ht="15" customHeight="1" thickBot="1">
      <c r="F2453" s="340" t="s">
        <v>197</v>
      </c>
      <c r="G2453" s="341" t="s">
        <v>198</v>
      </c>
      <c r="H2453" s="318"/>
      <c r="I2453" s="318"/>
      <c r="J2453" s="342"/>
      <c r="K2453" s="320">
        <v>0</v>
      </c>
      <c r="L2453" s="321">
        <f>ROUNDDOWN(L2451+L2452,0)</f>
        <v>358968</v>
      </c>
    </row>
    <row r="2454" spans="5:13" ht="15" customHeight="1">
      <c r="F2454" s="298"/>
      <c r="G2454" s="298"/>
      <c r="J2454" s="343"/>
    </row>
    <row r="2455" spans="5:13" ht="15" customHeight="1" thickBot="1">
      <c r="E2455" s="356" t="s">
        <v>598</v>
      </c>
      <c r="F2455" s="295" t="s">
        <v>599</v>
      </c>
      <c r="J2455" s="343"/>
      <c r="M2455" s="299">
        <f>L2471</f>
        <v>423593</v>
      </c>
    </row>
    <row r="2456" spans="5:13" ht="15" customHeight="1" thickBot="1">
      <c r="F2456" s="340" t="s">
        <v>136</v>
      </c>
      <c r="G2456" s="341" t="s">
        <v>162</v>
      </c>
      <c r="H2456" s="352" t="s">
        <v>163</v>
      </c>
      <c r="I2456" s="352" t="s">
        <v>138</v>
      </c>
      <c r="J2456" s="353" t="s">
        <v>164</v>
      </c>
      <c r="K2456" s="341" t="s">
        <v>165</v>
      </c>
      <c r="L2456" s="354" t="s">
        <v>166</v>
      </c>
    </row>
    <row r="2457" spans="5:13" ht="15" customHeight="1">
      <c r="F2457" s="300" t="s">
        <v>167</v>
      </c>
      <c r="G2457" s="301" t="s">
        <v>168</v>
      </c>
      <c r="H2457" s="302"/>
      <c r="I2457" s="302"/>
      <c r="J2457" s="351"/>
      <c r="K2457" s="328"/>
      <c r="L2457" s="310"/>
    </row>
    <row r="2458" spans="5:13" ht="15" customHeight="1">
      <c r="F2458" s="306"/>
      <c r="G2458" s="301" t="s">
        <v>169</v>
      </c>
      <c r="H2458" s="307" t="s">
        <v>170</v>
      </c>
      <c r="I2458" s="307" t="s">
        <v>171</v>
      </c>
      <c r="J2458" s="308">
        <v>0.35</v>
      </c>
      <c r="K2458" s="309">
        <f>VLOOKUP(G2458,Upah,8,FALSE)</f>
        <v>125000</v>
      </c>
      <c r="L2458" s="310">
        <f>J2458*K2458</f>
        <v>43750</v>
      </c>
    </row>
    <row r="2459" spans="5:13" ht="15" customHeight="1">
      <c r="F2459" s="306"/>
      <c r="G2459" s="301" t="s">
        <v>379</v>
      </c>
      <c r="H2459" s="307" t="s">
        <v>380</v>
      </c>
      <c r="I2459" s="307" t="s">
        <v>171</v>
      </c>
      <c r="J2459" s="308">
        <v>0.35</v>
      </c>
      <c r="K2459" s="309">
        <f>VLOOKUP(G2459,Upah,8,FALSE)</f>
        <v>150000</v>
      </c>
      <c r="L2459" s="310">
        <f>J2459*K2459</f>
        <v>52500</v>
      </c>
    </row>
    <row r="2460" spans="5:13" ht="15" customHeight="1">
      <c r="F2460" s="306"/>
      <c r="G2460" s="301" t="s">
        <v>174</v>
      </c>
      <c r="H2460" s="307" t="s">
        <v>175</v>
      </c>
      <c r="I2460" s="307" t="s">
        <v>171</v>
      </c>
      <c r="J2460" s="308">
        <v>3.5000000000000003E-2</v>
      </c>
      <c r="K2460" s="309">
        <f>VLOOKUP(G2460,Upah,8,FALSE)</f>
        <v>165000</v>
      </c>
      <c r="L2460" s="310">
        <f>J2460*K2460</f>
        <v>5775.0000000000009</v>
      </c>
    </row>
    <row r="2461" spans="5:13" ht="15" customHeight="1" thickBot="1">
      <c r="F2461" s="306"/>
      <c r="G2461" s="301" t="s">
        <v>176</v>
      </c>
      <c r="H2461" s="307" t="s">
        <v>177</v>
      </c>
      <c r="I2461" s="307" t="s">
        <v>171</v>
      </c>
      <c r="J2461" s="308">
        <v>1.7999999999999999E-2</v>
      </c>
      <c r="K2461" s="309">
        <f>VLOOKUP(G2461,Upah,8,FALSE)</f>
        <v>170000</v>
      </c>
      <c r="L2461" s="310">
        <f>J2461*K2461</f>
        <v>3059.9999999999995</v>
      </c>
    </row>
    <row r="2462" spans="5:13" ht="15" customHeight="1" thickBot="1">
      <c r="F2462" s="316"/>
      <c r="G2462" s="317"/>
      <c r="H2462" s="318"/>
      <c r="I2462" s="318"/>
      <c r="J2462" s="319" t="s">
        <v>178</v>
      </c>
      <c r="K2462" s="320"/>
      <c r="L2462" s="321">
        <f>SUM(L2458:L2461)</f>
        <v>105085</v>
      </c>
    </row>
    <row r="2463" spans="5:13" ht="15" customHeight="1">
      <c r="F2463" s="300" t="s">
        <v>179</v>
      </c>
      <c r="G2463" s="301" t="s">
        <v>180</v>
      </c>
      <c r="H2463" s="302"/>
      <c r="I2463" s="302"/>
      <c r="J2463" s="351"/>
      <c r="K2463" s="328"/>
      <c r="L2463" s="310"/>
    </row>
    <row r="2464" spans="5:13" ht="15" customHeight="1">
      <c r="F2464" s="306"/>
      <c r="G2464" s="301" t="s">
        <v>594</v>
      </c>
      <c r="H2464" s="302"/>
      <c r="I2464" s="307" t="s">
        <v>595</v>
      </c>
      <c r="J2464" s="308">
        <v>4</v>
      </c>
      <c r="K2464" s="328">
        <f>VLOOKUP(G2464,Bahan,6,FALSE)</f>
        <v>57500</v>
      </c>
      <c r="L2464" s="310">
        <f>J2464*K2464</f>
        <v>230000</v>
      </c>
    </row>
    <row r="2465" spans="5:13" ht="15" customHeight="1" thickBot="1">
      <c r="F2465" s="306"/>
      <c r="G2465" s="301" t="s">
        <v>596</v>
      </c>
      <c r="H2465" s="302"/>
      <c r="I2465" s="307" t="s">
        <v>597</v>
      </c>
      <c r="J2465" s="308">
        <v>1</v>
      </c>
      <c r="K2465" s="328">
        <f>VLOOKUP(G2465,Bahan,6,FALSE)</f>
        <v>50000</v>
      </c>
      <c r="L2465" s="310">
        <f>J2465*K2465</f>
        <v>50000</v>
      </c>
    </row>
    <row r="2466" spans="5:13" ht="15" customHeight="1" thickBot="1">
      <c r="F2466" s="316"/>
      <c r="G2466" s="317"/>
      <c r="H2466" s="318"/>
      <c r="I2466" s="318"/>
      <c r="J2466" s="319" t="s">
        <v>189</v>
      </c>
      <c r="K2466" s="320"/>
      <c r="L2466" s="321">
        <f>SUM(L2463:L2465)</f>
        <v>280000</v>
      </c>
    </row>
    <row r="2467" spans="5:13" ht="15" customHeight="1" thickBot="1">
      <c r="F2467" s="300" t="s">
        <v>190</v>
      </c>
      <c r="G2467" s="301" t="s">
        <v>191</v>
      </c>
      <c r="H2467" s="302"/>
      <c r="I2467" s="302"/>
      <c r="J2467" s="351"/>
      <c r="K2467" s="328">
        <v>0</v>
      </c>
      <c r="L2467" s="310">
        <f>J2467*K2467</f>
        <v>0</v>
      </c>
    </row>
    <row r="2468" spans="5:13" ht="15" customHeight="1" thickBot="1">
      <c r="F2468" s="316"/>
      <c r="G2468" s="317"/>
      <c r="H2468" s="318"/>
      <c r="I2468" s="318"/>
      <c r="J2468" s="319" t="s">
        <v>192</v>
      </c>
      <c r="K2468" s="320"/>
      <c r="L2468" s="321">
        <f>L2467</f>
        <v>0</v>
      </c>
    </row>
    <row r="2469" spans="5:13" ht="15" customHeight="1">
      <c r="F2469" s="344" t="s">
        <v>193</v>
      </c>
      <c r="G2469" s="345" t="s">
        <v>194</v>
      </c>
      <c r="H2469" s="346"/>
      <c r="I2469" s="346"/>
      <c r="J2469" s="347"/>
      <c r="K2469" s="348">
        <v>0</v>
      </c>
      <c r="L2469" s="310">
        <f>SUM(L2456:L2468)/2</f>
        <v>385085</v>
      </c>
    </row>
    <row r="2470" spans="5:13" ht="15" customHeight="1" thickBot="1">
      <c r="F2470" s="331" t="s">
        <v>195</v>
      </c>
      <c r="G2470" s="332" t="s">
        <v>196</v>
      </c>
      <c r="H2470" s="333"/>
      <c r="I2470" s="333"/>
      <c r="J2470" s="350">
        <v>0.1</v>
      </c>
      <c r="K2470" s="335"/>
      <c r="L2470" s="330">
        <f>J2470*L2469</f>
        <v>38508.5</v>
      </c>
    </row>
    <row r="2471" spans="5:13" ht="15" customHeight="1" thickBot="1">
      <c r="F2471" s="340" t="s">
        <v>197</v>
      </c>
      <c r="G2471" s="341" t="s">
        <v>198</v>
      </c>
      <c r="H2471" s="318"/>
      <c r="I2471" s="318"/>
      <c r="J2471" s="342"/>
      <c r="K2471" s="320">
        <v>0</v>
      </c>
      <c r="L2471" s="321">
        <f>ROUNDDOWN(L2469+L2470,0)</f>
        <v>423593</v>
      </c>
    </row>
    <row r="2472" spans="5:13" ht="15" customHeight="1">
      <c r="F2472" s="298"/>
      <c r="G2472" s="298"/>
      <c r="J2472" s="343"/>
      <c r="K2472" s="355"/>
      <c r="L2472" s="299"/>
    </row>
    <row r="2473" spans="5:13" ht="15" customHeight="1" thickBot="1">
      <c r="E2473" s="356" t="s">
        <v>600</v>
      </c>
      <c r="F2473" s="295" t="s">
        <v>601</v>
      </c>
      <c r="J2473" s="343"/>
      <c r="M2473" s="299">
        <f>L2489</f>
        <v>434689</v>
      </c>
    </row>
    <row r="2474" spans="5:13" ht="15" customHeight="1" thickBot="1">
      <c r="F2474" s="340" t="s">
        <v>136</v>
      </c>
      <c r="G2474" s="341" t="s">
        <v>162</v>
      </c>
      <c r="H2474" s="352" t="s">
        <v>163</v>
      </c>
      <c r="I2474" s="352" t="s">
        <v>138</v>
      </c>
      <c r="J2474" s="353" t="s">
        <v>164</v>
      </c>
      <c r="K2474" s="341" t="s">
        <v>165</v>
      </c>
      <c r="L2474" s="354" t="s">
        <v>166</v>
      </c>
    </row>
    <row r="2475" spans="5:13" ht="15" customHeight="1">
      <c r="F2475" s="300" t="s">
        <v>167</v>
      </c>
      <c r="G2475" s="301" t="s">
        <v>168</v>
      </c>
      <c r="H2475" s="302"/>
      <c r="I2475" s="302"/>
      <c r="J2475" s="351"/>
      <c r="K2475" s="328"/>
      <c r="L2475" s="310"/>
    </row>
    <row r="2476" spans="5:13" ht="15" customHeight="1">
      <c r="F2476" s="306"/>
      <c r="G2476" s="301" t="s">
        <v>169</v>
      </c>
      <c r="H2476" s="307" t="s">
        <v>170</v>
      </c>
      <c r="I2476" s="307" t="s">
        <v>171</v>
      </c>
      <c r="J2476" s="402">
        <v>0.76039999999999996</v>
      </c>
      <c r="K2476" s="309">
        <f>VLOOKUP(G2476,Upah,8,FALSE)</f>
        <v>125000</v>
      </c>
      <c r="L2476" s="310">
        <f>J2476*K2476</f>
        <v>95050</v>
      </c>
    </row>
    <row r="2477" spans="5:13" ht="15" customHeight="1">
      <c r="F2477" s="306"/>
      <c r="G2477" s="301" t="s">
        <v>379</v>
      </c>
      <c r="H2477" s="307" t="s">
        <v>380</v>
      </c>
      <c r="I2477" s="307" t="s">
        <v>171</v>
      </c>
      <c r="J2477" s="402">
        <v>0.76039999999999996</v>
      </c>
      <c r="K2477" s="309">
        <f>VLOOKUP(G2477,Upah,8,FALSE)</f>
        <v>150000</v>
      </c>
      <c r="L2477" s="310">
        <f>J2477*K2477</f>
        <v>114060</v>
      </c>
    </row>
    <row r="2478" spans="5:13" ht="15" customHeight="1">
      <c r="F2478" s="306"/>
      <c r="G2478" s="301" t="s">
        <v>174</v>
      </c>
      <c r="H2478" s="307" t="s">
        <v>175</v>
      </c>
      <c r="I2478" s="307" t="s">
        <v>171</v>
      </c>
      <c r="J2478" s="402">
        <v>7.5999999999999998E-2</v>
      </c>
      <c r="K2478" s="309">
        <f>VLOOKUP(G2478,Upah,8,FALSE)</f>
        <v>165000</v>
      </c>
      <c r="L2478" s="310">
        <f>J2478*K2478</f>
        <v>12540</v>
      </c>
    </row>
    <row r="2479" spans="5:13" ht="15" customHeight="1" thickBot="1">
      <c r="F2479" s="311"/>
      <c r="G2479" s="312" t="s">
        <v>176</v>
      </c>
      <c r="H2479" s="313" t="s">
        <v>177</v>
      </c>
      <c r="I2479" s="313" t="s">
        <v>171</v>
      </c>
      <c r="J2479" s="403">
        <v>3.7999999999999999E-2</v>
      </c>
      <c r="K2479" s="309">
        <f>VLOOKUP(G2479,Upah,8,FALSE)</f>
        <v>170000</v>
      </c>
      <c r="L2479" s="330">
        <f>J2479*K2479</f>
        <v>6460</v>
      </c>
    </row>
    <row r="2480" spans="5:13" ht="15" customHeight="1" thickBot="1">
      <c r="F2480" s="316"/>
      <c r="G2480" s="317"/>
      <c r="H2480" s="318"/>
      <c r="I2480" s="318"/>
      <c r="J2480" s="319" t="s">
        <v>178</v>
      </c>
      <c r="K2480" s="320"/>
      <c r="L2480" s="321">
        <f>SUM(L2476:L2479)</f>
        <v>228110</v>
      </c>
    </row>
    <row r="2481" spans="5:13" ht="15" customHeight="1">
      <c r="F2481" s="300" t="s">
        <v>179</v>
      </c>
      <c r="G2481" s="301" t="s">
        <v>180</v>
      </c>
      <c r="H2481" s="302"/>
      <c r="I2481" s="302"/>
      <c r="J2481" s="351"/>
      <c r="K2481" s="328"/>
      <c r="L2481" s="310"/>
    </row>
    <row r="2482" spans="5:13" ht="15" customHeight="1" thickBot="1">
      <c r="F2482" s="306"/>
      <c r="G2482" s="404" t="s">
        <v>602</v>
      </c>
      <c r="H2482" s="302"/>
      <c r="I2482" s="307" t="s">
        <v>38</v>
      </c>
      <c r="J2482" s="308">
        <v>4.05</v>
      </c>
      <c r="K2482" s="328">
        <f>VLOOKUP(G2482,Bahan,6,FALSE)</f>
        <v>37500</v>
      </c>
      <c r="L2482" s="310">
        <f>J2482*K2482</f>
        <v>151875</v>
      </c>
    </row>
    <row r="2483" spans="5:13" ht="15" customHeight="1" thickBot="1">
      <c r="F2483" s="316"/>
      <c r="G2483" s="317"/>
      <c r="H2483" s="318"/>
      <c r="I2483" s="318"/>
      <c r="J2483" s="319" t="s">
        <v>189</v>
      </c>
      <c r="K2483" s="320"/>
      <c r="L2483" s="321">
        <f>SUM(L2481:L2482)</f>
        <v>151875</v>
      </c>
    </row>
    <row r="2484" spans="5:13" ht="15" customHeight="1">
      <c r="F2484" s="300" t="s">
        <v>190</v>
      </c>
      <c r="G2484" s="301" t="s">
        <v>191</v>
      </c>
      <c r="H2484" s="302"/>
      <c r="I2484" s="302"/>
      <c r="J2484" s="351"/>
      <c r="K2484" s="328">
        <v>0</v>
      </c>
      <c r="L2484" s="310">
        <f>J2484*K2484</f>
        <v>0</v>
      </c>
    </row>
    <row r="2485" spans="5:13" ht="15" customHeight="1" thickBot="1">
      <c r="F2485" s="331"/>
      <c r="G2485" s="332" t="s">
        <v>603</v>
      </c>
      <c r="H2485" s="333"/>
      <c r="I2485" s="333"/>
      <c r="J2485" s="334">
        <v>0.1</v>
      </c>
      <c r="K2485" s="335"/>
      <c r="L2485" s="336">
        <f>J2485*L2483</f>
        <v>15187.5</v>
      </c>
    </row>
    <row r="2486" spans="5:13" ht="15" customHeight="1" thickBot="1">
      <c r="F2486" s="316"/>
      <c r="G2486" s="317"/>
      <c r="H2486" s="318"/>
      <c r="I2486" s="318"/>
      <c r="J2486" s="319" t="s">
        <v>192</v>
      </c>
      <c r="K2486" s="320"/>
      <c r="L2486" s="321">
        <f>L2485</f>
        <v>15187.5</v>
      </c>
    </row>
    <row r="2487" spans="5:13" ht="15" customHeight="1">
      <c r="F2487" s="344" t="s">
        <v>193</v>
      </c>
      <c r="G2487" s="345" t="s">
        <v>194</v>
      </c>
      <c r="H2487" s="346"/>
      <c r="I2487" s="346"/>
      <c r="J2487" s="347"/>
      <c r="K2487" s="348">
        <v>0</v>
      </c>
      <c r="L2487" s="310">
        <f>SUM(L2474:L2486)/2</f>
        <v>395172.5</v>
      </c>
    </row>
    <row r="2488" spans="5:13" ht="15" customHeight="1" thickBot="1">
      <c r="F2488" s="331" t="s">
        <v>195</v>
      </c>
      <c r="G2488" s="332" t="s">
        <v>196</v>
      </c>
      <c r="H2488" s="333"/>
      <c r="I2488" s="333"/>
      <c r="J2488" s="350">
        <v>0.1</v>
      </c>
      <c r="K2488" s="335"/>
      <c r="L2488" s="330">
        <f>J2488*L2487</f>
        <v>39517.25</v>
      </c>
    </row>
    <row r="2489" spans="5:13" ht="15" customHeight="1" thickBot="1">
      <c r="F2489" s="340" t="s">
        <v>197</v>
      </c>
      <c r="G2489" s="341" t="s">
        <v>198</v>
      </c>
      <c r="H2489" s="318"/>
      <c r="I2489" s="318"/>
      <c r="J2489" s="342"/>
      <c r="K2489" s="320">
        <v>0</v>
      </c>
      <c r="L2489" s="321">
        <f>ROUNDDOWN(L2487+L2488,0)</f>
        <v>434689</v>
      </c>
    </row>
    <row r="2490" spans="5:13" ht="15" customHeight="1">
      <c r="F2490" s="298"/>
      <c r="G2490" s="298"/>
      <c r="J2490" s="343"/>
      <c r="K2490" s="355"/>
      <c r="L2490" s="299"/>
    </row>
    <row r="2491" spans="5:13" ht="15" customHeight="1" thickBot="1">
      <c r="E2491" s="356" t="s">
        <v>604</v>
      </c>
      <c r="F2491" s="295" t="s">
        <v>605</v>
      </c>
      <c r="J2491" s="343"/>
      <c r="M2491" s="299">
        <f>L2507</f>
        <v>417619</v>
      </c>
    </row>
    <row r="2492" spans="5:13" ht="15" customHeight="1" thickBot="1">
      <c r="F2492" s="405" t="s">
        <v>136</v>
      </c>
      <c r="G2492" s="406" t="s">
        <v>162</v>
      </c>
      <c r="H2492" s="406" t="s">
        <v>163</v>
      </c>
      <c r="I2492" s="406" t="s">
        <v>138</v>
      </c>
      <c r="J2492" s="406" t="s">
        <v>164</v>
      </c>
      <c r="K2492" s="407" t="s">
        <v>165</v>
      </c>
      <c r="L2492" s="408" t="s">
        <v>166</v>
      </c>
    </row>
    <row r="2493" spans="5:13" ht="15" customHeight="1">
      <c r="F2493" s="300" t="s">
        <v>167</v>
      </c>
      <c r="G2493" s="301" t="s">
        <v>168</v>
      </c>
      <c r="H2493" s="302"/>
      <c r="I2493" s="302"/>
      <c r="J2493" s="351"/>
      <c r="K2493" s="328"/>
      <c r="L2493" s="310"/>
    </row>
    <row r="2494" spans="5:13" ht="15" customHeight="1">
      <c r="F2494" s="306"/>
      <c r="G2494" s="301" t="s">
        <v>169</v>
      </c>
      <c r="H2494" s="307" t="s">
        <v>170</v>
      </c>
      <c r="I2494" s="307" t="s">
        <v>171</v>
      </c>
      <c r="J2494" s="402">
        <v>0.73399999999999999</v>
      </c>
      <c r="K2494" s="309">
        <f>VLOOKUP(G2494,Upah,8,FALSE)</f>
        <v>125000</v>
      </c>
      <c r="L2494" s="310">
        <f>J2494*K2494</f>
        <v>91750</v>
      </c>
    </row>
    <row r="2495" spans="5:13" ht="15" customHeight="1">
      <c r="F2495" s="306"/>
      <c r="G2495" s="301" t="s">
        <v>379</v>
      </c>
      <c r="H2495" s="307" t="s">
        <v>380</v>
      </c>
      <c r="I2495" s="307" t="s">
        <v>171</v>
      </c>
      <c r="J2495" s="402">
        <v>0.73399999999999999</v>
      </c>
      <c r="K2495" s="309">
        <f>VLOOKUP(G2495,Upah,8,FALSE)</f>
        <v>150000</v>
      </c>
      <c r="L2495" s="310">
        <f>J2495*K2495</f>
        <v>110100</v>
      </c>
    </row>
    <row r="2496" spans="5:13" ht="15" customHeight="1">
      <c r="F2496" s="306"/>
      <c r="G2496" s="301" t="s">
        <v>174</v>
      </c>
      <c r="H2496" s="307" t="s">
        <v>175</v>
      </c>
      <c r="I2496" s="307" t="s">
        <v>171</v>
      </c>
      <c r="J2496" s="402">
        <v>7.2999999999999995E-2</v>
      </c>
      <c r="K2496" s="309">
        <f>VLOOKUP(G2496,Upah,8,FALSE)</f>
        <v>165000</v>
      </c>
      <c r="L2496" s="310">
        <f>J2496*K2496</f>
        <v>12045</v>
      </c>
    </row>
    <row r="2497" spans="5:13" ht="15" customHeight="1" thickBot="1">
      <c r="F2497" s="311"/>
      <c r="G2497" s="312" t="s">
        <v>176</v>
      </c>
      <c r="H2497" s="313" t="s">
        <v>177</v>
      </c>
      <c r="I2497" s="313" t="s">
        <v>171</v>
      </c>
      <c r="J2497" s="403">
        <v>3.6999999999999998E-2</v>
      </c>
      <c r="K2497" s="309">
        <f>VLOOKUP(G2497,Upah,8,FALSE)</f>
        <v>170000</v>
      </c>
      <c r="L2497" s="330">
        <f>J2497*K2497</f>
        <v>6290</v>
      </c>
    </row>
    <row r="2498" spans="5:13" ht="15" customHeight="1" thickBot="1">
      <c r="F2498" s="316"/>
      <c r="G2498" s="317"/>
      <c r="H2498" s="318"/>
      <c r="I2498" s="318"/>
      <c r="J2498" s="319" t="s">
        <v>178</v>
      </c>
      <c r="K2498" s="320"/>
      <c r="L2498" s="321">
        <f>SUM(L2494:L2497)</f>
        <v>220185</v>
      </c>
    </row>
    <row r="2499" spans="5:13" ht="15" customHeight="1">
      <c r="F2499" s="300" t="s">
        <v>179</v>
      </c>
      <c r="G2499" s="301" t="s">
        <v>180</v>
      </c>
      <c r="H2499" s="302"/>
      <c r="I2499" s="302"/>
      <c r="J2499" s="351"/>
      <c r="K2499" s="328"/>
      <c r="L2499" s="310"/>
    </row>
    <row r="2500" spans="5:13" ht="15" customHeight="1" thickBot="1">
      <c r="F2500" s="306"/>
      <c r="G2500" s="404" t="s">
        <v>602</v>
      </c>
      <c r="H2500" s="302"/>
      <c r="I2500" s="307" t="s">
        <v>38</v>
      </c>
      <c r="J2500" s="308">
        <v>4.05</v>
      </c>
      <c r="K2500" s="328">
        <f>VLOOKUP(G2500,Bahan,6,FALSE)</f>
        <v>37500</v>
      </c>
      <c r="L2500" s="310">
        <f>J2500*K2500</f>
        <v>151875</v>
      </c>
    </row>
    <row r="2501" spans="5:13" ht="15" customHeight="1" thickBot="1">
      <c r="F2501" s="316"/>
      <c r="G2501" s="317"/>
      <c r="H2501" s="318"/>
      <c r="I2501" s="318"/>
      <c r="J2501" s="319" t="s">
        <v>189</v>
      </c>
      <c r="K2501" s="320"/>
      <c r="L2501" s="321">
        <f>SUM(L2500)</f>
        <v>151875</v>
      </c>
    </row>
    <row r="2502" spans="5:13" ht="15" customHeight="1">
      <c r="F2502" s="300" t="s">
        <v>190</v>
      </c>
      <c r="G2502" s="301" t="s">
        <v>191</v>
      </c>
      <c r="H2502" s="302"/>
      <c r="I2502" s="302"/>
      <c r="J2502" s="351"/>
      <c r="K2502" s="328"/>
      <c r="L2502" s="310"/>
    </row>
    <row r="2503" spans="5:13" ht="15" customHeight="1" thickBot="1">
      <c r="F2503" s="331"/>
      <c r="G2503" s="332" t="s">
        <v>603</v>
      </c>
      <c r="H2503" s="333"/>
      <c r="I2503" s="333"/>
      <c r="J2503" s="334">
        <v>0.1</v>
      </c>
      <c r="K2503" s="328"/>
      <c r="L2503" s="336">
        <f>J2503*L2501</f>
        <v>15187.5</v>
      </c>
    </row>
    <row r="2504" spans="5:13" ht="15" customHeight="1" thickBot="1">
      <c r="F2504" s="316"/>
      <c r="G2504" s="317"/>
      <c r="H2504" s="318"/>
      <c r="I2504" s="318"/>
      <c r="J2504" s="319" t="s">
        <v>192</v>
      </c>
      <c r="K2504" s="320"/>
      <c r="L2504" s="321">
        <f>L2502</f>
        <v>0</v>
      </c>
    </row>
    <row r="2505" spans="5:13" ht="15" customHeight="1">
      <c r="F2505" s="344" t="s">
        <v>193</v>
      </c>
      <c r="G2505" s="345" t="s">
        <v>194</v>
      </c>
      <c r="H2505" s="346"/>
      <c r="I2505" s="346"/>
      <c r="J2505" s="347"/>
      <c r="K2505" s="348">
        <v>0</v>
      </c>
      <c r="L2505" s="310">
        <f>SUM(L2492:L2504)/2</f>
        <v>379653.75</v>
      </c>
    </row>
    <row r="2506" spans="5:13" ht="15" customHeight="1" thickBot="1">
      <c r="F2506" s="331" t="s">
        <v>195</v>
      </c>
      <c r="G2506" s="332" t="s">
        <v>196</v>
      </c>
      <c r="H2506" s="333"/>
      <c r="I2506" s="333"/>
      <c r="J2506" s="350">
        <v>0.1</v>
      </c>
      <c r="K2506" s="335"/>
      <c r="L2506" s="330">
        <f>J2506*L2505</f>
        <v>37965.375</v>
      </c>
    </row>
    <row r="2507" spans="5:13" ht="15" customHeight="1" thickBot="1">
      <c r="F2507" s="340" t="s">
        <v>197</v>
      </c>
      <c r="G2507" s="341" t="s">
        <v>198</v>
      </c>
      <c r="H2507" s="318"/>
      <c r="I2507" s="318"/>
      <c r="J2507" s="342"/>
      <c r="K2507" s="320">
        <v>0</v>
      </c>
      <c r="L2507" s="321">
        <f>ROUNDDOWN(L2505+L2506,0)</f>
        <v>417619</v>
      </c>
    </row>
    <row r="2508" spans="5:13" ht="15" customHeight="1">
      <c r="F2508" s="298"/>
      <c r="G2508" s="298"/>
      <c r="J2508" s="343"/>
      <c r="K2508" s="355"/>
      <c r="L2508" s="299"/>
    </row>
    <row r="2509" spans="5:13" ht="15" customHeight="1" thickBot="1">
      <c r="E2509" s="356" t="s">
        <v>606</v>
      </c>
      <c r="F2509" s="298" t="s">
        <v>607</v>
      </c>
      <c r="G2509" s="298"/>
      <c r="J2509" s="343"/>
      <c r="K2509" s="355"/>
      <c r="L2509" s="299"/>
      <c r="M2509" s="299">
        <f>L2529</f>
        <v>396201</v>
      </c>
    </row>
    <row r="2510" spans="5:13" ht="15" customHeight="1" thickBot="1">
      <c r="F2510" s="405" t="s">
        <v>136</v>
      </c>
      <c r="G2510" s="406" t="s">
        <v>162</v>
      </c>
      <c r="H2510" s="406" t="s">
        <v>163</v>
      </c>
      <c r="I2510" s="406" t="s">
        <v>138</v>
      </c>
      <c r="J2510" s="406" t="s">
        <v>164</v>
      </c>
      <c r="K2510" s="407" t="s">
        <v>165</v>
      </c>
      <c r="L2510" s="408" t="s">
        <v>166</v>
      </c>
    </row>
    <row r="2511" spans="5:13" ht="15" customHeight="1">
      <c r="F2511" s="300" t="s">
        <v>167</v>
      </c>
      <c r="G2511" s="301" t="s">
        <v>168</v>
      </c>
      <c r="H2511" s="302"/>
      <c r="I2511" s="302"/>
      <c r="J2511" s="351"/>
      <c r="K2511" s="328"/>
      <c r="L2511" s="310"/>
    </row>
    <row r="2512" spans="5:13" ht="15" customHeight="1">
      <c r="F2512" s="306"/>
      <c r="G2512" s="301" t="s">
        <v>169</v>
      </c>
      <c r="H2512" s="307" t="s">
        <v>170</v>
      </c>
      <c r="I2512" s="307" t="s">
        <v>171</v>
      </c>
      <c r="J2512" s="402">
        <v>0.2</v>
      </c>
      <c r="K2512" s="309">
        <f>VLOOKUP(G2512,Upah,8,FALSE)</f>
        <v>125000</v>
      </c>
      <c r="L2512" s="310">
        <f>J2512*K2512</f>
        <v>25000</v>
      </c>
    </row>
    <row r="2513" spans="6:12" ht="15" customHeight="1">
      <c r="F2513" s="306"/>
      <c r="G2513" s="301" t="s">
        <v>379</v>
      </c>
      <c r="H2513" s="307" t="s">
        <v>380</v>
      </c>
      <c r="I2513" s="307" t="s">
        <v>171</v>
      </c>
      <c r="J2513" s="402">
        <v>0.45</v>
      </c>
      <c r="K2513" s="309">
        <f>VLOOKUP(G2513,Upah,8,FALSE)</f>
        <v>150000</v>
      </c>
      <c r="L2513" s="310">
        <f>J2513*K2513</f>
        <v>67500</v>
      </c>
    </row>
    <row r="2514" spans="6:12" ht="15" customHeight="1">
      <c r="F2514" s="306"/>
      <c r="G2514" s="301" t="s">
        <v>174</v>
      </c>
      <c r="H2514" s="307" t="s">
        <v>175</v>
      </c>
      <c r="I2514" s="307" t="s">
        <v>171</v>
      </c>
      <c r="J2514" s="402">
        <v>0.01</v>
      </c>
      <c r="K2514" s="309">
        <f>VLOOKUP(G2514,Upah,8,FALSE)</f>
        <v>165000</v>
      </c>
      <c r="L2514" s="310">
        <f>J2514*K2514</f>
        <v>1650</v>
      </c>
    </row>
    <row r="2515" spans="6:12" ht="15" customHeight="1" thickBot="1">
      <c r="F2515" s="311"/>
      <c r="G2515" s="312" t="s">
        <v>176</v>
      </c>
      <c r="H2515" s="313" t="s">
        <v>177</v>
      </c>
      <c r="I2515" s="313" t="s">
        <v>171</v>
      </c>
      <c r="J2515" s="403">
        <v>0.05</v>
      </c>
      <c r="K2515" s="309">
        <f>VLOOKUP(G2515,Upah,8,FALSE)</f>
        <v>170000</v>
      </c>
      <c r="L2515" s="330">
        <f>J2515*K2515</f>
        <v>8500</v>
      </c>
    </row>
    <row r="2516" spans="6:12" ht="15" customHeight="1" thickBot="1">
      <c r="F2516" s="316"/>
      <c r="G2516" s="317"/>
      <c r="H2516" s="318"/>
      <c r="I2516" s="318"/>
      <c r="J2516" s="319" t="s">
        <v>178</v>
      </c>
      <c r="K2516" s="320"/>
      <c r="L2516" s="321">
        <f>SUM(L2512:L2515)</f>
        <v>102650</v>
      </c>
    </row>
    <row r="2517" spans="6:12" ht="15" customHeight="1">
      <c r="F2517" s="344" t="s">
        <v>179</v>
      </c>
      <c r="G2517" s="345" t="s">
        <v>180</v>
      </c>
      <c r="H2517" s="346"/>
      <c r="I2517" s="346"/>
      <c r="J2517" s="347"/>
      <c r="K2517" s="348"/>
      <c r="L2517" s="349"/>
    </row>
    <row r="2518" spans="6:12" ht="15" customHeight="1">
      <c r="F2518" s="306"/>
      <c r="G2518" s="404" t="s">
        <v>602</v>
      </c>
      <c r="H2518" s="302"/>
      <c r="I2518" s="307" t="s">
        <v>93</v>
      </c>
      <c r="J2518" s="308">
        <v>3.72</v>
      </c>
      <c r="K2518" s="328">
        <f>VLOOKUP(G2518,Bahan,6,FALSE)</f>
        <v>37500</v>
      </c>
      <c r="L2518" s="310">
        <f>J2518*K2518</f>
        <v>139500</v>
      </c>
    </row>
    <row r="2519" spans="6:12" ht="15" customHeight="1">
      <c r="F2519" s="306"/>
      <c r="G2519" s="404" t="s">
        <v>608</v>
      </c>
      <c r="H2519" s="302"/>
      <c r="I2519" s="307" t="s">
        <v>36</v>
      </c>
      <c r="J2519" s="308">
        <v>28</v>
      </c>
      <c r="K2519" s="328">
        <f>VLOOKUP(G2519,Bahan,6,FALSE)</f>
        <v>540</v>
      </c>
      <c r="L2519" s="310">
        <f>J2519*K2519</f>
        <v>15120</v>
      </c>
    </row>
    <row r="2520" spans="6:12" ht="15" customHeight="1">
      <c r="F2520" s="306"/>
      <c r="G2520" s="404" t="s">
        <v>451</v>
      </c>
      <c r="H2520" s="302"/>
      <c r="I2520" s="307" t="s">
        <v>36</v>
      </c>
      <c r="J2520" s="308">
        <v>2</v>
      </c>
      <c r="K2520" s="328">
        <f>VLOOKUP(G2520,Bahan,6,FALSE)</f>
        <v>12500</v>
      </c>
      <c r="L2520" s="310">
        <f>J2520*K2520</f>
        <v>25000</v>
      </c>
    </row>
    <row r="2521" spans="6:12" ht="15" customHeight="1">
      <c r="F2521" s="306"/>
      <c r="G2521" s="404" t="s">
        <v>609</v>
      </c>
      <c r="H2521" s="302"/>
      <c r="I2521" s="307" t="s">
        <v>93</v>
      </c>
      <c r="J2521" s="308">
        <v>5.4</v>
      </c>
      <c r="K2521" s="328">
        <f>VLOOKUP(G2521,Bahan,6,FALSE)</f>
        <v>11000</v>
      </c>
      <c r="L2521" s="310">
        <f>J2521*K2521</f>
        <v>59400.000000000007</v>
      </c>
    </row>
    <row r="2522" spans="6:12" ht="15" customHeight="1" thickBot="1">
      <c r="F2522" s="362"/>
      <c r="G2522" s="409" t="s">
        <v>610</v>
      </c>
      <c r="H2522" s="364"/>
      <c r="I2522" s="365" t="s">
        <v>93</v>
      </c>
      <c r="J2522" s="366">
        <v>0.124</v>
      </c>
      <c r="K2522" s="328">
        <f>VLOOKUP(G2522,Bahan,6,FALSE)</f>
        <v>50400</v>
      </c>
      <c r="L2522" s="367">
        <f>J2522*K2522</f>
        <v>6249.6</v>
      </c>
    </row>
    <row r="2523" spans="6:12" ht="15" customHeight="1" thickBot="1">
      <c r="F2523" s="410"/>
      <c r="G2523" s="411"/>
      <c r="H2523" s="382"/>
      <c r="I2523" s="382"/>
      <c r="J2523" s="412" t="s">
        <v>189</v>
      </c>
      <c r="K2523" s="384"/>
      <c r="L2523" s="385">
        <f>SUM(L2518:L2522)</f>
        <v>245269.6</v>
      </c>
    </row>
    <row r="2524" spans="6:12" ht="15" customHeight="1">
      <c r="F2524" s="300" t="s">
        <v>190</v>
      </c>
      <c r="G2524" s="301" t="s">
        <v>191</v>
      </c>
      <c r="H2524" s="302"/>
      <c r="I2524" s="302"/>
      <c r="J2524" s="351"/>
      <c r="K2524" s="328"/>
      <c r="L2524" s="310"/>
    </row>
    <row r="2525" spans="6:12" ht="15" customHeight="1" thickBot="1">
      <c r="F2525" s="331"/>
      <c r="G2525" s="332" t="s">
        <v>603</v>
      </c>
      <c r="H2525" s="333"/>
      <c r="I2525" s="333"/>
      <c r="J2525" s="334">
        <v>0.1</v>
      </c>
      <c r="K2525" s="328"/>
      <c r="L2525" s="336">
        <f>J2525*L2523</f>
        <v>24526.960000000003</v>
      </c>
    </row>
    <row r="2526" spans="6:12" ht="15" customHeight="1" thickBot="1">
      <c r="F2526" s="316"/>
      <c r="G2526" s="317"/>
      <c r="H2526" s="318"/>
      <c r="I2526" s="318"/>
      <c r="J2526" s="319" t="s">
        <v>192</v>
      </c>
      <c r="K2526" s="320"/>
      <c r="L2526" s="321">
        <f>L2524</f>
        <v>0</v>
      </c>
    </row>
    <row r="2527" spans="6:12" ht="15" customHeight="1">
      <c r="F2527" s="344" t="s">
        <v>193</v>
      </c>
      <c r="G2527" s="345" t="s">
        <v>194</v>
      </c>
      <c r="H2527" s="346"/>
      <c r="I2527" s="346"/>
      <c r="J2527" s="347"/>
      <c r="K2527" s="348">
        <v>0</v>
      </c>
      <c r="L2527" s="310">
        <f>SUM(L2510:L2526)/2</f>
        <v>360183.07999999996</v>
      </c>
    </row>
    <row r="2528" spans="6:12" ht="15" customHeight="1" thickBot="1">
      <c r="F2528" s="331" t="s">
        <v>195</v>
      </c>
      <c r="G2528" s="332" t="s">
        <v>196</v>
      </c>
      <c r="H2528" s="333"/>
      <c r="I2528" s="333"/>
      <c r="J2528" s="350">
        <v>0.1</v>
      </c>
      <c r="K2528" s="335"/>
      <c r="L2528" s="330">
        <f>J2528*L2527</f>
        <v>36018.307999999997</v>
      </c>
    </row>
    <row r="2529" spans="5:13" ht="15" customHeight="1" thickBot="1">
      <c r="F2529" s="340" t="s">
        <v>197</v>
      </c>
      <c r="G2529" s="341" t="s">
        <v>198</v>
      </c>
      <c r="H2529" s="318"/>
      <c r="I2529" s="318"/>
      <c r="J2529" s="342"/>
      <c r="K2529" s="320">
        <v>0</v>
      </c>
      <c r="L2529" s="321">
        <f>ROUNDDOWN(L2527+L2528,0)</f>
        <v>396201</v>
      </c>
    </row>
    <row r="2530" spans="5:13" ht="15" customHeight="1">
      <c r="F2530" s="298"/>
      <c r="G2530" s="298"/>
      <c r="J2530" s="343"/>
      <c r="K2530" s="355"/>
      <c r="L2530" s="299"/>
    </row>
    <row r="2531" spans="5:13" ht="15" customHeight="1">
      <c r="F2531" s="298"/>
      <c r="G2531" s="298"/>
      <c r="J2531" s="343"/>
    </row>
    <row r="2532" spans="5:13" ht="15" customHeight="1" thickBot="1">
      <c r="E2532" s="356" t="s">
        <v>611</v>
      </c>
      <c r="F2532" s="298" t="s">
        <v>612</v>
      </c>
      <c r="G2532" s="298"/>
      <c r="J2532" s="343"/>
      <c r="K2532" s="355"/>
      <c r="L2532" s="299"/>
      <c r="M2532" s="299">
        <f>L2549</f>
        <v>220368</v>
      </c>
    </row>
    <row r="2533" spans="5:13" ht="15" customHeight="1" thickBot="1">
      <c r="F2533" s="340" t="s">
        <v>136</v>
      </c>
      <c r="G2533" s="341" t="s">
        <v>162</v>
      </c>
      <c r="H2533" s="352" t="s">
        <v>163</v>
      </c>
      <c r="I2533" s="352" t="s">
        <v>138</v>
      </c>
      <c r="J2533" s="353" t="s">
        <v>164</v>
      </c>
      <c r="K2533" s="341" t="s">
        <v>165</v>
      </c>
      <c r="L2533" s="354" t="s">
        <v>166</v>
      </c>
    </row>
    <row r="2534" spans="5:13" ht="15" customHeight="1">
      <c r="F2534" s="300" t="s">
        <v>167</v>
      </c>
      <c r="G2534" s="301" t="s">
        <v>168</v>
      </c>
      <c r="H2534" s="302"/>
      <c r="I2534" s="302"/>
      <c r="J2534" s="351"/>
      <c r="K2534" s="328"/>
      <c r="L2534" s="310"/>
    </row>
    <row r="2535" spans="5:13" ht="15" customHeight="1">
      <c r="F2535" s="306"/>
      <c r="G2535" s="301" t="s">
        <v>169</v>
      </c>
      <c r="H2535" s="307" t="s">
        <v>170</v>
      </c>
      <c r="I2535" s="307" t="s">
        <v>171</v>
      </c>
      <c r="J2535" s="402">
        <v>0.35</v>
      </c>
      <c r="K2535" s="309">
        <f>VLOOKUP(G2535,Upah,8,FALSE)</f>
        <v>125000</v>
      </c>
      <c r="L2535" s="310">
        <f>J2535*K2535</f>
        <v>43750</v>
      </c>
    </row>
    <row r="2536" spans="5:13" ht="15" customHeight="1">
      <c r="F2536" s="306"/>
      <c r="G2536" s="301" t="s">
        <v>258</v>
      </c>
      <c r="H2536" s="307" t="s">
        <v>380</v>
      </c>
      <c r="I2536" s="307" t="s">
        <v>171</v>
      </c>
      <c r="J2536" s="402">
        <v>0.35</v>
      </c>
      <c r="K2536" s="309">
        <f>VLOOKUP(G2536,Upah,8,FALSE)</f>
        <v>150000</v>
      </c>
      <c r="L2536" s="310">
        <f>J2536*K2536</f>
        <v>52500</v>
      </c>
    </row>
    <row r="2537" spans="5:13" ht="15" customHeight="1">
      <c r="F2537" s="306"/>
      <c r="G2537" s="301" t="s">
        <v>174</v>
      </c>
      <c r="H2537" s="307" t="s">
        <v>175</v>
      </c>
      <c r="I2537" s="307" t="s">
        <v>171</v>
      </c>
      <c r="J2537" s="402">
        <v>3.5000000000000003E-2</v>
      </c>
      <c r="K2537" s="309">
        <f>VLOOKUP(G2537,Upah,8,FALSE)</f>
        <v>165000</v>
      </c>
      <c r="L2537" s="310">
        <f>J2537*K2537</f>
        <v>5775.0000000000009</v>
      </c>
    </row>
    <row r="2538" spans="5:13" ht="15" customHeight="1" thickBot="1">
      <c r="F2538" s="311"/>
      <c r="G2538" s="312" t="s">
        <v>176</v>
      </c>
      <c r="H2538" s="313" t="s">
        <v>177</v>
      </c>
      <c r="I2538" s="313" t="s">
        <v>171</v>
      </c>
      <c r="J2538" s="403">
        <v>1.7999999999999999E-2</v>
      </c>
      <c r="K2538" s="309">
        <f>VLOOKUP(G2538,Upah,8,FALSE)</f>
        <v>170000</v>
      </c>
      <c r="L2538" s="330">
        <f>J2538*K2538</f>
        <v>3059.9999999999995</v>
      </c>
    </row>
    <row r="2539" spans="5:13" ht="15" customHeight="1" thickBot="1">
      <c r="F2539" s="316"/>
      <c r="G2539" s="317"/>
      <c r="H2539" s="318"/>
      <c r="I2539" s="318"/>
      <c r="J2539" s="319" t="s">
        <v>178</v>
      </c>
      <c r="K2539" s="320"/>
      <c r="L2539" s="321">
        <f>SUM(L2535:L2538)</f>
        <v>105085</v>
      </c>
    </row>
    <row r="2540" spans="5:13" ht="15" customHeight="1">
      <c r="F2540" s="344" t="s">
        <v>179</v>
      </c>
      <c r="G2540" s="345" t="s">
        <v>180</v>
      </c>
      <c r="H2540" s="346"/>
      <c r="I2540" s="346"/>
      <c r="J2540" s="347"/>
      <c r="K2540" s="348"/>
      <c r="L2540" s="349"/>
    </row>
    <row r="2541" spans="5:13" ht="15" customHeight="1">
      <c r="F2541" s="306"/>
      <c r="G2541" s="404" t="s">
        <v>613</v>
      </c>
      <c r="H2541" s="302"/>
      <c r="I2541" s="307" t="s">
        <v>614</v>
      </c>
      <c r="J2541" s="308">
        <v>1</v>
      </c>
      <c r="K2541" s="328">
        <f>VLOOKUP(G2541,Bahan,6,FALSE)</f>
        <v>95250</v>
      </c>
      <c r="L2541" s="310">
        <f>J2541*K2541</f>
        <v>95250</v>
      </c>
    </row>
    <row r="2542" spans="5:13" ht="15" customHeight="1" thickBot="1">
      <c r="F2542" s="362"/>
      <c r="G2542" s="409"/>
      <c r="H2542" s="364"/>
      <c r="I2542" s="365"/>
      <c r="J2542" s="366"/>
      <c r="K2542" s="413"/>
      <c r="L2542" s="367"/>
    </row>
    <row r="2543" spans="5:13" ht="15" customHeight="1" thickBot="1">
      <c r="F2543" s="410"/>
      <c r="G2543" s="411"/>
      <c r="H2543" s="382"/>
      <c r="I2543" s="382"/>
      <c r="J2543" s="412" t="s">
        <v>189</v>
      </c>
      <c r="K2543" s="384"/>
      <c r="L2543" s="385">
        <f>SUM(L2541:L2542)</f>
        <v>95250</v>
      </c>
    </row>
    <row r="2544" spans="5:13" ht="15" customHeight="1">
      <c r="F2544" s="300" t="s">
        <v>190</v>
      </c>
      <c r="G2544" s="301" t="s">
        <v>191</v>
      </c>
      <c r="H2544" s="302"/>
      <c r="I2544" s="302"/>
      <c r="J2544" s="351"/>
      <c r="K2544" s="328"/>
      <c r="L2544" s="310"/>
    </row>
    <row r="2545" spans="4:13" ht="15" customHeight="1" thickBot="1">
      <c r="F2545" s="331"/>
      <c r="G2545" s="332"/>
      <c r="H2545" s="333"/>
      <c r="I2545" s="333"/>
      <c r="J2545" s="334"/>
      <c r="K2545" s="328"/>
      <c r="L2545" s="336"/>
    </row>
    <row r="2546" spans="4:13" ht="15" customHeight="1" thickBot="1">
      <c r="F2546" s="316"/>
      <c r="G2546" s="317"/>
      <c r="H2546" s="318"/>
      <c r="I2546" s="318"/>
      <c r="J2546" s="319" t="s">
        <v>192</v>
      </c>
      <c r="K2546" s="320"/>
      <c r="L2546" s="321">
        <f>L2544</f>
        <v>0</v>
      </c>
    </row>
    <row r="2547" spans="4:13" ht="15" customHeight="1">
      <c r="F2547" s="344" t="s">
        <v>193</v>
      </c>
      <c r="G2547" s="345" t="s">
        <v>194</v>
      </c>
      <c r="H2547" s="346"/>
      <c r="I2547" s="346"/>
      <c r="J2547" s="347"/>
      <c r="K2547" s="348">
        <v>0</v>
      </c>
      <c r="L2547" s="310">
        <f>SUM(L2533:L2546)/2</f>
        <v>200335</v>
      </c>
    </row>
    <row r="2548" spans="4:13" ht="15" customHeight="1" thickBot="1">
      <c r="F2548" s="331" t="s">
        <v>195</v>
      </c>
      <c r="G2548" s="332" t="s">
        <v>196</v>
      </c>
      <c r="H2548" s="333"/>
      <c r="I2548" s="333"/>
      <c r="J2548" s="350">
        <v>0.1</v>
      </c>
      <c r="K2548" s="335"/>
      <c r="L2548" s="330">
        <f>J2548*L2547</f>
        <v>20033.5</v>
      </c>
    </row>
    <row r="2549" spans="4:13" ht="15" customHeight="1" thickBot="1">
      <c r="F2549" s="340" t="s">
        <v>197</v>
      </c>
      <c r="G2549" s="341" t="s">
        <v>198</v>
      </c>
      <c r="H2549" s="318"/>
      <c r="I2549" s="318"/>
      <c r="J2549" s="342"/>
      <c r="K2549" s="320">
        <v>0</v>
      </c>
      <c r="L2549" s="321">
        <f>ROUNDDOWN(L2547+L2548,0)</f>
        <v>220368</v>
      </c>
    </row>
    <row r="2550" spans="4:13" ht="15" customHeight="1">
      <c r="F2550" s="298"/>
      <c r="G2550" s="298"/>
      <c r="J2550" s="343"/>
      <c r="K2550" s="355"/>
      <c r="L2550" s="299"/>
    </row>
    <row r="2551" spans="4:13" ht="15" customHeight="1">
      <c r="D2551" s="560" t="s">
        <v>615</v>
      </c>
      <c r="E2551" s="294" t="s">
        <v>616</v>
      </c>
      <c r="F2551" s="298"/>
      <c r="G2551" s="298"/>
      <c r="J2551" s="343"/>
      <c r="K2551" s="355"/>
      <c r="L2551" s="299"/>
    </row>
    <row r="2552" spans="4:13" ht="15" customHeight="1" thickBot="1">
      <c r="E2552" s="356" t="s">
        <v>617</v>
      </c>
      <c r="F2552" s="295" t="s">
        <v>618</v>
      </c>
      <c r="J2552" s="343"/>
      <c r="M2552" s="299">
        <f>L2569</f>
        <v>397166</v>
      </c>
    </row>
    <row r="2553" spans="4:13" ht="15" customHeight="1" thickBot="1">
      <c r="F2553" s="340" t="s">
        <v>136</v>
      </c>
      <c r="G2553" s="341" t="s">
        <v>162</v>
      </c>
      <c r="H2553" s="352" t="s">
        <v>163</v>
      </c>
      <c r="I2553" s="352" t="s">
        <v>138</v>
      </c>
      <c r="J2553" s="353" t="s">
        <v>164</v>
      </c>
      <c r="K2553" s="341" t="s">
        <v>165</v>
      </c>
      <c r="L2553" s="354" t="s">
        <v>166</v>
      </c>
    </row>
    <row r="2554" spans="4:13" ht="15" customHeight="1">
      <c r="F2554" s="300" t="s">
        <v>167</v>
      </c>
      <c r="G2554" s="301" t="s">
        <v>168</v>
      </c>
      <c r="H2554" s="302"/>
      <c r="I2554" s="302"/>
      <c r="J2554" s="351"/>
      <c r="K2554" s="328"/>
      <c r="L2554" s="310"/>
    </row>
    <row r="2555" spans="4:13" ht="15" customHeight="1">
      <c r="F2555" s="306"/>
      <c r="G2555" s="301" t="s">
        <v>169</v>
      </c>
      <c r="H2555" s="307" t="s">
        <v>170</v>
      </c>
      <c r="I2555" s="307" t="s">
        <v>171</v>
      </c>
      <c r="J2555" s="308">
        <v>0.6</v>
      </c>
      <c r="K2555" s="309">
        <f>VLOOKUP(G2555,Upah,8,FALSE)</f>
        <v>125000</v>
      </c>
      <c r="L2555" s="310">
        <f>J2555*K2555</f>
        <v>75000</v>
      </c>
    </row>
    <row r="2556" spans="4:13" ht="15" customHeight="1">
      <c r="F2556" s="306"/>
      <c r="G2556" s="301" t="s">
        <v>308</v>
      </c>
      <c r="H2556" s="307" t="s">
        <v>217</v>
      </c>
      <c r="I2556" s="307" t="s">
        <v>171</v>
      </c>
      <c r="J2556" s="308">
        <v>0.2</v>
      </c>
      <c r="K2556" s="309">
        <f>VLOOKUP(G2556,Upah,8,FALSE)</f>
        <v>150000</v>
      </c>
      <c r="L2556" s="310">
        <f>J2556*K2556</f>
        <v>30000</v>
      </c>
    </row>
    <row r="2557" spans="4:13" ht="15" customHeight="1">
      <c r="F2557" s="306"/>
      <c r="G2557" s="301" t="s">
        <v>174</v>
      </c>
      <c r="H2557" s="307" t="s">
        <v>175</v>
      </c>
      <c r="I2557" s="307" t="s">
        <v>171</v>
      </c>
      <c r="J2557" s="308">
        <v>0.02</v>
      </c>
      <c r="K2557" s="309">
        <f>VLOOKUP(G2557,Upah,8,FALSE)</f>
        <v>165000</v>
      </c>
      <c r="L2557" s="310">
        <f>J2557*K2557</f>
        <v>3300</v>
      </c>
    </row>
    <row r="2558" spans="4:13" ht="15" customHeight="1" thickBot="1">
      <c r="F2558" s="306"/>
      <c r="G2558" s="301" t="s">
        <v>176</v>
      </c>
      <c r="H2558" s="307" t="s">
        <v>177</v>
      </c>
      <c r="I2558" s="307" t="s">
        <v>171</v>
      </c>
      <c r="J2558" s="308">
        <v>0.03</v>
      </c>
      <c r="K2558" s="309">
        <f>VLOOKUP(G2558,Upah,8,FALSE)</f>
        <v>170000</v>
      </c>
      <c r="L2558" s="310">
        <f>J2558*K2558</f>
        <v>5100</v>
      </c>
    </row>
    <row r="2559" spans="4:13" ht="15" customHeight="1" thickBot="1">
      <c r="F2559" s="316"/>
      <c r="G2559" s="317"/>
      <c r="H2559" s="318"/>
      <c r="I2559" s="318"/>
      <c r="J2559" s="319" t="s">
        <v>178</v>
      </c>
      <c r="K2559" s="320"/>
      <c r="L2559" s="321">
        <f>SUM(L2555:L2558)</f>
        <v>113400</v>
      </c>
    </row>
    <row r="2560" spans="4:13" ht="15" customHeight="1">
      <c r="F2560" s="300" t="s">
        <v>179</v>
      </c>
      <c r="G2560" s="301" t="s">
        <v>180</v>
      </c>
      <c r="H2560" s="302"/>
      <c r="I2560" s="302"/>
      <c r="J2560" s="351"/>
      <c r="K2560" s="328"/>
      <c r="L2560" s="310"/>
    </row>
    <row r="2561" spans="5:13" ht="15" customHeight="1">
      <c r="F2561" s="306"/>
      <c r="G2561" s="301" t="s">
        <v>220</v>
      </c>
      <c r="H2561" s="302"/>
      <c r="I2561" s="307" t="s">
        <v>44</v>
      </c>
      <c r="J2561" s="308">
        <v>140</v>
      </c>
      <c r="K2561" s="328">
        <f>VLOOKUP(G2561,Bahan,6,FALSE)</f>
        <v>1040</v>
      </c>
      <c r="L2561" s="310">
        <f>J2561*K2561</f>
        <v>145600</v>
      </c>
    </row>
    <row r="2562" spans="5:13" ht="15" customHeight="1">
      <c r="F2562" s="306"/>
      <c r="G2562" s="301" t="s">
        <v>183</v>
      </c>
      <c r="H2562" s="302"/>
      <c r="I2562" s="307" t="s">
        <v>45</v>
      </c>
      <c r="J2562" s="308">
        <v>43.5</v>
      </c>
      <c r="K2562" s="328">
        <f>VLOOKUP(G2562,Bahan,6,FALSE)</f>
        <v>1880</v>
      </c>
      <c r="L2562" s="310">
        <f>J2562*K2562</f>
        <v>81780</v>
      </c>
    </row>
    <row r="2563" spans="5:13" ht="15" customHeight="1" thickBot="1">
      <c r="F2563" s="306"/>
      <c r="G2563" s="301" t="s">
        <v>296</v>
      </c>
      <c r="H2563" s="302"/>
      <c r="I2563" s="307" t="s">
        <v>44</v>
      </c>
      <c r="J2563" s="308">
        <v>0.08</v>
      </c>
      <c r="K2563" s="328">
        <f>VLOOKUP(G2563,Bahan,6,FALSE)</f>
        <v>253510</v>
      </c>
      <c r="L2563" s="310">
        <f>J2563*K2563</f>
        <v>20280.8</v>
      </c>
    </row>
    <row r="2564" spans="5:13" ht="15" customHeight="1" thickBot="1">
      <c r="F2564" s="316"/>
      <c r="G2564" s="317"/>
      <c r="H2564" s="318"/>
      <c r="I2564" s="318"/>
      <c r="J2564" s="319" t="s">
        <v>189</v>
      </c>
      <c r="K2564" s="320"/>
      <c r="L2564" s="321">
        <f>SUM(L2561:L2563)</f>
        <v>247660.79999999999</v>
      </c>
    </row>
    <row r="2565" spans="5:13" ht="15" customHeight="1" thickBot="1">
      <c r="F2565" s="300" t="s">
        <v>190</v>
      </c>
      <c r="G2565" s="301" t="s">
        <v>191</v>
      </c>
      <c r="H2565" s="302"/>
      <c r="I2565" s="302"/>
      <c r="J2565" s="351"/>
      <c r="K2565" s="328">
        <v>0</v>
      </c>
      <c r="L2565" s="310">
        <f>J2565*K2565</f>
        <v>0</v>
      </c>
    </row>
    <row r="2566" spans="5:13" ht="15" customHeight="1" thickBot="1">
      <c r="F2566" s="316"/>
      <c r="G2566" s="317"/>
      <c r="H2566" s="318"/>
      <c r="I2566" s="318"/>
      <c r="J2566" s="319" t="s">
        <v>192</v>
      </c>
      <c r="K2566" s="320"/>
      <c r="L2566" s="321">
        <f>L2565</f>
        <v>0</v>
      </c>
    </row>
    <row r="2567" spans="5:13" ht="15" customHeight="1">
      <c r="F2567" s="344" t="s">
        <v>193</v>
      </c>
      <c r="G2567" s="345" t="s">
        <v>194</v>
      </c>
      <c r="H2567" s="346"/>
      <c r="I2567" s="346"/>
      <c r="J2567" s="347"/>
      <c r="K2567" s="348">
        <v>0</v>
      </c>
      <c r="L2567" s="310">
        <f>SUM(L2554:L2566)/2</f>
        <v>361060.8</v>
      </c>
    </row>
    <row r="2568" spans="5:13" ht="15" customHeight="1" thickBot="1">
      <c r="F2568" s="331" t="s">
        <v>195</v>
      </c>
      <c r="G2568" s="332" t="s">
        <v>196</v>
      </c>
      <c r="H2568" s="333"/>
      <c r="I2568" s="333"/>
      <c r="J2568" s="350">
        <v>0.1</v>
      </c>
      <c r="K2568" s="335"/>
      <c r="L2568" s="330">
        <f>J2568*L2567</f>
        <v>36106.080000000002</v>
      </c>
    </row>
    <row r="2569" spans="5:13" ht="15" customHeight="1" thickBot="1">
      <c r="F2569" s="340" t="s">
        <v>197</v>
      </c>
      <c r="G2569" s="341" t="s">
        <v>198</v>
      </c>
      <c r="H2569" s="318"/>
      <c r="I2569" s="318"/>
      <c r="J2569" s="342"/>
      <c r="K2569" s="320">
        <v>0</v>
      </c>
      <c r="L2569" s="321">
        <f>ROUNDDOWN(L2567+L2568,0)</f>
        <v>397166</v>
      </c>
    </row>
    <row r="2570" spans="5:13" ht="15" customHeight="1">
      <c r="F2570" s="298"/>
      <c r="G2570" s="298"/>
      <c r="J2570" s="343"/>
    </row>
    <row r="2571" spans="5:13" ht="15" customHeight="1" thickBot="1">
      <c r="E2571" s="356" t="s">
        <v>619</v>
      </c>
      <c r="F2571" s="295" t="s">
        <v>620</v>
      </c>
      <c r="J2571" s="343"/>
      <c r="M2571" s="299">
        <f>L2588</f>
        <v>378416</v>
      </c>
    </row>
    <row r="2572" spans="5:13" ht="15" customHeight="1" thickBot="1">
      <c r="F2572" s="340" t="s">
        <v>136</v>
      </c>
      <c r="G2572" s="341" t="s">
        <v>162</v>
      </c>
      <c r="H2572" s="352" t="s">
        <v>163</v>
      </c>
      <c r="I2572" s="352" t="s">
        <v>138</v>
      </c>
      <c r="J2572" s="353" t="s">
        <v>164</v>
      </c>
      <c r="K2572" s="341" t="s">
        <v>165</v>
      </c>
      <c r="L2572" s="354" t="s">
        <v>166</v>
      </c>
    </row>
    <row r="2573" spans="5:13" ht="15" customHeight="1">
      <c r="F2573" s="300" t="s">
        <v>167</v>
      </c>
      <c r="G2573" s="301" t="s">
        <v>168</v>
      </c>
      <c r="H2573" s="302"/>
      <c r="I2573" s="302"/>
      <c r="J2573" s="351"/>
      <c r="K2573" s="328"/>
      <c r="L2573" s="310"/>
    </row>
    <row r="2574" spans="5:13" ht="15" customHeight="1">
      <c r="F2574" s="306"/>
      <c r="G2574" s="301" t="s">
        <v>169</v>
      </c>
      <c r="H2574" s="307" t="s">
        <v>170</v>
      </c>
      <c r="I2574" s="307" t="s">
        <v>171</v>
      </c>
      <c r="J2574" s="308">
        <v>0.6</v>
      </c>
      <c r="K2574" s="309">
        <f>VLOOKUP(G2574,Upah,8,FALSE)</f>
        <v>125000</v>
      </c>
      <c r="L2574" s="310">
        <f>J2574*K2574</f>
        <v>75000</v>
      </c>
    </row>
    <row r="2575" spans="5:13" ht="15" customHeight="1">
      <c r="F2575" s="306"/>
      <c r="G2575" s="301" t="s">
        <v>308</v>
      </c>
      <c r="H2575" s="307" t="s">
        <v>217</v>
      </c>
      <c r="I2575" s="307" t="s">
        <v>171</v>
      </c>
      <c r="J2575" s="308">
        <v>0.2</v>
      </c>
      <c r="K2575" s="309">
        <f>VLOOKUP(G2575,Upah,8,FALSE)</f>
        <v>150000</v>
      </c>
      <c r="L2575" s="310">
        <f>J2575*K2575</f>
        <v>30000</v>
      </c>
    </row>
    <row r="2576" spans="5:13" ht="15" customHeight="1">
      <c r="F2576" s="306"/>
      <c r="G2576" s="301" t="s">
        <v>174</v>
      </c>
      <c r="H2576" s="307" t="s">
        <v>175</v>
      </c>
      <c r="I2576" s="307" t="s">
        <v>171</v>
      </c>
      <c r="J2576" s="308">
        <v>0.02</v>
      </c>
      <c r="K2576" s="309">
        <f>VLOOKUP(G2576,Upah,8,FALSE)</f>
        <v>165000</v>
      </c>
      <c r="L2576" s="310">
        <f>J2576*K2576</f>
        <v>3300</v>
      </c>
    </row>
    <row r="2577" spans="5:13" ht="15" customHeight="1" thickBot="1">
      <c r="F2577" s="306"/>
      <c r="G2577" s="301" t="s">
        <v>176</v>
      </c>
      <c r="H2577" s="307" t="s">
        <v>177</v>
      </c>
      <c r="I2577" s="307" t="s">
        <v>171</v>
      </c>
      <c r="J2577" s="308">
        <v>0.03</v>
      </c>
      <c r="K2577" s="309">
        <f>VLOOKUP(G2577,Upah,8,FALSE)</f>
        <v>170000</v>
      </c>
      <c r="L2577" s="310">
        <f>J2577*K2577</f>
        <v>5100</v>
      </c>
    </row>
    <row r="2578" spans="5:13" ht="15" customHeight="1" thickBot="1">
      <c r="F2578" s="316"/>
      <c r="G2578" s="317"/>
      <c r="H2578" s="318"/>
      <c r="I2578" s="318"/>
      <c r="J2578" s="319" t="s">
        <v>178</v>
      </c>
      <c r="K2578" s="320"/>
      <c r="L2578" s="321">
        <f>SUM(L2574:L2577)</f>
        <v>113400</v>
      </c>
    </row>
    <row r="2579" spans="5:13" ht="15" customHeight="1">
      <c r="F2579" s="300" t="s">
        <v>179</v>
      </c>
      <c r="G2579" s="301" t="s">
        <v>180</v>
      </c>
      <c r="H2579" s="302"/>
      <c r="I2579" s="302"/>
      <c r="J2579" s="351"/>
      <c r="K2579" s="328"/>
      <c r="L2579" s="310"/>
    </row>
    <row r="2580" spans="5:13" ht="15" customHeight="1">
      <c r="F2580" s="306"/>
      <c r="G2580" s="301" t="s">
        <v>220</v>
      </c>
      <c r="H2580" s="302"/>
      <c r="I2580" s="307" t="s">
        <v>44</v>
      </c>
      <c r="J2580" s="308">
        <v>140</v>
      </c>
      <c r="K2580" s="328">
        <f>VLOOKUP(G2580,Bahan,6,FALSE)</f>
        <v>1040</v>
      </c>
      <c r="L2580" s="310">
        <f>J2580*K2580</f>
        <v>145600</v>
      </c>
    </row>
    <row r="2581" spans="5:13" ht="15" customHeight="1">
      <c r="F2581" s="306"/>
      <c r="G2581" s="301" t="s">
        <v>183</v>
      </c>
      <c r="H2581" s="302"/>
      <c r="I2581" s="307" t="s">
        <v>45</v>
      </c>
      <c r="J2581" s="308">
        <v>32.950000000000003</v>
      </c>
      <c r="K2581" s="328">
        <f>VLOOKUP(G2581,Bahan,6,FALSE)</f>
        <v>1880</v>
      </c>
      <c r="L2581" s="310">
        <f>J2581*K2581</f>
        <v>61946.000000000007</v>
      </c>
    </row>
    <row r="2582" spans="5:13" ht="15" customHeight="1" thickBot="1">
      <c r="F2582" s="306"/>
      <c r="G2582" s="301" t="s">
        <v>296</v>
      </c>
      <c r="H2582" s="302"/>
      <c r="I2582" s="307" t="s">
        <v>44</v>
      </c>
      <c r="J2582" s="308">
        <v>9.0999999999999998E-2</v>
      </c>
      <c r="K2582" s="328">
        <f>VLOOKUP(G2582,Bahan,6,FALSE)</f>
        <v>253510</v>
      </c>
      <c r="L2582" s="310">
        <f>J2582*K2582</f>
        <v>23069.41</v>
      </c>
    </row>
    <row r="2583" spans="5:13" ht="15" customHeight="1" thickBot="1">
      <c r="F2583" s="316"/>
      <c r="G2583" s="317"/>
      <c r="H2583" s="318"/>
      <c r="I2583" s="318"/>
      <c r="J2583" s="319" t="s">
        <v>189</v>
      </c>
      <c r="K2583" s="320"/>
      <c r="L2583" s="321">
        <f>SUM(L2580:L2582)</f>
        <v>230615.41</v>
      </c>
    </row>
    <row r="2584" spans="5:13" ht="15" customHeight="1" thickBot="1">
      <c r="F2584" s="300" t="s">
        <v>190</v>
      </c>
      <c r="G2584" s="301" t="s">
        <v>191</v>
      </c>
      <c r="H2584" s="302"/>
      <c r="I2584" s="302"/>
      <c r="J2584" s="351"/>
      <c r="K2584" s="328">
        <v>0</v>
      </c>
      <c r="L2584" s="310">
        <f>J2584*K2584</f>
        <v>0</v>
      </c>
    </row>
    <row r="2585" spans="5:13" ht="15" customHeight="1" thickBot="1">
      <c r="F2585" s="316"/>
      <c r="G2585" s="317"/>
      <c r="H2585" s="318"/>
      <c r="I2585" s="318"/>
      <c r="J2585" s="319" t="s">
        <v>192</v>
      </c>
      <c r="K2585" s="320"/>
      <c r="L2585" s="321">
        <f>L2584</f>
        <v>0</v>
      </c>
    </row>
    <row r="2586" spans="5:13" ht="15" customHeight="1">
      <c r="F2586" s="344" t="s">
        <v>193</v>
      </c>
      <c r="G2586" s="345" t="s">
        <v>194</v>
      </c>
      <c r="H2586" s="346"/>
      <c r="I2586" s="346"/>
      <c r="J2586" s="347"/>
      <c r="K2586" s="348">
        <v>0</v>
      </c>
      <c r="L2586" s="310">
        <f>SUM(L2573:L2585)/2</f>
        <v>344015.41</v>
      </c>
    </row>
    <row r="2587" spans="5:13" ht="15" customHeight="1" thickBot="1">
      <c r="F2587" s="331" t="s">
        <v>195</v>
      </c>
      <c r="G2587" s="332" t="s">
        <v>196</v>
      </c>
      <c r="H2587" s="333"/>
      <c r="I2587" s="333"/>
      <c r="J2587" s="350">
        <v>0.1</v>
      </c>
      <c r="K2587" s="335"/>
      <c r="L2587" s="330">
        <f>J2587*L2586</f>
        <v>34401.540999999997</v>
      </c>
    </row>
    <row r="2588" spans="5:13" ht="15" customHeight="1" thickBot="1">
      <c r="F2588" s="340" t="s">
        <v>197</v>
      </c>
      <c r="G2588" s="341" t="s">
        <v>198</v>
      </c>
      <c r="H2588" s="318"/>
      <c r="I2588" s="318"/>
      <c r="J2588" s="342"/>
      <c r="K2588" s="320">
        <v>0</v>
      </c>
      <c r="L2588" s="321">
        <f>ROUNDDOWN(L2586+L2587,0)</f>
        <v>378416</v>
      </c>
    </row>
    <row r="2589" spans="5:13" ht="15" customHeight="1">
      <c r="F2589" s="298"/>
      <c r="G2589" s="298"/>
      <c r="J2589" s="343"/>
    </row>
    <row r="2590" spans="5:13" ht="15" customHeight="1" thickBot="1">
      <c r="E2590" s="356" t="s">
        <v>621</v>
      </c>
      <c r="F2590" s="295" t="s">
        <v>622</v>
      </c>
      <c r="J2590" s="343"/>
      <c r="M2590" s="299">
        <f>L2607</f>
        <v>365739</v>
      </c>
    </row>
    <row r="2591" spans="5:13" ht="15" customHeight="1" thickBot="1">
      <c r="F2591" s="414" t="s">
        <v>136</v>
      </c>
      <c r="G2591" s="341" t="s">
        <v>162</v>
      </c>
      <c r="H2591" s="352" t="s">
        <v>163</v>
      </c>
      <c r="I2591" s="352" t="s">
        <v>138</v>
      </c>
      <c r="J2591" s="353" t="s">
        <v>164</v>
      </c>
      <c r="K2591" s="341" t="s">
        <v>165</v>
      </c>
      <c r="L2591" s="354" t="s">
        <v>166</v>
      </c>
    </row>
    <row r="2592" spans="5:13" ht="15" customHeight="1">
      <c r="F2592" s="300" t="s">
        <v>167</v>
      </c>
      <c r="G2592" s="301" t="s">
        <v>168</v>
      </c>
      <c r="H2592" s="302"/>
      <c r="I2592" s="302"/>
      <c r="J2592" s="351"/>
      <c r="K2592" s="328"/>
      <c r="L2592" s="310"/>
    </row>
    <row r="2593" spans="6:12" ht="15" customHeight="1">
      <c r="F2593" s="306"/>
      <c r="G2593" s="301" t="s">
        <v>169</v>
      </c>
      <c r="H2593" s="307" t="s">
        <v>170</v>
      </c>
      <c r="I2593" s="307" t="s">
        <v>171</v>
      </c>
      <c r="J2593" s="308">
        <v>0.6</v>
      </c>
      <c r="K2593" s="309">
        <f>VLOOKUP(G2593,Upah,8,FALSE)</f>
        <v>125000</v>
      </c>
      <c r="L2593" s="310">
        <f>J2593*K2593</f>
        <v>75000</v>
      </c>
    </row>
    <row r="2594" spans="6:12" ht="15" customHeight="1">
      <c r="F2594" s="306"/>
      <c r="G2594" s="301" t="s">
        <v>308</v>
      </c>
      <c r="H2594" s="307" t="s">
        <v>217</v>
      </c>
      <c r="I2594" s="307" t="s">
        <v>171</v>
      </c>
      <c r="J2594" s="308">
        <v>0.2</v>
      </c>
      <c r="K2594" s="309">
        <f>VLOOKUP(G2594,Upah,8,FALSE)</f>
        <v>150000</v>
      </c>
      <c r="L2594" s="310">
        <f>J2594*K2594</f>
        <v>30000</v>
      </c>
    </row>
    <row r="2595" spans="6:12" ht="15" customHeight="1">
      <c r="F2595" s="306"/>
      <c r="G2595" s="301" t="s">
        <v>174</v>
      </c>
      <c r="H2595" s="307" t="s">
        <v>175</v>
      </c>
      <c r="I2595" s="307" t="s">
        <v>171</v>
      </c>
      <c r="J2595" s="308">
        <v>0.02</v>
      </c>
      <c r="K2595" s="309">
        <f>VLOOKUP(G2595,Upah,8,FALSE)</f>
        <v>165000</v>
      </c>
      <c r="L2595" s="310">
        <f>J2595*K2595</f>
        <v>3300</v>
      </c>
    </row>
    <row r="2596" spans="6:12" ht="15" customHeight="1" thickBot="1">
      <c r="F2596" s="306"/>
      <c r="G2596" s="301" t="s">
        <v>176</v>
      </c>
      <c r="H2596" s="307" t="s">
        <v>177</v>
      </c>
      <c r="I2596" s="307" t="s">
        <v>171</v>
      </c>
      <c r="J2596" s="308">
        <v>0.03</v>
      </c>
      <c r="K2596" s="309">
        <f>VLOOKUP(G2596,Upah,8,FALSE)</f>
        <v>170000</v>
      </c>
      <c r="L2596" s="310">
        <f>J2596*K2596</f>
        <v>5100</v>
      </c>
    </row>
    <row r="2597" spans="6:12" ht="15" customHeight="1" thickBot="1">
      <c r="F2597" s="316"/>
      <c r="G2597" s="317"/>
      <c r="H2597" s="318"/>
      <c r="I2597" s="318"/>
      <c r="J2597" s="319" t="s">
        <v>178</v>
      </c>
      <c r="K2597" s="320"/>
      <c r="L2597" s="321">
        <f>SUM(L2593:L2596)</f>
        <v>113400</v>
      </c>
    </row>
    <row r="2598" spans="6:12" ht="15" customHeight="1">
      <c r="F2598" s="300" t="s">
        <v>179</v>
      </c>
      <c r="G2598" s="301" t="s">
        <v>180</v>
      </c>
      <c r="H2598" s="302"/>
      <c r="I2598" s="302"/>
      <c r="J2598" s="351"/>
      <c r="K2598" s="328"/>
      <c r="L2598" s="310"/>
    </row>
    <row r="2599" spans="6:12" ht="15" customHeight="1">
      <c r="F2599" s="306"/>
      <c r="G2599" s="301" t="s">
        <v>220</v>
      </c>
      <c r="H2599" s="302"/>
      <c r="I2599" s="307" t="s">
        <v>44</v>
      </c>
      <c r="J2599" s="308">
        <v>140</v>
      </c>
      <c r="K2599" s="328">
        <f>VLOOKUP(G2599,Bahan,6,FALSE)</f>
        <v>1040</v>
      </c>
      <c r="L2599" s="310">
        <f>J2599*K2599</f>
        <v>145600</v>
      </c>
    </row>
    <row r="2600" spans="6:12" ht="15" customHeight="1">
      <c r="F2600" s="306"/>
      <c r="G2600" s="301" t="s">
        <v>183</v>
      </c>
      <c r="H2600" s="302"/>
      <c r="I2600" s="307" t="s">
        <v>45</v>
      </c>
      <c r="J2600" s="308">
        <v>26.55</v>
      </c>
      <c r="K2600" s="328">
        <f>VLOOKUP(G2600,Bahan,6,FALSE)</f>
        <v>1880</v>
      </c>
      <c r="L2600" s="310">
        <f>J2600*K2600</f>
        <v>49914</v>
      </c>
    </row>
    <row r="2601" spans="6:12" ht="15" customHeight="1" thickBot="1">
      <c r="F2601" s="306"/>
      <c r="G2601" s="301" t="s">
        <v>296</v>
      </c>
      <c r="H2601" s="302"/>
      <c r="I2601" s="307" t="s">
        <v>44</v>
      </c>
      <c r="J2601" s="308">
        <v>9.2999999999999999E-2</v>
      </c>
      <c r="K2601" s="328">
        <f>VLOOKUP(G2601,Bahan,6,FALSE)</f>
        <v>253510</v>
      </c>
      <c r="L2601" s="310">
        <f>J2601*K2601</f>
        <v>23576.43</v>
      </c>
    </row>
    <row r="2602" spans="6:12" ht="15" customHeight="1" thickBot="1">
      <c r="F2602" s="316"/>
      <c r="G2602" s="317"/>
      <c r="H2602" s="318"/>
      <c r="I2602" s="318"/>
      <c r="J2602" s="319" t="s">
        <v>189</v>
      </c>
      <c r="K2602" s="320"/>
      <c r="L2602" s="321">
        <f>SUM(L2599:L2601)</f>
        <v>219090.43</v>
      </c>
    </row>
    <row r="2603" spans="6:12" ht="15" customHeight="1" thickBot="1">
      <c r="F2603" s="300" t="s">
        <v>190</v>
      </c>
      <c r="G2603" s="301" t="s">
        <v>191</v>
      </c>
      <c r="H2603" s="302"/>
      <c r="I2603" s="302"/>
      <c r="J2603" s="351"/>
      <c r="K2603" s="328">
        <v>0</v>
      </c>
      <c r="L2603" s="310">
        <f>J2603*K2603</f>
        <v>0</v>
      </c>
    </row>
    <row r="2604" spans="6:12" ht="15" customHeight="1" thickBot="1">
      <c r="F2604" s="316"/>
      <c r="G2604" s="317"/>
      <c r="H2604" s="318"/>
      <c r="I2604" s="318"/>
      <c r="J2604" s="319" t="s">
        <v>192</v>
      </c>
      <c r="K2604" s="320"/>
      <c r="L2604" s="321">
        <f>L2603</f>
        <v>0</v>
      </c>
    </row>
    <row r="2605" spans="6:12" ht="15" customHeight="1">
      <c r="F2605" s="344" t="s">
        <v>193</v>
      </c>
      <c r="G2605" s="345" t="s">
        <v>194</v>
      </c>
      <c r="H2605" s="346"/>
      <c r="I2605" s="346"/>
      <c r="J2605" s="347"/>
      <c r="K2605" s="348">
        <v>0</v>
      </c>
      <c r="L2605" s="310">
        <f>SUM(L2592:L2604)/2</f>
        <v>332490.43</v>
      </c>
    </row>
    <row r="2606" spans="6:12" ht="15" customHeight="1" thickBot="1">
      <c r="F2606" s="331" t="s">
        <v>195</v>
      </c>
      <c r="G2606" s="332" t="s">
        <v>196</v>
      </c>
      <c r="H2606" s="333"/>
      <c r="I2606" s="333"/>
      <c r="J2606" s="350">
        <v>0.1</v>
      </c>
      <c r="K2606" s="335"/>
      <c r="L2606" s="330">
        <f>J2606*L2605</f>
        <v>33249.042999999998</v>
      </c>
    </row>
    <row r="2607" spans="6:12" ht="15" customHeight="1" thickBot="1">
      <c r="F2607" s="340" t="s">
        <v>197</v>
      </c>
      <c r="G2607" s="341" t="s">
        <v>198</v>
      </c>
      <c r="H2607" s="318"/>
      <c r="I2607" s="318"/>
      <c r="J2607" s="342"/>
      <c r="K2607" s="320">
        <v>0</v>
      </c>
      <c r="L2607" s="321">
        <f>ROUNDDOWN(L2605+L2606,0)</f>
        <v>365739</v>
      </c>
    </row>
    <row r="2608" spans="6:12" ht="15" customHeight="1">
      <c r="F2608" s="298"/>
      <c r="G2608" s="298"/>
      <c r="J2608" s="343"/>
    </row>
    <row r="2609" spans="5:13" ht="15" customHeight="1" thickBot="1">
      <c r="E2609" s="356" t="s">
        <v>623</v>
      </c>
      <c r="F2609" s="295" t="s">
        <v>624</v>
      </c>
      <c r="J2609" s="343"/>
      <c r="M2609" s="299">
        <f>L2626</f>
        <v>359253</v>
      </c>
    </row>
    <row r="2610" spans="5:13" ht="15" customHeight="1" thickBot="1">
      <c r="F2610" s="340" t="s">
        <v>136</v>
      </c>
      <c r="G2610" s="341" t="s">
        <v>162</v>
      </c>
      <c r="H2610" s="352" t="s">
        <v>163</v>
      </c>
      <c r="I2610" s="352" t="s">
        <v>138</v>
      </c>
      <c r="J2610" s="353" t="s">
        <v>164</v>
      </c>
      <c r="K2610" s="341" t="s">
        <v>165</v>
      </c>
      <c r="L2610" s="354" t="s">
        <v>166</v>
      </c>
    </row>
    <row r="2611" spans="5:13" ht="15" customHeight="1">
      <c r="F2611" s="300" t="s">
        <v>167</v>
      </c>
      <c r="G2611" s="301" t="s">
        <v>168</v>
      </c>
      <c r="H2611" s="302"/>
      <c r="I2611" s="302"/>
      <c r="J2611" s="351"/>
      <c r="K2611" s="328"/>
      <c r="L2611" s="310"/>
    </row>
    <row r="2612" spans="5:13" ht="15" customHeight="1">
      <c r="F2612" s="306"/>
      <c r="G2612" s="301" t="s">
        <v>169</v>
      </c>
      <c r="H2612" s="307" t="s">
        <v>170</v>
      </c>
      <c r="I2612" s="307" t="s">
        <v>171</v>
      </c>
      <c r="J2612" s="308">
        <v>0.6</v>
      </c>
      <c r="K2612" s="309">
        <f>VLOOKUP(G2612,Upah,8,FALSE)</f>
        <v>125000</v>
      </c>
      <c r="L2612" s="310">
        <f>J2612*K2612</f>
        <v>75000</v>
      </c>
    </row>
    <row r="2613" spans="5:13" ht="15" customHeight="1">
      <c r="F2613" s="306"/>
      <c r="G2613" s="301" t="s">
        <v>308</v>
      </c>
      <c r="H2613" s="307" t="s">
        <v>217</v>
      </c>
      <c r="I2613" s="307" t="s">
        <v>171</v>
      </c>
      <c r="J2613" s="308">
        <v>0.2</v>
      </c>
      <c r="K2613" s="309">
        <f>VLOOKUP(G2613,Upah,8,FALSE)</f>
        <v>150000</v>
      </c>
      <c r="L2613" s="310">
        <f>J2613*K2613</f>
        <v>30000</v>
      </c>
    </row>
    <row r="2614" spans="5:13" ht="15" customHeight="1">
      <c r="F2614" s="306"/>
      <c r="G2614" s="301" t="s">
        <v>174</v>
      </c>
      <c r="H2614" s="307" t="s">
        <v>175</v>
      </c>
      <c r="I2614" s="307" t="s">
        <v>171</v>
      </c>
      <c r="J2614" s="308">
        <v>0.02</v>
      </c>
      <c r="K2614" s="309">
        <f>VLOOKUP(G2614,Upah,8,FALSE)</f>
        <v>165000</v>
      </c>
      <c r="L2614" s="310">
        <f>J2614*K2614</f>
        <v>3300</v>
      </c>
    </row>
    <row r="2615" spans="5:13" ht="15" customHeight="1" thickBot="1">
      <c r="F2615" s="306"/>
      <c r="G2615" s="301" t="s">
        <v>176</v>
      </c>
      <c r="H2615" s="307" t="s">
        <v>177</v>
      </c>
      <c r="I2615" s="307" t="s">
        <v>171</v>
      </c>
      <c r="J2615" s="308">
        <v>0.03</v>
      </c>
      <c r="K2615" s="309">
        <f>VLOOKUP(G2615,Upah,8,FALSE)</f>
        <v>170000</v>
      </c>
      <c r="L2615" s="310">
        <f>J2615*K2615</f>
        <v>5100</v>
      </c>
    </row>
    <row r="2616" spans="5:13" ht="15" customHeight="1" thickBot="1">
      <c r="F2616" s="316"/>
      <c r="G2616" s="317"/>
      <c r="H2616" s="318"/>
      <c r="I2616" s="318"/>
      <c r="J2616" s="319" t="s">
        <v>178</v>
      </c>
      <c r="K2616" s="320"/>
      <c r="L2616" s="321">
        <f>SUM(L2612:L2615)</f>
        <v>113400</v>
      </c>
    </row>
    <row r="2617" spans="5:13" ht="15" customHeight="1">
      <c r="F2617" s="300" t="s">
        <v>179</v>
      </c>
      <c r="G2617" s="301" t="s">
        <v>180</v>
      </c>
      <c r="H2617" s="302"/>
      <c r="I2617" s="302"/>
      <c r="J2617" s="351"/>
      <c r="K2617" s="328"/>
      <c r="L2617" s="310"/>
    </row>
    <row r="2618" spans="5:13" ht="15" customHeight="1">
      <c r="F2618" s="306"/>
      <c r="G2618" s="301" t="s">
        <v>220</v>
      </c>
      <c r="H2618" s="302"/>
      <c r="I2618" s="307" t="s">
        <v>36</v>
      </c>
      <c r="J2618" s="308">
        <v>140</v>
      </c>
      <c r="K2618" s="328">
        <f>VLOOKUP(G2618,Bahan,6,FALSE)</f>
        <v>1040</v>
      </c>
      <c r="L2618" s="310">
        <f>J2618*K2618</f>
        <v>145600</v>
      </c>
    </row>
    <row r="2619" spans="5:13" ht="15" customHeight="1">
      <c r="F2619" s="306"/>
      <c r="G2619" s="301" t="s">
        <v>183</v>
      </c>
      <c r="H2619" s="302"/>
      <c r="I2619" s="307" t="s">
        <v>45</v>
      </c>
      <c r="J2619" s="308">
        <v>22.2</v>
      </c>
      <c r="K2619" s="328">
        <f>VLOOKUP(G2619,Bahan,6,FALSE)</f>
        <v>1880</v>
      </c>
      <c r="L2619" s="310">
        <f>J2619*K2619</f>
        <v>41736</v>
      </c>
    </row>
    <row r="2620" spans="5:13" ht="15" customHeight="1" thickBot="1">
      <c r="F2620" s="306"/>
      <c r="G2620" s="301" t="s">
        <v>296</v>
      </c>
      <c r="H2620" s="302"/>
      <c r="I2620" s="307" t="s">
        <v>44</v>
      </c>
      <c r="J2620" s="308">
        <v>0.10199999999999999</v>
      </c>
      <c r="K2620" s="328">
        <f>VLOOKUP(G2620,Bahan,6,FALSE)</f>
        <v>253510</v>
      </c>
      <c r="L2620" s="310">
        <f>J2620*K2620</f>
        <v>25858.019999999997</v>
      </c>
    </row>
    <row r="2621" spans="5:13" ht="15" customHeight="1" thickBot="1">
      <c r="F2621" s="316"/>
      <c r="G2621" s="317"/>
      <c r="H2621" s="318"/>
      <c r="I2621" s="318"/>
      <c r="J2621" s="319" t="s">
        <v>189</v>
      </c>
      <c r="K2621" s="320"/>
      <c r="L2621" s="321">
        <f>SUM(L2618:L2620)</f>
        <v>213194.02</v>
      </c>
    </row>
    <row r="2622" spans="5:13" ht="15" customHeight="1" thickBot="1">
      <c r="F2622" s="300" t="s">
        <v>190</v>
      </c>
      <c r="G2622" s="301" t="s">
        <v>191</v>
      </c>
      <c r="H2622" s="302"/>
      <c r="I2622" s="302"/>
      <c r="J2622" s="351"/>
      <c r="K2622" s="328">
        <v>0</v>
      </c>
      <c r="L2622" s="310">
        <f>J2622*K2622</f>
        <v>0</v>
      </c>
    </row>
    <row r="2623" spans="5:13" ht="15" customHeight="1" thickBot="1">
      <c r="F2623" s="316"/>
      <c r="G2623" s="317"/>
      <c r="H2623" s="318"/>
      <c r="I2623" s="318"/>
      <c r="J2623" s="319" t="s">
        <v>192</v>
      </c>
      <c r="K2623" s="320"/>
      <c r="L2623" s="321">
        <f>L2622</f>
        <v>0</v>
      </c>
    </row>
    <row r="2624" spans="5:13" ht="15" customHeight="1">
      <c r="F2624" s="344" t="s">
        <v>193</v>
      </c>
      <c r="G2624" s="345" t="s">
        <v>194</v>
      </c>
      <c r="H2624" s="346"/>
      <c r="I2624" s="346"/>
      <c r="J2624" s="347"/>
      <c r="K2624" s="348">
        <v>0</v>
      </c>
      <c r="L2624" s="310">
        <f>SUM(L2611:L2623)/2</f>
        <v>326594.02</v>
      </c>
    </row>
    <row r="2625" spans="5:13" ht="15" customHeight="1" thickBot="1">
      <c r="F2625" s="331" t="s">
        <v>195</v>
      </c>
      <c r="G2625" s="332" t="s">
        <v>196</v>
      </c>
      <c r="H2625" s="333"/>
      <c r="I2625" s="333"/>
      <c r="J2625" s="350">
        <v>0.1</v>
      </c>
      <c r="K2625" s="335"/>
      <c r="L2625" s="330">
        <f>J2625*L2624</f>
        <v>32659.402000000002</v>
      </c>
    </row>
    <row r="2626" spans="5:13" ht="15" customHeight="1" thickBot="1">
      <c r="F2626" s="340" t="s">
        <v>197</v>
      </c>
      <c r="G2626" s="341" t="s">
        <v>198</v>
      </c>
      <c r="H2626" s="318"/>
      <c r="I2626" s="318"/>
      <c r="J2626" s="342"/>
      <c r="K2626" s="320">
        <v>0</v>
      </c>
      <c r="L2626" s="321">
        <f>ROUNDDOWN(L2624+L2625,0)</f>
        <v>359253</v>
      </c>
    </row>
    <row r="2627" spans="5:13" ht="15" customHeight="1">
      <c r="F2627" s="298"/>
      <c r="G2627" s="298"/>
      <c r="J2627" s="343"/>
    </row>
    <row r="2628" spans="5:13" ht="15" customHeight="1" thickBot="1">
      <c r="E2628" s="356" t="s">
        <v>625</v>
      </c>
      <c r="F2628" s="295" t="s">
        <v>626</v>
      </c>
      <c r="J2628" s="343"/>
      <c r="M2628" s="299">
        <f>L2645</f>
        <v>357179</v>
      </c>
    </row>
    <row r="2629" spans="5:13" ht="15" customHeight="1" thickBot="1">
      <c r="F2629" s="340" t="s">
        <v>136</v>
      </c>
      <c r="G2629" s="341" t="s">
        <v>162</v>
      </c>
      <c r="H2629" s="352" t="s">
        <v>163</v>
      </c>
      <c r="I2629" s="352" t="s">
        <v>138</v>
      </c>
      <c r="J2629" s="353" t="s">
        <v>164</v>
      </c>
      <c r="K2629" s="341" t="s">
        <v>165</v>
      </c>
      <c r="L2629" s="354" t="s">
        <v>166</v>
      </c>
    </row>
    <row r="2630" spans="5:13" ht="15" customHeight="1">
      <c r="F2630" s="300" t="s">
        <v>167</v>
      </c>
      <c r="G2630" s="301" t="s">
        <v>168</v>
      </c>
      <c r="H2630" s="302"/>
      <c r="I2630" s="302"/>
      <c r="J2630" s="351"/>
      <c r="K2630" s="328"/>
      <c r="L2630" s="310"/>
    </row>
    <row r="2631" spans="5:13" ht="15" customHeight="1">
      <c r="F2631" s="306"/>
      <c r="G2631" s="301" t="s">
        <v>169</v>
      </c>
      <c r="H2631" s="307" t="s">
        <v>170</v>
      </c>
      <c r="I2631" s="307" t="s">
        <v>171</v>
      </c>
      <c r="J2631" s="308">
        <v>0.6</v>
      </c>
      <c r="K2631" s="309">
        <f>VLOOKUP(G2631,Upah,8,FALSE)</f>
        <v>125000</v>
      </c>
      <c r="L2631" s="310">
        <f>J2631*K2631</f>
        <v>75000</v>
      </c>
    </row>
    <row r="2632" spans="5:13" ht="15" customHeight="1">
      <c r="F2632" s="306"/>
      <c r="G2632" s="301" t="s">
        <v>308</v>
      </c>
      <c r="H2632" s="307" t="s">
        <v>217</v>
      </c>
      <c r="I2632" s="307" t="s">
        <v>171</v>
      </c>
      <c r="J2632" s="308">
        <v>0.2</v>
      </c>
      <c r="K2632" s="309">
        <f>VLOOKUP(G2632,Upah,8,FALSE)</f>
        <v>150000</v>
      </c>
      <c r="L2632" s="310">
        <f>J2632*K2632</f>
        <v>30000</v>
      </c>
    </row>
    <row r="2633" spans="5:13" ht="15" customHeight="1">
      <c r="F2633" s="306"/>
      <c r="G2633" s="301" t="s">
        <v>174</v>
      </c>
      <c r="H2633" s="307" t="s">
        <v>175</v>
      </c>
      <c r="I2633" s="307" t="s">
        <v>171</v>
      </c>
      <c r="J2633" s="308">
        <v>0.02</v>
      </c>
      <c r="K2633" s="309">
        <f>VLOOKUP(G2633,Upah,8,FALSE)</f>
        <v>165000</v>
      </c>
      <c r="L2633" s="310">
        <f>J2633*K2633</f>
        <v>3300</v>
      </c>
    </row>
    <row r="2634" spans="5:13" ht="15" customHeight="1" thickBot="1">
      <c r="F2634" s="306"/>
      <c r="G2634" s="301" t="s">
        <v>176</v>
      </c>
      <c r="H2634" s="307" t="s">
        <v>177</v>
      </c>
      <c r="I2634" s="307" t="s">
        <v>171</v>
      </c>
      <c r="J2634" s="308">
        <v>0.03</v>
      </c>
      <c r="K2634" s="309">
        <f>VLOOKUP(G2634,Upah,8,FALSE)</f>
        <v>170000</v>
      </c>
      <c r="L2634" s="310">
        <f>J2634*K2634</f>
        <v>5100</v>
      </c>
    </row>
    <row r="2635" spans="5:13" ht="15" customHeight="1" thickBot="1">
      <c r="F2635" s="316"/>
      <c r="G2635" s="317"/>
      <c r="H2635" s="318"/>
      <c r="I2635" s="318"/>
      <c r="J2635" s="319" t="s">
        <v>178</v>
      </c>
      <c r="K2635" s="320"/>
      <c r="L2635" s="321">
        <f>SUM(L2631:L2634)</f>
        <v>113400</v>
      </c>
    </row>
    <row r="2636" spans="5:13" ht="15" customHeight="1">
      <c r="F2636" s="300" t="s">
        <v>179</v>
      </c>
      <c r="G2636" s="301" t="s">
        <v>180</v>
      </c>
      <c r="H2636" s="302"/>
      <c r="I2636" s="302"/>
      <c r="J2636" s="351"/>
      <c r="K2636" s="328"/>
      <c r="L2636" s="310"/>
    </row>
    <row r="2637" spans="5:13" ht="15" customHeight="1">
      <c r="F2637" s="306"/>
      <c r="G2637" s="301" t="s">
        <v>220</v>
      </c>
      <c r="H2637" s="302"/>
      <c r="I2637" s="307" t="s">
        <v>36</v>
      </c>
      <c r="J2637" s="308">
        <v>140</v>
      </c>
      <c r="K2637" s="328">
        <f>VLOOKUP(G2637,Bahan,6,FALSE)</f>
        <v>1040</v>
      </c>
      <c r="L2637" s="310">
        <f>J2637*K2637</f>
        <v>145600</v>
      </c>
    </row>
    <row r="2638" spans="5:13" ht="15" customHeight="1">
      <c r="F2638" s="306"/>
      <c r="G2638" s="301" t="s">
        <v>183</v>
      </c>
      <c r="H2638" s="302"/>
      <c r="I2638" s="307" t="s">
        <v>45</v>
      </c>
      <c r="J2638" s="308">
        <v>18.5</v>
      </c>
      <c r="K2638" s="328">
        <f>VLOOKUP(G2638,Bahan,6,FALSE)</f>
        <v>1880</v>
      </c>
      <c r="L2638" s="310">
        <f>J2638*K2638</f>
        <v>34780</v>
      </c>
    </row>
    <row r="2639" spans="5:13" ht="15" customHeight="1" thickBot="1">
      <c r="F2639" s="306"/>
      <c r="G2639" s="301" t="s">
        <v>296</v>
      </c>
      <c r="H2639" s="302"/>
      <c r="I2639" s="307" t="s">
        <v>44</v>
      </c>
      <c r="J2639" s="308">
        <v>0.122</v>
      </c>
      <c r="K2639" s="328">
        <f>VLOOKUP(G2639,Bahan,6,FALSE)</f>
        <v>253510</v>
      </c>
      <c r="L2639" s="310">
        <f>J2639*K2639</f>
        <v>30928.219999999998</v>
      </c>
    </row>
    <row r="2640" spans="5:13" ht="15" customHeight="1" thickBot="1">
      <c r="F2640" s="316"/>
      <c r="G2640" s="317"/>
      <c r="H2640" s="318"/>
      <c r="I2640" s="318"/>
      <c r="J2640" s="319" t="s">
        <v>189</v>
      </c>
      <c r="K2640" s="320"/>
      <c r="L2640" s="321">
        <f>SUM(L2637:L2639)</f>
        <v>211308.22</v>
      </c>
    </row>
    <row r="2641" spans="5:13" ht="15" customHeight="1" thickBot="1">
      <c r="F2641" s="300" t="s">
        <v>190</v>
      </c>
      <c r="G2641" s="301" t="s">
        <v>191</v>
      </c>
      <c r="H2641" s="302"/>
      <c r="I2641" s="302"/>
      <c r="J2641" s="351"/>
      <c r="K2641" s="328">
        <v>0</v>
      </c>
      <c r="L2641" s="310">
        <f>J2641*K2641</f>
        <v>0</v>
      </c>
    </row>
    <row r="2642" spans="5:13" ht="15" customHeight="1" thickBot="1">
      <c r="F2642" s="316"/>
      <c r="G2642" s="317"/>
      <c r="H2642" s="318"/>
      <c r="I2642" s="318"/>
      <c r="J2642" s="319" t="s">
        <v>192</v>
      </c>
      <c r="K2642" s="320"/>
      <c r="L2642" s="321">
        <f>L2641</f>
        <v>0</v>
      </c>
    </row>
    <row r="2643" spans="5:13" ht="15" customHeight="1">
      <c r="F2643" s="344" t="s">
        <v>193</v>
      </c>
      <c r="G2643" s="345" t="s">
        <v>194</v>
      </c>
      <c r="H2643" s="346"/>
      <c r="I2643" s="346"/>
      <c r="J2643" s="347"/>
      <c r="K2643" s="348">
        <v>0</v>
      </c>
      <c r="L2643" s="310">
        <f>SUM(L2630:L2642)/2</f>
        <v>324708.21999999997</v>
      </c>
    </row>
    <row r="2644" spans="5:13" ht="15" customHeight="1" thickBot="1">
      <c r="F2644" s="331" t="s">
        <v>195</v>
      </c>
      <c r="G2644" s="332" t="s">
        <v>196</v>
      </c>
      <c r="H2644" s="333"/>
      <c r="I2644" s="333"/>
      <c r="J2644" s="350">
        <v>0.1</v>
      </c>
      <c r="K2644" s="335"/>
      <c r="L2644" s="330">
        <f>J2644*L2643</f>
        <v>32470.822</v>
      </c>
    </row>
    <row r="2645" spans="5:13" ht="15" customHeight="1" thickBot="1">
      <c r="F2645" s="340" t="s">
        <v>197</v>
      </c>
      <c r="G2645" s="341" t="s">
        <v>198</v>
      </c>
      <c r="H2645" s="318"/>
      <c r="I2645" s="318"/>
      <c r="J2645" s="342"/>
      <c r="K2645" s="320">
        <v>0</v>
      </c>
      <c r="L2645" s="321">
        <f>ROUNDDOWN(L2643+L2644,0)</f>
        <v>357179</v>
      </c>
    </row>
    <row r="2646" spans="5:13" ht="15" customHeight="1">
      <c r="F2646" s="298"/>
      <c r="G2646" s="298"/>
      <c r="J2646" s="343"/>
    </row>
    <row r="2647" spans="5:13" ht="15" customHeight="1" thickBot="1">
      <c r="E2647" s="356" t="s">
        <v>627</v>
      </c>
      <c r="F2647" s="295" t="s">
        <v>628</v>
      </c>
      <c r="J2647" s="343"/>
      <c r="M2647" s="299">
        <f>L2665</f>
        <v>345120</v>
      </c>
    </row>
    <row r="2648" spans="5:13" ht="15" customHeight="1" thickBot="1">
      <c r="F2648" s="340" t="s">
        <v>136</v>
      </c>
      <c r="G2648" s="341" t="s">
        <v>162</v>
      </c>
      <c r="H2648" s="352" t="s">
        <v>163</v>
      </c>
      <c r="I2648" s="352" t="s">
        <v>138</v>
      </c>
      <c r="J2648" s="353" t="s">
        <v>164</v>
      </c>
      <c r="K2648" s="341" t="s">
        <v>165</v>
      </c>
      <c r="L2648" s="354" t="s">
        <v>166</v>
      </c>
    </row>
    <row r="2649" spans="5:13" ht="15" customHeight="1">
      <c r="F2649" s="300" t="s">
        <v>167</v>
      </c>
      <c r="G2649" s="301" t="s">
        <v>168</v>
      </c>
      <c r="H2649" s="302"/>
      <c r="I2649" s="302"/>
      <c r="J2649" s="351"/>
      <c r="K2649" s="328"/>
      <c r="L2649" s="310"/>
    </row>
    <row r="2650" spans="5:13" ht="15" customHeight="1">
      <c r="F2650" s="306"/>
      <c r="G2650" s="301" t="s">
        <v>169</v>
      </c>
      <c r="H2650" s="307" t="s">
        <v>170</v>
      </c>
      <c r="I2650" s="307" t="s">
        <v>171</v>
      </c>
      <c r="J2650" s="308">
        <v>0.6</v>
      </c>
      <c r="K2650" s="309">
        <f>VLOOKUP(G2650,Upah,8,FALSE)</f>
        <v>125000</v>
      </c>
      <c r="L2650" s="310">
        <f>J2650*K2650</f>
        <v>75000</v>
      </c>
    </row>
    <row r="2651" spans="5:13" ht="15" customHeight="1">
      <c r="F2651" s="306"/>
      <c r="G2651" s="301" t="s">
        <v>308</v>
      </c>
      <c r="H2651" s="307" t="s">
        <v>217</v>
      </c>
      <c r="I2651" s="307" t="s">
        <v>171</v>
      </c>
      <c r="J2651" s="308">
        <v>0.2</v>
      </c>
      <c r="K2651" s="309">
        <f>VLOOKUP(G2651,Upah,8,FALSE)</f>
        <v>150000</v>
      </c>
      <c r="L2651" s="310">
        <f>J2651*K2651</f>
        <v>30000</v>
      </c>
    </row>
    <row r="2652" spans="5:13" ht="15" customHeight="1">
      <c r="F2652" s="306"/>
      <c r="G2652" s="301" t="s">
        <v>174</v>
      </c>
      <c r="H2652" s="307" t="s">
        <v>175</v>
      </c>
      <c r="I2652" s="307" t="s">
        <v>171</v>
      </c>
      <c r="J2652" s="308">
        <v>0.02</v>
      </c>
      <c r="K2652" s="309">
        <f>VLOOKUP(G2652,Upah,8,FALSE)</f>
        <v>165000</v>
      </c>
      <c r="L2652" s="310">
        <f>J2652*K2652</f>
        <v>3300</v>
      </c>
    </row>
    <row r="2653" spans="5:13" ht="15" customHeight="1" thickBot="1">
      <c r="F2653" s="306"/>
      <c r="G2653" s="301" t="s">
        <v>176</v>
      </c>
      <c r="H2653" s="307" t="s">
        <v>177</v>
      </c>
      <c r="I2653" s="307" t="s">
        <v>171</v>
      </c>
      <c r="J2653" s="308">
        <v>0.03</v>
      </c>
      <c r="K2653" s="309">
        <f>VLOOKUP(G2653,Upah,8,FALSE)</f>
        <v>170000</v>
      </c>
      <c r="L2653" s="310">
        <f>J2653*K2653</f>
        <v>5100</v>
      </c>
    </row>
    <row r="2654" spans="5:13" ht="15" customHeight="1" thickBot="1">
      <c r="F2654" s="316"/>
      <c r="G2654" s="317"/>
      <c r="H2654" s="318"/>
      <c r="I2654" s="318"/>
      <c r="J2654" s="319" t="s">
        <v>178</v>
      </c>
      <c r="K2654" s="320"/>
      <c r="L2654" s="321">
        <f>SUM(L2650:L2653)</f>
        <v>113400</v>
      </c>
    </row>
    <row r="2655" spans="5:13" ht="15" customHeight="1">
      <c r="F2655" s="300" t="s">
        <v>179</v>
      </c>
      <c r="G2655" s="301" t="s">
        <v>180</v>
      </c>
      <c r="H2655" s="302"/>
      <c r="I2655" s="302"/>
      <c r="J2655" s="351"/>
      <c r="K2655" s="328"/>
      <c r="L2655" s="310"/>
    </row>
    <row r="2656" spans="5:13" ht="15" customHeight="1">
      <c r="F2656" s="306"/>
      <c r="G2656" s="301" t="s">
        <v>220</v>
      </c>
      <c r="H2656" s="302"/>
      <c r="I2656" s="307" t="s">
        <v>36</v>
      </c>
      <c r="J2656" s="308">
        <v>140</v>
      </c>
      <c r="K2656" s="328">
        <f>VLOOKUP(G2656,Bahan,6,FALSE)</f>
        <v>1040</v>
      </c>
      <c r="L2656" s="310">
        <f>J2656*K2656</f>
        <v>145600</v>
      </c>
    </row>
    <row r="2657" spans="5:13" ht="15" customHeight="1">
      <c r="F2657" s="306"/>
      <c r="G2657" s="301" t="s">
        <v>183</v>
      </c>
      <c r="H2657" s="302"/>
      <c r="I2657" s="307" t="s">
        <v>45</v>
      </c>
      <c r="J2657" s="308">
        <v>10.08</v>
      </c>
      <c r="K2657" s="328">
        <f>VLOOKUP(G2657,Bahan,6,FALSE)</f>
        <v>1880</v>
      </c>
      <c r="L2657" s="310">
        <f>J2657*K2657</f>
        <v>18950.400000000001</v>
      </c>
    </row>
    <row r="2658" spans="5:13" ht="15" customHeight="1">
      <c r="F2658" s="306"/>
      <c r="G2658" s="301" t="s">
        <v>295</v>
      </c>
      <c r="H2658" s="302"/>
      <c r="I2658" s="307" t="s">
        <v>44</v>
      </c>
      <c r="J2658" s="308">
        <v>2.75E-2</v>
      </c>
      <c r="K2658" s="328">
        <f>VLOOKUP(G2658,Bahan,6,FALSE)</f>
        <v>448950</v>
      </c>
      <c r="L2658" s="310">
        <f>J2658*K2658</f>
        <v>12346.125</v>
      </c>
    </row>
    <row r="2659" spans="5:13" ht="15" customHeight="1" thickBot="1">
      <c r="F2659" s="306"/>
      <c r="G2659" s="301" t="s">
        <v>296</v>
      </c>
      <c r="H2659" s="302"/>
      <c r="I2659" s="307" t="s">
        <v>44</v>
      </c>
      <c r="J2659" s="308">
        <v>9.2499999999999999E-2</v>
      </c>
      <c r="K2659" s="328">
        <f>VLOOKUP(G2659,Bahan,6,FALSE)</f>
        <v>253510</v>
      </c>
      <c r="L2659" s="310">
        <f>J2659*K2659</f>
        <v>23449.674999999999</v>
      </c>
    </row>
    <row r="2660" spans="5:13" ht="15" customHeight="1" thickBot="1">
      <c r="F2660" s="316"/>
      <c r="G2660" s="317"/>
      <c r="H2660" s="318"/>
      <c r="I2660" s="318"/>
      <c r="J2660" s="319" t="s">
        <v>189</v>
      </c>
      <c r="K2660" s="320"/>
      <c r="L2660" s="321">
        <f>SUM(L2656:L2659)</f>
        <v>200346.19999999998</v>
      </c>
    </row>
    <row r="2661" spans="5:13" ht="15" customHeight="1" thickBot="1">
      <c r="F2661" s="300" t="s">
        <v>190</v>
      </c>
      <c r="G2661" s="301" t="s">
        <v>191</v>
      </c>
      <c r="H2661" s="302"/>
      <c r="I2661" s="302"/>
      <c r="J2661" s="351"/>
      <c r="K2661" s="328">
        <v>0</v>
      </c>
      <c r="L2661" s="310">
        <f>J2661*K2661</f>
        <v>0</v>
      </c>
    </row>
    <row r="2662" spans="5:13" ht="15" customHeight="1" thickBot="1">
      <c r="F2662" s="316"/>
      <c r="G2662" s="317"/>
      <c r="H2662" s="318"/>
      <c r="I2662" s="318"/>
      <c r="J2662" s="319" t="s">
        <v>192</v>
      </c>
      <c r="K2662" s="320"/>
      <c r="L2662" s="321">
        <f>L2661</f>
        <v>0</v>
      </c>
    </row>
    <row r="2663" spans="5:13" ht="15" customHeight="1">
      <c r="F2663" s="344" t="s">
        <v>193</v>
      </c>
      <c r="G2663" s="345" t="s">
        <v>194</v>
      </c>
      <c r="H2663" s="346"/>
      <c r="I2663" s="346"/>
      <c r="J2663" s="347"/>
      <c r="K2663" s="348">
        <v>0</v>
      </c>
      <c r="L2663" s="310">
        <f>SUM(L2650:L2662)/2</f>
        <v>313746.2</v>
      </c>
    </row>
    <row r="2664" spans="5:13" ht="15" customHeight="1" thickBot="1">
      <c r="F2664" s="331" t="s">
        <v>195</v>
      </c>
      <c r="G2664" s="332" t="s">
        <v>196</v>
      </c>
      <c r="H2664" s="333"/>
      <c r="I2664" s="333"/>
      <c r="J2664" s="350">
        <v>0.1</v>
      </c>
      <c r="K2664" s="335"/>
      <c r="L2664" s="330">
        <f>J2664*L2663</f>
        <v>31374.620000000003</v>
      </c>
    </row>
    <row r="2665" spans="5:13" ht="15" customHeight="1" thickBot="1">
      <c r="F2665" s="340" t="s">
        <v>197</v>
      </c>
      <c r="G2665" s="341" t="s">
        <v>198</v>
      </c>
      <c r="H2665" s="318"/>
      <c r="I2665" s="318"/>
      <c r="J2665" s="342"/>
      <c r="K2665" s="320">
        <v>0</v>
      </c>
      <c r="L2665" s="321">
        <f>ROUNDDOWN(L2663+L2664,0)</f>
        <v>345120</v>
      </c>
    </row>
    <row r="2666" spans="5:13" ht="15" customHeight="1">
      <c r="F2666" s="298"/>
      <c r="G2666" s="298"/>
      <c r="J2666" s="343"/>
    </row>
    <row r="2667" spans="5:13" ht="15" customHeight="1" thickBot="1">
      <c r="E2667" s="297" t="s">
        <v>629</v>
      </c>
      <c r="F2667" s="415" t="s">
        <v>630</v>
      </c>
      <c r="G2667" s="298"/>
      <c r="J2667" s="343"/>
      <c r="M2667" s="299">
        <f>L2684</f>
        <v>192235</v>
      </c>
    </row>
    <row r="2668" spans="5:13" ht="15" customHeight="1" thickBot="1">
      <c r="F2668" s="340" t="s">
        <v>136</v>
      </c>
      <c r="G2668" s="341" t="s">
        <v>162</v>
      </c>
      <c r="H2668" s="352" t="s">
        <v>163</v>
      </c>
      <c r="I2668" s="352" t="s">
        <v>138</v>
      </c>
      <c r="J2668" s="353" t="s">
        <v>164</v>
      </c>
      <c r="K2668" s="341" t="s">
        <v>165</v>
      </c>
      <c r="L2668" s="354" t="s">
        <v>166</v>
      </c>
    </row>
    <row r="2669" spans="5:13" ht="15" customHeight="1">
      <c r="F2669" s="300" t="s">
        <v>167</v>
      </c>
      <c r="G2669" s="301" t="s">
        <v>168</v>
      </c>
      <c r="H2669" s="302"/>
      <c r="I2669" s="302"/>
      <c r="J2669" s="351"/>
      <c r="K2669" s="328"/>
      <c r="L2669" s="310"/>
    </row>
    <row r="2670" spans="5:13" ht="15" customHeight="1">
      <c r="F2670" s="306"/>
      <c r="G2670" s="301" t="s">
        <v>169</v>
      </c>
      <c r="H2670" s="307" t="s">
        <v>170</v>
      </c>
      <c r="I2670" s="307" t="s">
        <v>171</v>
      </c>
      <c r="J2670" s="308">
        <v>0.3</v>
      </c>
      <c r="K2670" s="309">
        <f>VLOOKUP(G2670,Upah,8,FALSE)</f>
        <v>125000</v>
      </c>
      <c r="L2670" s="310">
        <f>J2670*K2670</f>
        <v>37500</v>
      </c>
    </row>
    <row r="2671" spans="5:13" ht="15" customHeight="1">
      <c r="F2671" s="306"/>
      <c r="G2671" s="301" t="s">
        <v>308</v>
      </c>
      <c r="H2671" s="307" t="s">
        <v>217</v>
      </c>
      <c r="I2671" s="307" t="s">
        <v>171</v>
      </c>
      <c r="J2671" s="308">
        <v>0.1</v>
      </c>
      <c r="K2671" s="309">
        <f>VLOOKUP(G2671,Upah,8,FALSE)</f>
        <v>150000</v>
      </c>
      <c r="L2671" s="310">
        <f>J2671*K2671</f>
        <v>15000</v>
      </c>
    </row>
    <row r="2672" spans="5:13" ht="15" customHeight="1">
      <c r="F2672" s="306"/>
      <c r="G2672" s="301" t="s">
        <v>174</v>
      </c>
      <c r="H2672" s="307" t="s">
        <v>175</v>
      </c>
      <c r="I2672" s="307" t="s">
        <v>171</v>
      </c>
      <c r="J2672" s="308">
        <v>0.01</v>
      </c>
      <c r="K2672" s="309">
        <f>VLOOKUP(G2672,Upah,8,FALSE)</f>
        <v>165000</v>
      </c>
      <c r="L2672" s="310">
        <f>J2672*K2672</f>
        <v>1650</v>
      </c>
    </row>
    <row r="2673" spans="5:13" ht="15" customHeight="1" thickBot="1">
      <c r="F2673" s="306"/>
      <c r="G2673" s="301" t="s">
        <v>176</v>
      </c>
      <c r="H2673" s="307" t="s">
        <v>177</v>
      </c>
      <c r="I2673" s="307" t="s">
        <v>171</v>
      </c>
      <c r="J2673" s="308">
        <v>1.4999999999999999E-2</v>
      </c>
      <c r="K2673" s="309">
        <f>VLOOKUP(G2673,Upah,8,FALSE)</f>
        <v>170000</v>
      </c>
      <c r="L2673" s="310">
        <f>J2673*K2673</f>
        <v>2550</v>
      </c>
    </row>
    <row r="2674" spans="5:13" ht="15" customHeight="1" thickBot="1">
      <c r="F2674" s="316"/>
      <c r="G2674" s="317"/>
      <c r="H2674" s="318"/>
      <c r="I2674" s="318"/>
      <c r="J2674" s="319" t="s">
        <v>178</v>
      </c>
      <c r="K2674" s="320"/>
      <c r="L2674" s="321">
        <f>SUM(L2670:L2673)</f>
        <v>56700</v>
      </c>
    </row>
    <row r="2675" spans="5:13" ht="15" customHeight="1">
      <c r="F2675" s="300" t="s">
        <v>179</v>
      </c>
      <c r="G2675" s="301" t="s">
        <v>180</v>
      </c>
      <c r="H2675" s="302"/>
      <c r="I2675" s="302"/>
      <c r="J2675" s="351"/>
      <c r="K2675" s="328"/>
      <c r="L2675" s="310"/>
    </row>
    <row r="2676" spans="5:13" ht="15" customHeight="1">
      <c r="F2676" s="306"/>
      <c r="G2676" s="301" t="s">
        <v>220</v>
      </c>
      <c r="H2676" s="302"/>
      <c r="I2676" s="307" t="s">
        <v>36</v>
      </c>
      <c r="J2676" s="308">
        <v>70</v>
      </c>
      <c r="K2676" s="328">
        <f>VLOOKUP(G2676,Bahan,6,FALSE)</f>
        <v>1040</v>
      </c>
      <c r="L2676" s="310">
        <f>J2676*K2676</f>
        <v>72800</v>
      </c>
    </row>
    <row r="2677" spans="5:13" ht="15" customHeight="1">
      <c r="F2677" s="306"/>
      <c r="G2677" s="301" t="s">
        <v>183</v>
      </c>
      <c r="H2677" s="302"/>
      <c r="I2677" s="307" t="s">
        <v>45</v>
      </c>
      <c r="J2677" s="308">
        <v>18.95</v>
      </c>
      <c r="K2677" s="328">
        <f>VLOOKUP(G2677,Bahan,6,FALSE)</f>
        <v>1880</v>
      </c>
      <c r="L2677" s="310">
        <f>J2677*K2677</f>
        <v>35626</v>
      </c>
    </row>
    <row r="2678" spans="5:13" ht="15" customHeight="1" thickBot="1">
      <c r="F2678" s="306"/>
      <c r="G2678" s="301" t="s">
        <v>296</v>
      </c>
      <c r="H2678" s="302"/>
      <c r="I2678" s="307" t="s">
        <v>44</v>
      </c>
      <c r="J2678" s="308">
        <v>3.7999999999999999E-2</v>
      </c>
      <c r="K2678" s="328">
        <f>VLOOKUP(G2678,Bahan,6,FALSE)</f>
        <v>253510</v>
      </c>
      <c r="L2678" s="310">
        <f>J2678*K2678</f>
        <v>9633.3799999999992</v>
      </c>
    </row>
    <row r="2679" spans="5:13" ht="15" customHeight="1" thickBot="1">
      <c r="F2679" s="316"/>
      <c r="G2679" s="317"/>
      <c r="H2679" s="318"/>
      <c r="I2679" s="318"/>
      <c r="J2679" s="319" t="s">
        <v>189</v>
      </c>
      <c r="K2679" s="320"/>
      <c r="L2679" s="321">
        <f>SUM(L2676:L2678)</f>
        <v>118059.38</v>
      </c>
    </row>
    <row r="2680" spans="5:13" ht="15" customHeight="1" thickBot="1">
      <c r="F2680" s="300" t="s">
        <v>190</v>
      </c>
      <c r="G2680" s="301" t="s">
        <v>191</v>
      </c>
      <c r="H2680" s="302"/>
      <c r="I2680" s="302"/>
      <c r="J2680" s="351"/>
      <c r="K2680" s="328">
        <v>0</v>
      </c>
      <c r="L2680" s="310">
        <f>J2680*K2680</f>
        <v>0</v>
      </c>
    </row>
    <row r="2681" spans="5:13" ht="15" customHeight="1" thickBot="1">
      <c r="F2681" s="316"/>
      <c r="G2681" s="317"/>
      <c r="H2681" s="318"/>
      <c r="I2681" s="318"/>
      <c r="J2681" s="319" t="s">
        <v>192</v>
      </c>
      <c r="K2681" s="320"/>
      <c r="L2681" s="321">
        <f>L2680</f>
        <v>0</v>
      </c>
    </row>
    <row r="2682" spans="5:13" ht="15" customHeight="1">
      <c r="F2682" s="344" t="s">
        <v>193</v>
      </c>
      <c r="G2682" s="345" t="s">
        <v>194</v>
      </c>
      <c r="H2682" s="346"/>
      <c r="I2682" s="346"/>
      <c r="J2682" s="347"/>
      <c r="K2682" s="348">
        <v>0</v>
      </c>
      <c r="L2682" s="310">
        <f>SUM(L2669:L2681)/2</f>
        <v>174759.38</v>
      </c>
    </row>
    <row r="2683" spans="5:13" ht="15" customHeight="1" thickBot="1">
      <c r="F2683" s="331" t="s">
        <v>195</v>
      </c>
      <c r="G2683" s="332" t="s">
        <v>196</v>
      </c>
      <c r="H2683" s="333"/>
      <c r="I2683" s="333"/>
      <c r="J2683" s="350">
        <v>0.1</v>
      </c>
      <c r="K2683" s="335"/>
      <c r="L2683" s="330">
        <f>J2683*L2682</f>
        <v>17475.938000000002</v>
      </c>
    </row>
    <row r="2684" spans="5:13" ht="15" customHeight="1" thickBot="1">
      <c r="F2684" s="340" t="s">
        <v>197</v>
      </c>
      <c r="G2684" s="341" t="s">
        <v>198</v>
      </c>
      <c r="H2684" s="318"/>
      <c r="I2684" s="318"/>
      <c r="J2684" s="342"/>
      <c r="K2684" s="320">
        <v>0</v>
      </c>
      <c r="L2684" s="321">
        <f>ROUNDDOWN(L2682+L2683,0)</f>
        <v>192235</v>
      </c>
    </row>
    <row r="2685" spans="5:13" ht="15" customHeight="1">
      <c r="F2685" s="298"/>
      <c r="G2685" s="298"/>
      <c r="J2685" s="343"/>
    </row>
    <row r="2686" spans="5:13" ht="15" customHeight="1" thickBot="1">
      <c r="E2686" s="356" t="s">
        <v>631</v>
      </c>
      <c r="F2686" s="415" t="s">
        <v>632</v>
      </c>
      <c r="J2686" s="343"/>
      <c r="M2686" s="299">
        <f>L2703</f>
        <v>183321</v>
      </c>
    </row>
    <row r="2687" spans="5:13" ht="15" customHeight="1" thickBot="1">
      <c r="F2687" s="340" t="s">
        <v>136</v>
      </c>
      <c r="G2687" s="341" t="s">
        <v>162</v>
      </c>
      <c r="H2687" s="352" t="s">
        <v>163</v>
      </c>
      <c r="I2687" s="352" t="s">
        <v>138</v>
      </c>
      <c r="J2687" s="353" t="s">
        <v>164</v>
      </c>
      <c r="K2687" s="341" t="s">
        <v>165</v>
      </c>
      <c r="L2687" s="354" t="s">
        <v>166</v>
      </c>
    </row>
    <row r="2688" spans="5:13" ht="15" customHeight="1">
      <c r="F2688" s="300" t="s">
        <v>167</v>
      </c>
      <c r="G2688" s="301" t="s">
        <v>168</v>
      </c>
      <c r="H2688" s="302"/>
      <c r="I2688" s="302"/>
      <c r="J2688" s="351"/>
      <c r="K2688" s="328"/>
      <c r="L2688" s="310"/>
    </row>
    <row r="2689" spans="6:12" ht="15" customHeight="1">
      <c r="F2689" s="306"/>
      <c r="G2689" s="301" t="s">
        <v>169</v>
      </c>
      <c r="H2689" s="307" t="s">
        <v>170</v>
      </c>
      <c r="I2689" s="307" t="s">
        <v>171</v>
      </c>
      <c r="J2689" s="308">
        <v>0.3</v>
      </c>
      <c r="K2689" s="309">
        <f>VLOOKUP(G2689,Upah,8,FALSE)</f>
        <v>125000</v>
      </c>
      <c r="L2689" s="310">
        <f>J2689*K2689</f>
        <v>37500</v>
      </c>
    </row>
    <row r="2690" spans="6:12" ht="15" customHeight="1">
      <c r="F2690" s="306"/>
      <c r="G2690" s="301" t="s">
        <v>308</v>
      </c>
      <c r="H2690" s="307" t="s">
        <v>217</v>
      </c>
      <c r="I2690" s="307" t="s">
        <v>171</v>
      </c>
      <c r="J2690" s="308">
        <v>0.1</v>
      </c>
      <c r="K2690" s="309">
        <f>VLOOKUP(G2690,Upah,8,FALSE)</f>
        <v>150000</v>
      </c>
      <c r="L2690" s="310">
        <f>J2690*K2690</f>
        <v>15000</v>
      </c>
    </row>
    <row r="2691" spans="6:12" ht="15" customHeight="1">
      <c r="F2691" s="306"/>
      <c r="G2691" s="301" t="s">
        <v>174</v>
      </c>
      <c r="H2691" s="307" t="s">
        <v>175</v>
      </c>
      <c r="I2691" s="307" t="s">
        <v>171</v>
      </c>
      <c r="J2691" s="308">
        <v>0.01</v>
      </c>
      <c r="K2691" s="309">
        <f>VLOOKUP(G2691,Upah,8,FALSE)</f>
        <v>165000</v>
      </c>
      <c r="L2691" s="310">
        <f>J2691*K2691</f>
        <v>1650</v>
      </c>
    </row>
    <row r="2692" spans="6:12" ht="15" customHeight="1" thickBot="1">
      <c r="F2692" s="306"/>
      <c r="G2692" s="301" t="s">
        <v>176</v>
      </c>
      <c r="H2692" s="307" t="s">
        <v>177</v>
      </c>
      <c r="I2692" s="307" t="s">
        <v>171</v>
      </c>
      <c r="J2692" s="308">
        <v>1.4999999999999999E-2</v>
      </c>
      <c r="K2692" s="309">
        <f>VLOOKUP(G2692,Upah,8,FALSE)</f>
        <v>170000</v>
      </c>
      <c r="L2692" s="310">
        <f>J2692*K2692</f>
        <v>2550</v>
      </c>
    </row>
    <row r="2693" spans="6:12" ht="15" customHeight="1" thickBot="1">
      <c r="F2693" s="316"/>
      <c r="G2693" s="317"/>
      <c r="H2693" s="318"/>
      <c r="I2693" s="318"/>
      <c r="J2693" s="319" t="s">
        <v>178</v>
      </c>
      <c r="K2693" s="320"/>
      <c r="L2693" s="321">
        <f>SUM(L2689:L2692)</f>
        <v>56700</v>
      </c>
    </row>
    <row r="2694" spans="6:12" ht="15" customHeight="1">
      <c r="F2694" s="300" t="s">
        <v>179</v>
      </c>
      <c r="G2694" s="301" t="s">
        <v>180</v>
      </c>
      <c r="H2694" s="302"/>
      <c r="I2694" s="302"/>
      <c r="J2694" s="351"/>
      <c r="K2694" s="328"/>
      <c r="L2694" s="310"/>
    </row>
    <row r="2695" spans="6:12" ht="15" customHeight="1">
      <c r="F2695" s="306"/>
      <c r="G2695" s="301" t="s">
        <v>220</v>
      </c>
      <c r="H2695" s="302"/>
      <c r="I2695" s="307" t="s">
        <v>36</v>
      </c>
      <c r="J2695" s="308">
        <v>70</v>
      </c>
      <c r="K2695" s="328">
        <f>VLOOKUP(G2695,Bahan,6,FALSE)</f>
        <v>1040</v>
      </c>
      <c r="L2695" s="310">
        <f>J2695*K2695</f>
        <v>72800</v>
      </c>
    </row>
    <row r="2696" spans="6:12" ht="15" customHeight="1">
      <c r="F2696" s="306"/>
      <c r="G2696" s="301" t="s">
        <v>183</v>
      </c>
      <c r="H2696" s="302"/>
      <c r="I2696" s="307" t="s">
        <v>45</v>
      </c>
      <c r="J2696" s="308">
        <v>14.37</v>
      </c>
      <c r="K2696" s="328">
        <f>VLOOKUP(G2696,Bahan,6,FALSE)</f>
        <v>1880</v>
      </c>
      <c r="L2696" s="310">
        <f>J2696*K2696</f>
        <v>27015.599999999999</v>
      </c>
    </row>
    <row r="2697" spans="6:12" ht="15" customHeight="1" thickBot="1">
      <c r="F2697" s="306"/>
      <c r="G2697" s="301" t="s">
        <v>296</v>
      </c>
      <c r="H2697" s="302"/>
      <c r="I2697" s="307" t="s">
        <v>44</v>
      </c>
      <c r="J2697" s="308">
        <v>0.04</v>
      </c>
      <c r="K2697" s="328">
        <f>VLOOKUP(G2697,Bahan,6,FALSE)</f>
        <v>253510</v>
      </c>
      <c r="L2697" s="310">
        <f>J2697*K2697</f>
        <v>10140.4</v>
      </c>
    </row>
    <row r="2698" spans="6:12" ht="15" customHeight="1" thickBot="1">
      <c r="F2698" s="316"/>
      <c r="G2698" s="317"/>
      <c r="H2698" s="318"/>
      <c r="I2698" s="318"/>
      <c r="J2698" s="319" t="s">
        <v>189</v>
      </c>
      <c r="K2698" s="320"/>
      <c r="L2698" s="321">
        <f>SUM(L2695:L2697)</f>
        <v>109956</v>
      </c>
    </row>
    <row r="2699" spans="6:12" ht="15" customHeight="1" thickBot="1">
      <c r="F2699" s="300" t="s">
        <v>190</v>
      </c>
      <c r="G2699" s="301" t="s">
        <v>191</v>
      </c>
      <c r="H2699" s="302"/>
      <c r="I2699" s="302"/>
      <c r="J2699" s="351"/>
      <c r="K2699" s="328">
        <v>0</v>
      </c>
      <c r="L2699" s="310">
        <f>J2699*K2699</f>
        <v>0</v>
      </c>
    </row>
    <row r="2700" spans="6:12" ht="15" customHeight="1" thickBot="1">
      <c r="F2700" s="316"/>
      <c r="G2700" s="317"/>
      <c r="H2700" s="318"/>
      <c r="I2700" s="318"/>
      <c r="J2700" s="319" t="s">
        <v>192</v>
      </c>
      <c r="K2700" s="320"/>
      <c r="L2700" s="321">
        <f>L2699</f>
        <v>0</v>
      </c>
    </row>
    <row r="2701" spans="6:12" ht="15" customHeight="1">
      <c r="F2701" s="344" t="s">
        <v>193</v>
      </c>
      <c r="G2701" s="345" t="s">
        <v>194</v>
      </c>
      <c r="H2701" s="346"/>
      <c r="I2701" s="346"/>
      <c r="J2701" s="347"/>
      <c r="K2701" s="348">
        <v>0</v>
      </c>
      <c r="L2701" s="310">
        <f>SUM(L2688:L2700)/2</f>
        <v>166656</v>
      </c>
    </row>
    <row r="2702" spans="6:12" ht="15" customHeight="1" thickBot="1">
      <c r="F2702" s="331" t="s">
        <v>195</v>
      </c>
      <c r="G2702" s="332" t="s">
        <v>196</v>
      </c>
      <c r="H2702" s="333"/>
      <c r="I2702" s="333"/>
      <c r="J2702" s="350">
        <v>0.1</v>
      </c>
      <c r="K2702" s="335"/>
      <c r="L2702" s="330">
        <f>J2702*L2701</f>
        <v>16665.600000000002</v>
      </c>
    </row>
    <row r="2703" spans="6:12" ht="15" customHeight="1" thickBot="1">
      <c r="F2703" s="340" t="s">
        <v>197</v>
      </c>
      <c r="G2703" s="341" t="s">
        <v>198</v>
      </c>
      <c r="H2703" s="318"/>
      <c r="I2703" s="318"/>
      <c r="J2703" s="342"/>
      <c r="K2703" s="320">
        <v>0</v>
      </c>
      <c r="L2703" s="321">
        <f>ROUNDDOWN(L2701+L2702,0)</f>
        <v>183321</v>
      </c>
    </row>
    <row r="2704" spans="6:12" ht="15" customHeight="1">
      <c r="F2704" s="298"/>
      <c r="G2704" s="298"/>
      <c r="J2704" s="343"/>
    </row>
    <row r="2705" spans="5:13" ht="15" customHeight="1" thickBot="1">
      <c r="E2705" s="356" t="s">
        <v>633</v>
      </c>
      <c r="F2705" s="415" t="s">
        <v>634</v>
      </c>
      <c r="J2705" s="343"/>
      <c r="M2705" s="299">
        <f>L2722</f>
        <v>178223</v>
      </c>
    </row>
    <row r="2706" spans="5:13" ht="15" customHeight="1" thickBot="1">
      <c r="F2706" s="340" t="s">
        <v>136</v>
      </c>
      <c r="G2706" s="341" t="s">
        <v>162</v>
      </c>
      <c r="H2706" s="352" t="s">
        <v>163</v>
      </c>
      <c r="I2706" s="352" t="s">
        <v>138</v>
      </c>
      <c r="J2706" s="353" t="s">
        <v>164</v>
      </c>
      <c r="K2706" s="341" t="s">
        <v>165</v>
      </c>
      <c r="L2706" s="354" t="s">
        <v>166</v>
      </c>
    </row>
    <row r="2707" spans="5:13" ht="15" customHeight="1">
      <c r="F2707" s="300" t="s">
        <v>167</v>
      </c>
      <c r="G2707" s="301" t="s">
        <v>168</v>
      </c>
      <c r="H2707" s="302"/>
      <c r="I2707" s="302"/>
      <c r="J2707" s="351"/>
      <c r="K2707" s="328"/>
      <c r="L2707" s="310"/>
    </row>
    <row r="2708" spans="5:13" ht="15" customHeight="1">
      <c r="F2708" s="306"/>
      <c r="G2708" s="301" t="s">
        <v>169</v>
      </c>
      <c r="H2708" s="307" t="s">
        <v>170</v>
      </c>
      <c r="I2708" s="307" t="s">
        <v>171</v>
      </c>
      <c r="J2708" s="308">
        <v>0.3</v>
      </c>
      <c r="K2708" s="309">
        <f>VLOOKUP(G2708,Upah,8,FALSE)</f>
        <v>125000</v>
      </c>
      <c r="L2708" s="310">
        <f>J2708*K2708</f>
        <v>37500</v>
      </c>
    </row>
    <row r="2709" spans="5:13" ht="15" customHeight="1">
      <c r="F2709" s="306"/>
      <c r="G2709" s="301" t="s">
        <v>308</v>
      </c>
      <c r="H2709" s="307" t="s">
        <v>217</v>
      </c>
      <c r="I2709" s="307" t="s">
        <v>171</v>
      </c>
      <c r="J2709" s="308">
        <v>0.1</v>
      </c>
      <c r="K2709" s="309">
        <f>VLOOKUP(G2709,Upah,8,FALSE)</f>
        <v>150000</v>
      </c>
      <c r="L2709" s="310">
        <f>J2709*K2709</f>
        <v>15000</v>
      </c>
    </row>
    <row r="2710" spans="5:13" ht="15" customHeight="1">
      <c r="F2710" s="306"/>
      <c r="G2710" s="301" t="s">
        <v>174</v>
      </c>
      <c r="H2710" s="307" t="s">
        <v>175</v>
      </c>
      <c r="I2710" s="307" t="s">
        <v>171</v>
      </c>
      <c r="J2710" s="308">
        <v>0.01</v>
      </c>
      <c r="K2710" s="309">
        <f>VLOOKUP(G2710,Upah,8,FALSE)</f>
        <v>165000</v>
      </c>
      <c r="L2710" s="310">
        <f>J2710*K2710</f>
        <v>1650</v>
      </c>
    </row>
    <row r="2711" spans="5:13" ht="15" customHeight="1" thickBot="1">
      <c r="F2711" s="306"/>
      <c r="G2711" s="301" t="s">
        <v>176</v>
      </c>
      <c r="H2711" s="307" t="s">
        <v>177</v>
      </c>
      <c r="I2711" s="307" t="s">
        <v>171</v>
      </c>
      <c r="J2711" s="308">
        <v>1.4999999999999999E-2</v>
      </c>
      <c r="K2711" s="309">
        <f>VLOOKUP(G2711,Upah,8,FALSE)</f>
        <v>170000</v>
      </c>
      <c r="L2711" s="310">
        <f>J2711*K2711</f>
        <v>2550</v>
      </c>
    </row>
    <row r="2712" spans="5:13" ht="15" customHeight="1" thickBot="1">
      <c r="F2712" s="316"/>
      <c r="G2712" s="317"/>
      <c r="H2712" s="318"/>
      <c r="I2712" s="318"/>
      <c r="J2712" s="319" t="s">
        <v>178</v>
      </c>
      <c r="K2712" s="320"/>
      <c r="L2712" s="321">
        <f>SUM(L2708:L2711)</f>
        <v>56700</v>
      </c>
    </row>
    <row r="2713" spans="5:13" ht="15" customHeight="1">
      <c r="F2713" s="300" t="s">
        <v>179</v>
      </c>
      <c r="G2713" s="301" t="s">
        <v>180</v>
      </c>
      <c r="H2713" s="302"/>
      <c r="I2713" s="302"/>
      <c r="J2713" s="351"/>
      <c r="K2713" s="328"/>
      <c r="L2713" s="310"/>
    </row>
    <row r="2714" spans="5:13" ht="15" customHeight="1">
      <c r="F2714" s="306"/>
      <c r="G2714" s="301" t="s">
        <v>220</v>
      </c>
      <c r="H2714" s="302"/>
      <c r="I2714" s="307" t="s">
        <v>36</v>
      </c>
      <c r="J2714" s="308">
        <v>70</v>
      </c>
      <c r="K2714" s="328">
        <f>VLOOKUP(G2714,Bahan,6,FALSE)</f>
        <v>1040</v>
      </c>
      <c r="L2714" s="310">
        <f>J2714*K2714</f>
        <v>72800</v>
      </c>
    </row>
    <row r="2715" spans="5:13" ht="15" customHeight="1">
      <c r="F2715" s="306"/>
      <c r="G2715" s="301" t="s">
        <v>183</v>
      </c>
      <c r="H2715" s="302"/>
      <c r="I2715" s="307" t="s">
        <v>45</v>
      </c>
      <c r="J2715" s="308">
        <v>11.5</v>
      </c>
      <c r="K2715" s="328">
        <f>VLOOKUP(G2715,Bahan,6,FALSE)</f>
        <v>1880</v>
      </c>
      <c r="L2715" s="310">
        <f>J2715*K2715</f>
        <v>21620</v>
      </c>
    </row>
    <row r="2716" spans="5:13" ht="15" customHeight="1" thickBot="1">
      <c r="F2716" s="306"/>
      <c r="G2716" s="301" t="s">
        <v>296</v>
      </c>
      <c r="H2716" s="302"/>
      <c r="I2716" s="307" t="s">
        <v>44</v>
      </c>
      <c r="J2716" s="308">
        <v>4.2999999999999997E-2</v>
      </c>
      <c r="K2716" s="328">
        <f>VLOOKUP(G2716,Bahan,6,FALSE)</f>
        <v>253510</v>
      </c>
      <c r="L2716" s="310">
        <f>J2716*K2716</f>
        <v>10900.929999999998</v>
      </c>
    </row>
    <row r="2717" spans="5:13" ht="15" customHeight="1" thickBot="1">
      <c r="F2717" s="316"/>
      <c r="G2717" s="317"/>
      <c r="H2717" s="318"/>
      <c r="I2717" s="318"/>
      <c r="J2717" s="319" t="s">
        <v>189</v>
      </c>
      <c r="K2717" s="320"/>
      <c r="L2717" s="321">
        <f>SUM(L2714:L2716)</f>
        <v>105320.93</v>
      </c>
    </row>
    <row r="2718" spans="5:13" ht="15" customHeight="1" thickBot="1">
      <c r="F2718" s="300" t="s">
        <v>190</v>
      </c>
      <c r="G2718" s="301" t="s">
        <v>191</v>
      </c>
      <c r="H2718" s="302"/>
      <c r="I2718" s="302"/>
      <c r="J2718" s="351"/>
      <c r="K2718" s="328">
        <v>0</v>
      </c>
      <c r="L2718" s="310">
        <f>J2718*K2718</f>
        <v>0</v>
      </c>
    </row>
    <row r="2719" spans="5:13" ht="15" customHeight="1" thickBot="1">
      <c r="F2719" s="316"/>
      <c r="G2719" s="317"/>
      <c r="H2719" s="318"/>
      <c r="I2719" s="318"/>
      <c r="J2719" s="319" t="s">
        <v>192</v>
      </c>
      <c r="K2719" s="320"/>
      <c r="L2719" s="321">
        <f>L2718</f>
        <v>0</v>
      </c>
    </row>
    <row r="2720" spans="5:13" ht="15" customHeight="1">
      <c r="F2720" s="344" t="s">
        <v>193</v>
      </c>
      <c r="G2720" s="345" t="s">
        <v>194</v>
      </c>
      <c r="H2720" s="346"/>
      <c r="I2720" s="346"/>
      <c r="J2720" s="347"/>
      <c r="K2720" s="348">
        <v>0</v>
      </c>
      <c r="L2720" s="310">
        <f>SUM(L2707:L2719)/2</f>
        <v>162020.93</v>
      </c>
    </row>
    <row r="2721" spans="5:13" ht="15" customHeight="1" thickBot="1">
      <c r="F2721" s="331" t="s">
        <v>195</v>
      </c>
      <c r="G2721" s="332" t="s">
        <v>196</v>
      </c>
      <c r="H2721" s="333"/>
      <c r="I2721" s="333"/>
      <c r="J2721" s="350">
        <v>0.1</v>
      </c>
      <c r="K2721" s="335"/>
      <c r="L2721" s="330">
        <f>J2721*L2720</f>
        <v>16202.093000000001</v>
      </c>
    </row>
    <row r="2722" spans="5:13" ht="15" customHeight="1" thickBot="1">
      <c r="F2722" s="340" t="s">
        <v>197</v>
      </c>
      <c r="G2722" s="341" t="s">
        <v>198</v>
      </c>
      <c r="H2722" s="318"/>
      <c r="I2722" s="318"/>
      <c r="J2722" s="342"/>
      <c r="K2722" s="320">
        <v>0</v>
      </c>
      <c r="L2722" s="321">
        <f>ROUNDDOWN(L2720+L2721,0)</f>
        <v>178223</v>
      </c>
    </row>
    <row r="2723" spans="5:13" ht="15" customHeight="1">
      <c r="F2723" s="298"/>
      <c r="G2723" s="298"/>
      <c r="J2723" s="343"/>
    </row>
    <row r="2724" spans="5:13" ht="15" customHeight="1" thickBot="1">
      <c r="E2724" s="356" t="s">
        <v>635</v>
      </c>
      <c r="F2724" s="415" t="s">
        <v>636</v>
      </c>
      <c r="J2724" s="343"/>
      <c r="M2724" s="299">
        <f>L2741</f>
        <v>175016</v>
      </c>
    </row>
    <row r="2725" spans="5:13" ht="15" customHeight="1" thickBot="1">
      <c r="F2725" s="340" t="s">
        <v>136</v>
      </c>
      <c r="G2725" s="341" t="s">
        <v>162</v>
      </c>
      <c r="H2725" s="352" t="s">
        <v>163</v>
      </c>
      <c r="I2725" s="352" t="s">
        <v>138</v>
      </c>
      <c r="J2725" s="353" t="s">
        <v>164</v>
      </c>
      <c r="K2725" s="341" t="s">
        <v>165</v>
      </c>
      <c r="L2725" s="354" t="s">
        <v>166</v>
      </c>
    </row>
    <row r="2726" spans="5:13" ht="15" customHeight="1">
      <c r="F2726" s="300" t="s">
        <v>167</v>
      </c>
      <c r="G2726" s="301" t="s">
        <v>168</v>
      </c>
      <c r="H2726" s="302"/>
      <c r="I2726" s="302"/>
      <c r="J2726" s="351"/>
      <c r="K2726" s="328"/>
      <c r="L2726" s="310"/>
    </row>
    <row r="2727" spans="5:13" ht="15" customHeight="1">
      <c r="F2727" s="306"/>
      <c r="G2727" s="301" t="s">
        <v>169</v>
      </c>
      <c r="H2727" s="307" t="s">
        <v>170</v>
      </c>
      <c r="I2727" s="307" t="s">
        <v>171</v>
      </c>
      <c r="J2727" s="308">
        <v>0.3</v>
      </c>
      <c r="K2727" s="309">
        <f>VLOOKUP(G2727,Upah,8,FALSE)</f>
        <v>125000</v>
      </c>
      <c r="L2727" s="310">
        <f>J2727*K2727</f>
        <v>37500</v>
      </c>
    </row>
    <row r="2728" spans="5:13" ht="15" customHeight="1">
      <c r="F2728" s="306"/>
      <c r="G2728" s="301" t="s">
        <v>308</v>
      </c>
      <c r="H2728" s="307" t="s">
        <v>217</v>
      </c>
      <c r="I2728" s="307" t="s">
        <v>171</v>
      </c>
      <c r="J2728" s="308">
        <v>0.1</v>
      </c>
      <c r="K2728" s="309">
        <f>VLOOKUP(G2728,Upah,8,FALSE)</f>
        <v>150000</v>
      </c>
      <c r="L2728" s="310">
        <f>J2728*K2728</f>
        <v>15000</v>
      </c>
    </row>
    <row r="2729" spans="5:13" ht="15" customHeight="1">
      <c r="F2729" s="306"/>
      <c r="G2729" s="301" t="s">
        <v>174</v>
      </c>
      <c r="H2729" s="307" t="s">
        <v>175</v>
      </c>
      <c r="I2729" s="307" t="s">
        <v>171</v>
      </c>
      <c r="J2729" s="308">
        <v>0.01</v>
      </c>
      <c r="K2729" s="309">
        <f>VLOOKUP(G2729,Upah,8,FALSE)</f>
        <v>165000</v>
      </c>
      <c r="L2729" s="310">
        <f>J2729*K2729</f>
        <v>1650</v>
      </c>
    </row>
    <row r="2730" spans="5:13" ht="15" customHeight="1" thickBot="1">
      <c r="F2730" s="306"/>
      <c r="G2730" s="301" t="s">
        <v>176</v>
      </c>
      <c r="H2730" s="307" t="s">
        <v>177</v>
      </c>
      <c r="I2730" s="307" t="s">
        <v>171</v>
      </c>
      <c r="J2730" s="308">
        <v>1.4999999999999999E-2</v>
      </c>
      <c r="K2730" s="309">
        <f>VLOOKUP(G2730,Upah,8,FALSE)</f>
        <v>170000</v>
      </c>
      <c r="L2730" s="310">
        <f>J2730*K2730</f>
        <v>2550</v>
      </c>
    </row>
    <row r="2731" spans="5:13" ht="15" customHeight="1" thickBot="1">
      <c r="F2731" s="316"/>
      <c r="G2731" s="317"/>
      <c r="H2731" s="318"/>
      <c r="I2731" s="318"/>
      <c r="J2731" s="319" t="s">
        <v>178</v>
      </c>
      <c r="K2731" s="320"/>
      <c r="L2731" s="321">
        <f>SUM(L2727:L2730)</f>
        <v>56700</v>
      </c>
    </row>
    <row r="2732" spans="5:13" ht="15" customHeight="1">
      <c r="F2732" s="300" t="s">
        <v>179</v>
      </c>
      <c r="G2732" s="301" t="s">
        <v>180</v>
      </c>
      <c r="H2732" s="302"/>
      <c r="I2732" s="302"/>
      <c r="J2732" s="351"/>
      <c r="K2732" s="328"/>
      <c r="L2732" s="310"/>
    </row>
    <row r="2733" spans="5:13" ht="15" customHeight="1">
      <c r="F2733" s="306"/>
      <c r="G2733" s="301" t="s">
        <v>220</v>
      </c>
      <c r="H2733" s="302"/>
      <c r="I2733" s="307" t="s">
        <v>36</v>
      </c>
      <c r="J2733" s="308">
        <v>70</v>
      </c>
      <c r="K2733" s="328">
        <f>VLOOKUP(G2733,Bahan,6,FALSE)</f>
        <v>1040</v>
      </c>
      <c r="L2733" s="310">
        <f>J2733*K2733</f>
        <v>72800</v>
      </c>
    </row>
    <row r="2734" spans="5:13" ht="15" customHeight="1">
      <c r="F2734" s="306"/>
      <c r="G2734" s="301" t="s">
        <v>183</v>
      </c>
      <c r="H2734" s="302"/>
      <c r="I2734" s="307" t="s">
        <v>45</v>
      </c>
      <c r="J2734" s="308">
        <v>9.68</v>
      </c>
      <c r="K2734" s="328">
        <f>VLOOKUP(G2734,Bahan,6,FALSE)</f>
        <v>1880</v>
      </c>
      <c r="L2734" s="310">
        <f>J2734*K2734</f>
        <v>18198.399999999998</v>
      </c>
    </row>
    <row r="2735" spans="5:13" ht="15" customHeight="1" thickBot="1">
      <c r="F2735" s="306"/>
      <c r="G2735" s="301" t="s">
        <v>296</v>
      </c>
      <c r="H2735" s="302"/>
      <c r="I2735" s="307" t="s">
        <v>44</v>
      </c>
      <c r="J2735" s="308">
        <v>4.4999999999999998E-2</v>
      </c>
      <c r="K2735" s="328">
        <f>VLOOKUP(G2735,Bahan,6,FALSE)</f>
        <v>253510</v>
      </c>
      <c r="L2735" s="310">
        <f>J2735*K2735</f>
        <v>11407.949999999999</v>
      </c>
    </row>
    <row r="2736" spans="5:13" ht="15" customHeight="1" thickBot="1">
      <c r="F2736" s="316"/>
      <c r="G2736" s="317"/>
      <c r="H2736" s="318"/>
      <c r="I2736" s="318"/>
      <c r="J2736" s="319" t="s">
        <v>189</v>
      </c>
      <c r="K2736" s="320"/>
      <c r="L2736" s="321">
        <f>SUM(L2733:L2735)</f>
        <v>102406.34999999999</v>
      </c>
    </row>
    <row r="2737" spans="5:13" ht="15" customHeight="1" thickBot="1">
      <c r="F2737" s="300" t="s">
        <v>190</v>
      </c>
      <c r="G2737" s="301" t="s">
        <v>191</v>
      </c>
      <c r="H2737" s="302"/>
      <c r="I2737" s="302"/>
      <c r="J2737" s="351"/>
      <c r="K2737" s="328">
        <v>0</v>
      </c>
      <c r="L2737" s="310">
        <f>J2737*K2737</f>
        <v>0</v>
      </c>
    </row>
    <row r="2738" spans="5:13" ht="15" customHeight="1" thickBot="1">
      <c r="F2738" s="316"/>
      <c r="G2738" s="317"/>
      <c r="H2738" s="318"/>
      <c r="I2738" s="318"/>
      <c r="J2738" s="319" t="s">
        <v>192</v>
      </c>
      <c r="K2738" s="320"/>
      <c r="L2738" s="321">
        <f>L2737</f>
        <v>0</v>
      </c>
    </row>
    <row r="2739" spans="5:13" ht="15" customHeight="1">
      <c r="F2739" s="344" t="s">
        <v>193</v>
      </c>
      <c r="G2739" s="345" t="s">
        <v>194</v>
      </c>
      <c r="H2739" s="346"/>
      <c r="I2739" s="346"/>
      <c r="J2739" s="347"/>
      <c r="K2739" s="348">
        <v>0</v>
      </c>
      <c r="L2739" s="310">
        <f>SUM(L2726:L2738)/2</f>
        <v>159106.35</v>
      </c>
    </row>
    <row r="2740" spans="5:13" ht="15" customHeight="1" thickBot="1">
      <c r="F2740" s="331" t="s">
        <v>195</v>
      </c>
      <c r="G2740" s="332" t="s">
        <v>196</v>
      </c>
      <c r="H2740" s="333"/>
      <c r="I2740" s="333"/>
      <c r="J2740" s="350">
        <v>0.1</v>
      </c>
      <c r="K2740" s="335"/>
      <c r="L2740" s="330">
        <f>J2740*L2739</f>
        <v>15910.635000000002</v>
      </c>
    </row>
    <row r="2741" spans="5:13" ht="15" customHeight="1" thickBot="1">
      <c r="F2741" s="340" t="s">
        <v>197</v>
      </c>
      <c r="G2741" s="341" t="s">
        <v>198</v>
      </c>
      <c r="H2741" s="318"/>
      <c r="I2741" s="318"/>
      <c r="J2741" s="342"/>
      <c r="K2741" s="320">
        <v>0</v>
      </c>
      <c r="L2741" s="321">
        <f>ROUNDDOWN(L2739+L2740,0)</f>
        <v>175016</v>
      </c>
    </row>
    <row r="2742" spans="5:13" ht="15" customHeight="1">
      <c r="F2742" s="298"/>
      <c r="G2742" s="298"/>
      <c r="J2742" s="343"/>
    </row>
    <row r="2743" spans="5:13" ht="15" customHeight="1" thickBot="1">
      <c r="E2743" s="356" t="s">
        <v>637</v>
      </c>
      <c r="F2743" s="415" t="s">
        <v>638</v>
      </c>
      <c r="J2743" s="343"/>
      <c r="M2743" s="299">
        <f>L2760</f>
        <v>173319</v>
      </c>
    </row>
    <row r="2744" spans="5:13" ht="15" customHeight="1" thickBot="1">
      <c r="F2744" s="340" t="s">
        <v>136</v>
      </c>
      <c r="G2744" s="341" t="s">
        <v>162</v>
      </c>
      <c r="H2744" s="352" t="s">
        <v>163</v>
      </c>
      <c r="I2744" s="352" t="s">
        <v>138</v>
      </c>
      <c r="J2744" s="353" t="s">
        <v>164</v>
      </c>
      <c r="K2744" s="341" t="s">
        <v>165</v>
      </c>
      <c r="L2744" s="354" t="s">
        <v>166</v>
      </c>
    </row>
    <row r="2745" spans="5:13" ht="15" customHeight="1">
      <c r="F2745" s="300" t="s">
        <v>167</v>
      </c>
      <c r="G2745" s="301" t="s">
        <v>168</v>
      </c>
      <c r="H2745" s="302"/>
      <c r="I2745" s="302"/>
      <c r="J2745" s="351"/>
      <c r="K2745" s="328"/>
      <c r="L2745" s="310"/>
    </row>
    <row r="2746" spans="5:13" ht="15" customHeight="1">
      <c r="F2746" s="306"/>
      <c r="G2746" s="301" t="s">
        <v>169</v>
      </c>
      <c r="H2746" s="307" t="s">
        <v>170</v>
      </c>
      <c r="I2746" s="307" t="s">
        <v>171</v>
      </c>
      <c r="J2746" s="308">
        <v>0.3</v>
      </c>
      <c r="K2746" s="309">
        <f>VLOOKUP(G2746,Upah,8,FALSE)</f>
        <v>125000</v>
      </c>
      <c r="L2746" s="310">
        <f>J2746*K2746</f>
        <v>37500</v>
      </c>
    </row>
    <row r="2747" spans="5:13" ht="15" customHeight="1">
      <c r="F2747" s="306"/>
      <c r="G2747" s="301" t="s">
        <v>308</v>
      </c>
      <c r="H2747" s="307" t="s">
        <v>217</v>
      </c>
      <c r="I2747" s="307" t="s">
        <v>171</v>
      </c>
      <c r="J2747" s="308">
        <v>0.1</v>
      </c>
      <c r="K2747" s="309">
        <f>VLOOKUP(G2747,Upah,8,FALSE)</f>
        <v>150000</v>
      </c>
      <c r="L2747" s="310">
        <f>J2747*K2747</f>
        <v>15000</v>
      </c>
    </row>
    <row r="2748" spans="5:13" ht="15" customHeight="1">
      <c r="F2748" s="306"/>
      <c r="G2748" s="301" t="s">
        <v>174</v>
      </c>
      <c r="H2748" s="307" t="s">
        <v>175</v>
      </c>
      <c r="I2748" s="307" t="s">
        <v>171</v>
      </c>
      <c r="J2748" s="308">
        <v>0.01</v>
      </c>
      <c r="K2748" s="309">
        <f>VLOOKUP(G2748,Upah,8,FALSE)</f>
        <v>165000</v>
      </c>
      <c r="L2748" s="310">
        <f>J2748*K2748</f>
        <v>1650</v>
      </c>
    </row>
    <row r="2749" spans="5:13" ht="15" customHeight="1" thickBot="1">
      <c r="F2749" s="306"/>
      <c r="G2749" s="301" t="s">
        <v>176</v>
      </c>
      <c r="H2749" s="307" t="s">
        <v>177</v>
      </c>
      <c r="I2749" s="307" t="s">
        <v>171</v>
      </c>
      <c r="J2749" s="308">
        <v>1.4999999999999999E-2</v>
      </c>
      <c r="K2749" s="309">
        <f>VLOOKUP(G2749,Upah,8,FALSE)</f>
        <v>170000</v>
      </c>
      <c r="L2749" s="310">
        <f>J2749*K2749</f>
        <v>2550</v>
      </c>
    </row>
    <row r="2750" spans="5:13" ht="15" customHeight="1" thickBot="1">
      <c r="F2750" s="316"/>
      <c r="G2750" s="317"/>
      <c r="H2750" s="318"/>
      <c r="I2750" s="318"/>
      <c r="J2750" s="319" t="s">
        <v>178</v>
      </c>
      <c r="K2750" s="320"/>
      <c r="L2750" s="321">
        <f>SUM(L2746:L2749)</f>
        <v>56700</v>
      </c>
    </row>
    <row r="2751" spans="5:13" ht="15" customHeight="1">
      <c r="F2751" s="300" t="s">
        <v>179</v>
      </c>
      <c r="G2751" s="301" t="s">
        <v>180</v>
      </c>
      <c r="H2751" s="302"/>
      <c r="I2751" s="302"/>
      <c r="J2751" s="351"/>
      <c r="K2751" s="328"/>
      <c r="L2751" s="310"/>
    </row>
    <row r="2752" spans="5:13" ht="15" customHeight="1">
      <c r="F2752" s="306"/>
      <c r="G2752" s="301" t="s">
        <v>220</v>
      </c>
      <c r="H2752" s="302"/>
      <c r="I2752" s="307" t="s">
        <v>36</v>
      </c>
      <c r="J2752" s="308">
        <v>70</v>
      </c>
      <c r="K2752" s="328">
        <f>VLOOKUP(G2752,Bahan,6,FALSE)</f>
        <v>1040</v>
      </c>
      <c r="L2752" s="310">
        <f>J2752*K2752</f>
        <v>72800</v>
      </c>
    </row>
    <row r="2753" spans="5:13" ht="15" customHeight="1">
      <c r="F2753" s="306"/>
      <c r="G2753" s="301" t="s">
        <v>183</v>
      </c>
      <c r="H2753" s="302"/>
      <c r="I2753" s="307" t="s">
        <v>45</v>
      </c>
      <c r="J2753" s="308">
        <v>8.32</v>
      </c>
      <c r="K2753" s="328">
        <f>VLOOKUP(G2753,Bahan,6,FALSE)</f>
        <v>1880</v>
      </c>
      <c r="L2753" s="310">
        <f>J2753*K2753</f>
        <v>15641.6</v>
      </c>
    </row>
    <row r="2754" spans="5:13" ht="15" customHeight="1" thickBot="1">
      <c r="F2754" s="306"/>
      <c r="G2754" s="301" t="s">
        <v>296</v>
      </c>
      <c r="H2754" s="302"/>
      <c r="I2754" s="307" t="s">
        <v>44</v>
      </c>
      <c r="J2754" s="308">
        <v>4.9000000000000002E-2</v>
      </c>
      <c r="K2754" s="328">
        <f>VLOOKUP(G2754,Bahan,6,FALSE)</f>
        <v>253510</v>
      </c>
      <c r="L2754" s="310">
        <f>J2754*K2754</f>
        <v>12421.99</v>
      </c>
    </row>
    <row r="2755" spans="5:13" ht="15" customHeight="1" thickBot="1">
      <c r="F2755" s="316"/>
      <c r="G2755" s="317"/>
      <c r="H2755" s="318"/>
      <c r="I2755" s="318"/>
      <c r="J2755" s="319" t="s">
        <v>189</v>
      </c>
      <c r="K2755" s="320"/>
      <c r="L2755" s="321">
        <f>SUM(L2752:L2754)</f>
        <v>100863.59000000001</v>
      </c>
    </row>
    <row r="2756" spans="5:13" ht="15" customHeight="1" thickBot="1">
      <c r="F2756" s="300" t="s">
        <v>190</v>
      </c>
      <c r="G2756" s="301" t="s">
        <v>191</v>
      </c>
      <c r="H2756" s="302"/>
      <c r="I2756" s="302"/>
      <c r="J2756" s="351"/>
      <c r="K2756" s="328">
        <v>0</v>
      </c>
      <c r="L2756" s="310">
        <f>J2756*K2756</f>
        <v>0</v>
      </c>
    </row>
    <row r="2757" spans="5:13" ht="15" customHeight="1" thickBot="1">
      <c r="F2757" s="316"/>
      <c r="G2757" s="317"/>
      <c r="H2757" s="318"/>
      <c r="I2757" s="318"/>
      <c r="J2757" s="319" t="s">
        <v>192</v>
      </c>
      <c r="K2757" s="320"/>
      <c r="L2757" s="321">
        <f>L2756</f>
        <v>0</v>
      </c>
    </row>
    <row r="2758" spans="5:13" ht="15" customHeight="1">
      <c r="F2758" s="344" t="s">
        <v>193</v>
      </c>
      <c r="G2758" s="345" t="s">
        <v>194</v>
      </c>
      <c r="H2758" s="346"/>
      <c r="I2758" s="346"/>
      <c r="J2758" s="347"/>
      <c r="K2758" s="348">
        <v>0</v>
      </c>
      <c r="L2758" s="310">
        <f>SUM(L2745:L2757)/2</f>
        <v>157563.59</v>
      </c>
    </row>
    <row r="2759" spans="5:13" ht="15" customHeight="1" thickBot="1">
      <c r="F2759" s="331" t="s">
        <v>195</v>
      </c>
      <c r="G2759" s="332" t="s">
        <v>196</v>
      </c>
      <c r="H2759" s="333"/>
      <c r="I2759" s="333"/>
      <c r="J2759" s="350">
        <v>0.1</v>
      </c>
      <c r="K2759" s="335"/>
      <c r="L2759" s="330">
        <f>J2759*L2758</f>
        <v>15756.359</v>
      </c>
    </row>
    <row r="2760" spans="5:13" ht="15" customHeight="1" thickBot="1">
      <c r="F2760" s="340" t="s">
        <v>197</v>
      </c>
      <c r="G2760" s="341" t="s">
        <v>198</v>
      </c>
      <c r="H2760" s="318"/>
      <c r="I2760" s="318"/>
      <c r="J2760" s="342"/>
      <c r="K2760" s="320">
        <v>0</v>
      </c>
      <c r="L2760" s="321">
        <f>ROUNDDOWN(L2758+L2759,0)</f>
        <v>173319</v>
      </c>
    </row>
    <row r="2761" spans="5:13" ht="15" customHeight="1">
      <c r="F2761" s="298"/>
      <c r="G2761" s="298"/>
      <c r="J2761" s="343"/>
    </row>
    <row r="2762" spans="5:13" ht="15" customHeight="1" thickBot="1">
      <c r="E2762" s="356" t="s">
        <v>639</v>
      </c>
      <c r="F2762" s="295" t="s">
        <v>640</v>
      </c>
      <c r="J2762" s="343"/>
      <c r="M2762" s="299">
        <f>L2779</f>
        <v>169835</v>
      </c>
    </row>
    <row r="2763" spans="5:13" ht="15" customHeight="1" thickBot="1">
      <c r="F2763" s="340" t="s">
        <v>136</v>
      </c>
      <c r="G2763" s="341" t="s">
        <v>162</v>
      </c>
      <c r="H2763" s="352" t="s">
        <v>163</v>
      </c>
      <c r="I2763" s="352" t="s">
        <v>138</v>
      </c>
      <c r="J2763" s="353" t="s">
        <v>164</v>
      </c>
      <c r="K2763" s="341" t="s">
        <v>165</v>
      </c>
      <c r="L2763" s="354" t="s">
        <v>166</v>
      </c>
    </row>
    <row r="2764" spans="5:13" ht="15" customHeight="1">
      <c r="F2764" s="300" t="s">
        <v>167</v>
      </c>
      <c r="G2764" s="301" t="s">
        <v>168</v>
      </c>
      <c r="H2764" s="302"/>
      <c r="I2764" s="302"/>
      <c r="J2764" s="351"/>
      <c r="K2764" s="328"/>
      <c r="L2764" s="310"/>
    </row>
    <row r="2765" spans="5:13" ht="15" customHeight="1">
      <c r="F2765" s="306"/>
      <c r="G2765" s="301" t="s">
        <v>169</v>
      </c>
      <c r="H2765" s="307" t="s">
        <v>170</v>
      </c>
      <c r="I2765" s="307" t="s">
        <v>171</v>
      </c>
      <c r="J2765" s="308">
        <v>0.3</v>
      </c>
      <c r="K2765" s="309">
        <f>VLOOKUP(G2765,Upah,8,FALSE)</f>
        <v>125000</v>
      </c>
      <c r="L2765" s="310">
        <f>J2765*K2765</f>
        <v>37500</v>
      </c>
    </row>
    <row r="2766" spans="5:13" ht="15" customHeight="1">
      <c r="F2766" s="306"/>
      <c r="G2766" s="301" t="s">
        <v>308</v>
      </c>
      <c r="H2766" s="307" t="s">
        <v>217</v>
      </c>
      <c r="I2766" s="307" t="s">
        <v>171</v>
      </c>
      <c r="J2766" s="308">
        <v>0.1</v>
      </c>
      <c r="K2766" s="309">
        <f>VLOOKUP(G2766,Upah,8,FALSE)</f>
        <v>150000</v>
      </c>
      <c r="L2766" s="310">
        <f>J2766*K2766</f>
        <v>15000</v>
      </c>
    </row>
    <row r="2767" spans="5:13" ht="15" customHeight="1">
      <c r="F2767" s="306"/>
      <c r="G2767" s="301" t="s">
        <v>174</v>
      </c>
      <c r="H2767" s="307" t="s">
        <v>175</v>
      </c>
      <c r="I2767" s="307" t="s">
        <v>171</v>
      </c>
      <c r="J2767" s="308">
        <v>0.01</v>
      </c>
      <c r="K2767" s="309">
        <f>VLOOKUP(G2767,Upah,8,FALSE)</f>
        <v>165000</v>
      </c>
      <c r="L2767" s="310">
        <f>J2767*K2767</f>
        <v>1650</v>
      </c>
    </row>
    <row r="2768" spans="5:13" ht="15" customHeight="1" thickBot="1">
      <c r="F2768" s="306"/>
      <c r="G2768" s="301" t="s">
        <v>176</v>
      </c>
      <c r="H2768" s="307" t="s">
        <v>177</v>
      </c>
      <c r="I2768" s="307" t="s">
        <v>171</v>
      </c>
      <c r="J2768" s="308">
        <v>1.4999999999999999E-2</v>
      </c>
      <c r="K2768" s="309">
        <f>VLOOKUP(G2768,Upah,8,FALSE)</f>
        <v>170000</v>
      </c>
      <c r="L2768" s="310">
        <f>J2768*K2768</f>
        <v>2550</v>
      </c>
    </row>
    <row r="2769" spans="5:13" ht="15" customHeight="1" thickBot="1">
      <c r="F2769" s="316"/>
      <c r="G2769" s="317"/>
      <c r="H2769" s="318"/>
      <c r="I2769" s="318"/>
      <c r="J2769" s="319" t="s">
        <v>178</v>
      </c>
      <c r="K2769" s="320"/>
      <c r="L2769" s="321">
        <f>SUM(L2765:L2768)</f>
        <v>56700</v>
      </c>
    </row>
    <row r="2770" spans="5:13" ht="15" customHeight="1">
      <c r="F2770" s="300" t="s">
        <v>179</v>
      </c>
      <c r="G2770" s="301" t="s">
        <v>180</v>
      </c>
      <c r="H2770" s="302"/>
      <c r="I2770" s="302"/>
      <c r="J2770" s="351"/>
      <c r="K2770" s="328"/>
      <c r="L2770" s="310"/>
    </row>
    <row r="2771" spans="5:13" ht="15" customHeight="1">
      <c r="F2771" s="306"/>
      <c r="G2771" s="301" t="s">
        <v>220</v>
      </c>
      <c r="H2771" s="302"/>
      <c r="I2771" s="307" t="s">
        <v>36</v>
      </c>
      <c r="J2771" s="308">
        <v>70</v>
      </c>
      <c r="K2771" s="328">
        <f>VLOOKUP(G2771,Bahan,6,FALSE)</f>
        <v>1040</v>
      </c>
      <c r="L2771" s="310">
        <f>J2771*K2771</f>
        <v>72800</v>
      </c>
    </row>
    <row r="2772" spans="5:13" ht="15" customHeight="1">
      <c r="F2772" s="306"/>
      <c r="G2772" s="301" t="s">
        <v>183</v>
      </c>
      <c r="H2772" s="302"/>
      <c r="I2772" s="307" t="s">
        <v>45</v>
      </c>
      <c r="J2772" s="308">
        <v>6.5</v>
      </c>
      <c r="K2772" s="328">
        <f>VLOOKUP(G2772,Bahan,6,FALSE)</f>
        <v>1880</v>
      </c>
      <c r="L2772" s="310">
        <f>J2772*K2772</f>
        <v>12220</v>
      </c>
    </row>
    <row r="2773" spans="5:13" ht="15" customHeight="1" thickBot="1">
      <c r="F2773" s="306"/>
      <c r="G2773" s="301" t="s">
        <v>296</v>
      </c>
      <c r="H2773" s="302"/>
      <c r="I2773" s="307" t="s">
        <v>44</v>
      </c>
      <c r="J2773" s="308">
        <v>0.05</v>
      </c>
      <c r="K2773" s="328">
        <f>VLOOKUP(G2773,Bahan,6,FALSE)</f>
        <v>253510</v>
      </c>
      <c r="L2773" s="310">
        <f>J2773*K2773</f>
        <v>12675.5</v>
      </c>
    </row>
    <row r="2774" spans="5:13" ht="15" customHeight="1" thickBot="1">
      <c r="F2774" s="316"/>
      <c r="G2774" s="317"/>
      <c r="H2774" s="318"/>
      <c r="I2774" s="318"/>
      <c r="J2774" s="319" t="s">
        <v>189</v>
      </c>
      <c r="K2774" s="320"/>
      <c r="L2774" s="321">
        <f>SUM(L2771:L2773)</f>
        <v>97695.5</v>
      </c>
    </row>
    <row r="2775" spans="5:13" ht="15" customHeight="1" thickBot="1">
      <c r="F2775" s="300" t="s">
        <v>190</v>
      </c>
      <c r="G2775" s="301" t="s">
        <v>191</v>
      </c>
      <c r="H2775" s="302"/>
      <c r="I2775" s="302"/>
      <c r="J2775" s="351"/>
      <c r="K2775" s="328">
        <v>0</v>
      </c>
      <c r="L2775" s="310">
        <f>J2775*K2775</f>
        <v>0</v>
      </c>
    </row>
    <row r="2776" spans="5:13" ht="15" customHeight="1" thickBot="1">
      <c r="F2776" s="316"/>
      <c r="G2776" s="317"/>
      <c r="H2776" s="318"/>
      <c r="I2776" s="318"/>
      <c r="J2776" s="319" t="s">
        <v>192</v>
      </c>
      <c r="K2776" s="320"/>
      <c r="L2776" s="321">
        <f>L2775</f>
        <v>0</v>
      </c>
    </row>
    <row r="2777" spans="5:13" ht="15" customHeight="1">
      <c r="F2777" s="344" t="s">
        <v>193</v>
      </c>
      <c r="G2777" s="345" t="s">
        <v>194</v>
      </c>
      <c r="H2777" s="346"/>
      <c r="I2777" s="346"/>
      <c r="J2777" s="347"/>
      <c r="K2777" s="348">
        <v>0</v>
      </c>
      <c r="L2777" s="310">
        <f>SUM(L2764:L2776)/2</f>
        <v>154395.5</v>
      </c>
    </row>
    <row r="2778" spans="5:13" ht="15" customHeight="1" thickBot="1">
      <c r="F2778" s="331" t="s">
        <v>195</v>
      </c>
      <c r="G2778" s="332" t="s">
        <v>196</v>
      </c>
      <c r="H2778" s="333"/>
      <c r="I2778" s="333"/>
      <c r="J2778" s="350">
        <v>0.1</v>
      </c>
      <c r="K2778" s="335"/>
      <c r="L2778" s="330">
        <f>J2778*L2777</f>
        <v>15439.550000000001</v>
      </c>
    </row>
    <row r="2779" spans="5:13" ht="15" customHeight="1" thickBot="1">
      <c r="F2779" s="340" t="s">
        <v>197</v>
      </c>
      <c r="G2779" s="341" t="s">
        <v>198</v>
      </c>
      <c r="H2779" s="318"/>
      <c r="I2779" s="318"/>
      <c r="J2779" s="342"/>
      <c r="K2779" s="320">
        <v>0</v>
      </c>
      <c r="L2779" s="321">
        <f>ROUNDDOWN(L2777+L2778,0)</f>
        <v>169835</v>
      </c>
    </row>
    <row r="2780" spans="5:13" ht="15" customHeight="1">
      <c r="F2780" s="298"/>
      <c r="G2780" s="298"/>
      <c r="J2780" s="343"/>
    </row>
    <row r="2781" spans="5:13" ht="15" customHeight="1" thickBot="1">
      <c r="E2781" s="356" t="s">
        <v>641</v>
      </c>
      <c r="F2781" s="295" t="s">
        <v>642</v>
      </c>
      <c r="J2781" s="343"/>
      <c r="M2781" s="299">
        <f>L2799</f>
        <v>173106</v>
      </c>
    </row>
    <row r="2782" spans="5:13" ht="15" customHeight="1" thickBot="1">
      <c r="F2782" s="340" t="s">
        <v>136</v>
      </c>
      <c r="G2782" s="341" t="s">
        <v>162</v>
      </c>
      <c r="H2782" s="352" t="s">
        <v>163</v>
      </c>
      <c r="I2782" s="352" t="s">
        <v>138</v>
      </c>
      <c r="J2782" s="353" t="s">
        <v>164</v>
      </c>
      <c r="K2782" s="341" t="s">
        <v>165</v>
      </c>
      <c r="L2782" s="354" t="s">
        <v>166</v>
      </c>
    </row>
    <row r="2783" spans="5:13" ht="15" customHeight="1">
      <c r="F2783" s="300" t="s">
        <v>167</v>
      </c>
      <c r="G2783" s="301" t="s">
        <v>168</v>
      </c>
      <c r="H2783" s="302"/>
      <c r="I2783" s="302"/>
      <c r="J2783" s="351"/>
      <c r="K2783" s="328"/>
      <c r="L2783" s="310"/>
    </row>
    <row r="2784" spans="5:13" ht="15" customHeight="1">
      <c r="F2784" s="306"/>
      <c r="G2784" s="301" t="s">
        <v>169</v>
      </c>
      <c r="H2784" s="307" t="s">
        <v>170</v>
      </c>
      <c r="I2784" s="307" t="s">
        <v>171</v>
      </c>
      <c r="J2784" s="308">
        <v>0.3</v>
      </c>
      <c r="K2784" s="309">
        <f>VLOOKUP(G2784,Upah,8,FALSE)</f>
        <v>125000</v>
      </c>
      <c r="L2784" s="310">
        <f>J2784*K2784</f>
        <v>37500</v>
      </c>
    </row>
    <row r="2785" spans="6:12" ht="15" customHeight="1">
      <c r="F2785" s="306"/>
      <c r="G2785" s="301" t="s">
        <v>308</v>
      </c>
      <c r="H2785" s="307" t="s">
        <v>217</v>
      </c>
      <c r="I2785" s="307" t="s">
        <v>171</v>
      </c>
      <c r="J2785" s="308">
        <v>0.1</v>
      </c>
      <c r="K2785" s="309">
        <f>VLOOKUP(G2785,Upah,8,FALSE)</f>
        <v>150000</v>
      </c>
      <c r="L2785" s="310">
        <f>J2785*K2785</f>
        <v>15000</v>
      </c>
    </row>
    <row r="2786" spans="6:12" ht="15" customHeight="1">
      <c r="F2786" s="306"/>
      <c r="G2786" s="301" t="s">
        <v>174</v>
      </c>
      <c r="H2786" s="307" t="s">
        <v>175</v>
      </c>
      <c r="I2786" s="307" t="s">
        <v>171</v>
      </c>
      <c r="J2786" s="308">
        <v>0.01</v>
      </c>
      <c r="K2786" s="309">
        <f>VLOOKUP(G2786,Upah,8,FALSE)</f>
        <v>165000</v>
      </c>
      <c r="L2786" s="310">
        <f>J2786*K2786</f>
        <v>1650</v>
      </c>
    </row>
    <row r="2787" spans="6:12" ht="15" customHeight="1" thickBot="1">
      <c r="F2787" s="306"/>
      <c r="G2787" s="301" t="s">
        <v>176</v>
      </c>
      <c r="H2787" s="307" t="s">
        <v>177</v>
      </c>
      <c r="I2787" s="307" t="s">
        <v>171</v>
      </c>
      <c r="J2787" s="308">
        <v>1.4999999999999999E-2</v>
      </c>
      <c r="K2787" s="309">
        <f>VLOOKUP(G2787,Upah,8,FALSE)</f>
        <v>170000</v>
      </c>
      <c r="L2787" s="310">
        <f>J2787*K2787</f>
        <v>2550</v>
      </c>
    </row>
    <row r="2788" spans="6:12" ht="15" customHeight="1" thickBot="1">
      <c r="F2788" s="316"/>
      <c r="G2788" s="317"/>
      <c r="H2788" s="318"/>
      <c r="I2788" s="318"/>
      <c r="J2788" s="319" t="s">
        <v>178</v>
      </c>
      <c r="K2788" s="320"/>
      <c r="L2788" s="321">
        <f>SUM(L2784:L2787)</f>
        <v>56700</v>
      </c>
    </row>
    <row r="2789" spans="6:12" ht="15" customHeight="1">
      <c r="F2789" s="300" t="s">
        <v>179</v>
      </c>
      <c r="G2789" s="301" t="s">
        <v>180</v>
      </c>
      <c r="H2789" s="302"/>
      <c r="I2789" s="302"/>
      <c r="J2789" s="351"/>
      <c r="K2789" s="328"/>
      <c r="L2789" s="310"/>
    </row>
    <row r="2790" spans="6:12" ht="15" customHeight="1">
      <c r="F2790" s="306"/>
      <c r="G2790" s="301" t="s">
        <v>220</v>
      </c>
      <c r="H2790" s="302"/>
      <c r="I2790" s="307" t="s">
        <v>36</v>
      </c>
      <c r="J2790" s="308">
        <v>70</v>
      </c>
      <c r="K2790" s="328">
        <f>VLOOKUP(G2790,Bahan,6,FALSE)</f>
        <v>1040</v>
      </c>
      <c r="L2790" s="310">
        <f>J2790*K2790</f>
        <v>72800</v>
      </c>
    </row>
    <row r="2791" spans="6:12" ht="15" customHeight="1">
      <c r="F2791" s="306"/>
      <c r="G2791" s="301" t="s">
        <v>183</v>
      </c>
      <c r="H2791" s="302"/>
      <c r="I2791" s="307" t="s">
        <v>45</v>
      </c>
      <c r="J2791" s="308">
        <v>4.5</v>
      </c>
      <c r="K2791" s="328">
        <f>VLOOKUP(G2791,Bahan,6,FALSE)</f>
        <v>1880</v>
      </c>
      <c r="L2791" s="310">
        <f>J2791*K2791</f>
        <v>8460</v>
      </c>
    </row>
    <row r="2792" spans="6:12" ht="15" customHeight="1">
      <c r="F2792" s="306"/>
      <c r="G2792" s="301" t="s">
        <v>295</v>
      </c>
      <c r="H2792" s="302"/>
      <c r="I2792" s="307" t="s">
        <v>44</v>
      </c>
      <c r="J2792" s="308">
        <v>1.4999999999999999E-2</v>
      </c>
      <c r="K2792" s="328">
        <f>VLOOKUP(G2792,Bahan,6,FALSE)</f>
        <v>448950</v>
      </c>
      <c r="L2792" s="310">
        <f>J2792*K2792</f>
        <v>6734.25</v>
      </c>
    </row>
    <row r="2793" spans="6:12" ht="15" customHeight="1" thickBot="1">
      <c r="F2793" s="306"/>
      <c r="G2793" s="301" t="s">
        <v>296</v>
      </c>
      <c r="H2793" s="302"/>
      <c r="I2793" s="307" t="s">
        <v>44</v>
      </c>
      <c r="J2793" s="308">
        <v>0.05</v>
      </c>
      <c r="K2793" s="328">
        <f>VLOOKUP(G2793,Bahan,6,FALSE)</f>
        <v>253510</v>
      </c>
      <c r="L2793" s="310">
        <f>J2793*K2793</f>
        <v>12675.5</v>
      </c>
    </row>
    <row r="2794" spans="6:12" ht="15" customHeight="1" thickBot="1">
      <c r="F2794" s="316"/>
      <c r="G2794" s="317"/>
      <c r="H2794" s="318"/>
      <c r="I2794" s="318"/>
      <c r="J2794" s="319" t="s">
        <v>189</v>
      </c>
      <c r="K2794" s="320"/>
      <c r="L2794" s="321">
        <f>SUM(L2790:L2793)</f>
        <v>100669.75</v>
      </c>
    </row>
    <row r="2795" spans="6:12" ht="15" customHeight="1" thickBot="1">
      <c r="F2795" s="300" t="s">
        <v>190</v>
      </c>
      <c r="G2795" s="301" t="s">
        <v>191</v>
      </c>
      <c r="H2795" s="302"/>
      <c r="I2795" s="302"/>
      <c r="J2795" s="351"/>
      <c r="K2795" s="328">
        <v>0</v>
      </c>
      <c r="L2795" s="310">
        <f>J2795*K2795</f>
        <v>0</v>
      </c>
    </row>
    <row r="2796" spans="6:12" ht="15" customHeight="1" thickBot="1">
      <c r="F2796" s="316"/>
      <c r="G2796" s="317"/>
      <c r="H2796" s="318"/>
      <c r="I2796" s="318"/>
      <c r="J2796" s="319" t="s">
        <v>192</v>
      </c>
      <c r="K2796" s="320"/>
      <c r="L2796" s="321">
        <f>L2795</f>
        <v>0</v>
      </c>
    </row>
    <row r="2797" spans="6:12" ht="15" customHeight="1">
      <c r="F2797" s="344" t="s">
        <v>193</v>
      </c>
      <c r="G2797" s="345" t="s">
        <v>194</v>
      </c>
      <c r="H2797" s="346"/>
      <c r="I2797" s="346"/>
      <c r="J2797" s="347"/>
      <c r="K2797" s="348">
        <v>0</v>
      </c>
      <c r="L2797" s="310">
        <f>SUM(L2784:L2796)/2</f>
        <v>157369.75</v>
      </c>
    </row>
    <row r="2798" spans="6:12" ht="15" customHeight="1" thickBot="1">
      <c r="F2798" s="331" t="s">
        <v>195</v>
      </c>
      <c r="G2798" s="332" t="s">
        <v>196</v>
      </c>
      <c r="H2798" s="333"/>
      <c r="I2798" s="333"/>
      <c r="J2798" s="350">
        <v>0.1</v>
      </c>
      <c r="K2798" s="335"/>
      <c r="L2798" s="330">
        <f>J2798*L2797</f>
        <v>15736.975</v>
      </c>
    </row>
    <row r="2799" spans="6:12" ht="15" customHeight="1" thickBot="1">
      <c r="F2799" s="340" t="s">
        <v>197</v>
      </c>
      <c r="G2799" s="341" t="s">
        <v>198</v>
      </c>
      <c r="H2799" s="318"/>
      <c r="I2799" s="318"/>
      <c r="J2799" s="342"/>
      <c r="K2799" s="320">
        <v>0</v>
      </c>
      <c r="L2799" s="321">
        <f>ROUNDDOWN(L2797+L2798,0)</f>
        <v>173106</v>
      </c>
    </row>
    <row r="2800" spans="6:12" ht="15" customHeight="1">
      <c r="F2800" s="298"/>
      <c r="G2800" s="298"/>
      <c r="J2800" s="343"/>
    </row>
    <row r="2801" spans="5:13" ht="15" customHeight="1" thickBot="1">
      <c r="E2801" s="356" t="s">
        <v>643</v>
      </c>
      <c r="F2801" s="295" t="s">
        <v>644</v>
      </c>
      <c r="J2801" s="343"/>
      <c r="M2801" s="299">
        <f>L2819</f>
        <v>156407</v>
      </c>
    </row>
    <row r="2802" spans="5:13" ht="15" customHeight="1" thickBot="1">
      <c r="F2802" s="340" t="s">
        <v>136</v>
      </c>
      <c r="G2802" s="341" t="s">
        <v>162</v>
      </c>
      <c r="H2802" s="352" t="s">
        <v>163</v>
      </c>
      <c r="I2802" s="352" t="s">
        <v>138</v>
      </c>
      <c r="J2802" s="353" t="s">
        <v>164</v>
      </c>
      <c r="K2802" s="341" t="s">
        <v>165</v>
      </c>
      <c r="L2802" s="354" t="s">
        <v>166</v>
      </c>
    </row>
    <row r="2803" spans="5:13" ht="15" customHeight="1">
      <c r="F2803" s="300" t="s">
        <v>167</v>
      </c>
      <c r="G2803" s="301" t="s">
        <v>168</v>
      </c>
      <c r="H2803" s="302"/>
      <c r="I2803" s="302"/>
      <c r="J2803" s="351"/>
      <c r="K2803" s="328"/>
      <c r="L2803" s="310"/>
    </row>
    <row r="2804" spans="5:13" ht="15" customHeight="1">
      <c r="F2804" s="306"/>
      <c r="G2804" s="301" t="s">
        <v>169</v>
      </c>
      <c r="H2804" s="307" t="s">
        <v>170</v>
      </c>
      <c r="I2804" s="307" t="s">
        <v>171</v>
      </c>
      <c r="J2804" s="308">
        <v>0.3</v>
      </c>
      <c r="K2804" s="309">
        <f>VLOOKUP(G2804,Upah,8,FALSE)</f>
        <v>125000</v>
      </c>
      <c r="L2804" s="310">
        <f>J2804*K2804</f>
        <v>37500</v>
      </c>
    </row>
    <row r="2805" spans="5:13" ht="15" customHeight="1">
      <c r="F2805" s="306"/>
      <c r="G2805" s="301" t="s">
        <v>308</v>
      </c>
      <c r="H2805" s="307" t="s">
        <v>217</v>
      </c>
      <c r="I2805" s="307" t="s">
        <v>171</v>
      </c>
      <c r="J2805" s="308">
        <v>0.1</v>
      </c>
      <c r="K2805" s="309">
        <f>VLOOKUP(G2805,Upah,8,FALSE)</f>
        <v>150000</v>
      </c>
      <c r="L2805" s="310">
        <f>J2805*K2805</f>
        <v>15000</v>
      </c>
    </row>
    <row r="2806" spans="5:13" ht="15" customHeight="1">
      <c r="F2806" s="306"/>
      <c r="G2806" s="301" t="s">
        <v>174</v>
      </c>
      <c r="H2806" s="307" t="s">
        <v>175</v>
      </c>
      <c r="I2806" s="307" t="s">
        <v>171</v>
      </c>
      <c r="J2806" s="308">
        <v>0.01</v>
      </c>
      <c r="K2806" s="309">
        <f>VLOOKUP(G2806,Upah,8,FALSE)</f>
        <v>165000</v>
      </c>
      <c r="L2806" s="310">
        <f>J2806*K2806</f>
        <v>1650</v>
      </c>
    </row>
    <row r="2807" spans="5:13" ht="15" customHeight="1" thickBot="1">
      <c r="F2807" s="306"/>
      <c r="G2807" s="301" t="s">
        <v>176</v>
      </c>
      <c r="H2807" s="307" t="s">
        <v>177</v>
      </c>
      <c r="I2807" s="307" t="s">
        <v>171</v>
      </c>
      <c r="J2807" s="308">
        <v>1.4999999999999999E-2</v>
      </c>
      <c r="K2807" s="309">
        <f>VLOOKUP(G2807,Upah,8,FALSE)</f>
        <v>170000</v>
      </c>
      <c r="L2807" s="310">
        <f>J2807*K2807</f>
        <v>2550</v>
      </c>
    </row>
    <row r="2808" spans="5:13" ht="15" customHeight="1" thickBot="1">
      <c r="F2808" s="316"/>
      <c r="G2808" s="317"/>
      <c r="H2808" s="318"/>
      <c r="I2808" s="318"/>
      <c r="J2808" s="319" t="s">
        <v>178</v>
      </c>
      <c r="K2808" s="320"/>
      <c r="L2808" s="321">
        <f>SUM(L2804:L2807)</f>
        <v>56700</v>
      </c>
    </row>
    <row r="2809" spans="5:13" ht="15" customHeight="1">
      <c r="F2809" s="300" t="s">
        <v>179</v>
      </c>
      <c r="G2809" s="301" t="s">
        <v>180</v>
      </c>
      <c r="H2809" s="302"/>
      <c r="I2809" s="302"/>
      <c r="J2809" s="351"/>
      <c r="K2809" s="328"/>
      <c r="L2809" s="310"/>
    </row>
    <row r="2810" spans="5:13" ht="15" customHeight="1">
      <c r="F2810" s="306"/>
      <c r="G2810" s="301" t="s">
        <v>220</v>
      </c>
      <c r="H2810" s="302"/>
      <c r="I2810" s="307" t="s">
        <v>36</v>
      </c>
      <c r="J2810" s="308">
        <v>70</v>
      </c>
      <c r="K2810" s="328">
        <f>VLOOKUP(G2810,Bahan,6,FALSE)</f>
        <v>1040</v>
      </c>
      <c r="L2810" s="310">
        <f>J2810*K2810</f>
        <v>72800</v>
      </c>
    </row>
    <row r="2811" spans="5:13" ht="15" customHeight="1">
      <c r="F2811" s="306"/>
      <c r="G2811" s="301" t="s">
        <v>645</v>
      </c>
      <c r="H2811" s="302"/>
      <c r="I2811" s="307" t="s">
        <v>45</v>
      </c>
      <c r="J2811" s="308">
        <v>1.7999999999999999E-2</v>
      </c>
      <c r="K2811" s="328">
        <f>VLOOKUP(G2811,Bahan,6,FALSE)</f>
        <v>2460</v>
      </c>
      <c r="L2811" s="310">
        <f>J2811*K2811</f>
        <v>44.279999999999994</v>
      </c>
    </row>
    <row r="2812" spans="5:13" ht="15" customHeight="1">
      <c r="F2812" s="306"/>
      <c r="G2812" s="301" t="s">
        <v>295</v>
      </c>
      <c r="H2812" s="302"/>
      <c r="I2812" s="307" t="s">
        <v>44</v>
      </c>
      <c r="J2812" s="308">
        <v>1.7999999999999999E-2</v>
      </c>
      <c r="K2812" s="328">
        <f>VLOOKUP(G2812,Bahan,6,FALSE)</f>
        <v>448950</v>
      </c>
      <c r="L2812" s="310">
        <f>J2812*K2812</f>
        <v>8081.0999999999995</v>
      </c>
    </row>
    <row r="2813" spans="5:13" ht="15" customHeight="1" thickBot="1">
      <c r="F2813" s="306"/>
      <c r="G2813" s="301" t="s">
        <v>296</v>
      </c>
      <c r="H2813" s="302"/>
      <c r="I2813" s="307" t="s">
        <v>44</v>
      </c>
      <c r="J2813" s="308">
        <v>1.7999999999999999E-2</v>
      </c>
      <c r="K2813" s="328">
        <f>VLOOKUP(G2813,Bahan,6,FALSE)</f>
        <v>253510</v>
      </c>
      <c r="L2813" s="310">
        <f>J2813*K2813</f>
        <v>4563.1799999999994</v>
      </c>
    </row>
    <row r="2814" spans="5:13" ht="15" customHeight="1" thickBot="1">
      <c r="F2814" s="316"/>
      <c r="G2814" s="317"/>
      <c r="H2814" s="318"/>
      <c r="I2814" s="318"/>
      <c r="J2814" s="319" t="s">
        <v>189</v>
      </c>
      <c r="K2814" s="320"/>
      <c r="L2814" s="321">
        <f>SUM(L2810:L2813)</f>
        <v>85488.56</v>
      </c>
    </row>
    <row r="2815" spans="5:13" ht="15" customHeight="1" thickBot="1">
      <c r="F2815" s="300" t="s">
        <v>190</v>
      </c>
      <c r="G2815" s="301" t="s">
        <v>191</v>
      </c>
      <c r="H2815" s="302"/>
      <c r="I2815" s="302"/>
      <c r="J2815" s="351"/>
      <c r="K2815" s="328">
        <v>0</v>
      </c>
      <c r="L2815" s="310">
        <f>J2815*K2815</f>
        <v>0</v>
      </c>
    </row>
    <row r="2816" spans="5:13" ht="15" customHeight="1" thickBot="1">
      <c r="F2816" s="316"/>
      <c r="G2816" s="317"/>
      <c r="H2816" s="318"/>
      <c r="I2816" s="318"/>
      <c r="J2816" s="319" t="s">
        <v>192</v>
      </c>
      <c r="K2816" s="320"/>
      <c r="L2816" s="321">
        <f>L2815</f>
        <v>0</v>
      </c>
    </row>
    <row r="2817" spans="5:13" ht="15" customHeight="1">
      <c r="F2817" s="344" t="s">
        <v>193</v>
      </c>
      <c r="G2817" s="345" t="s">
        <v>194</v>
      </c>
      <c r="H2817" s="346"/>
      <c r="I2817" s="346"/>
      <c r="J2817" s="347"/>
      <c r="K2817" s="348">
        <v>0</v>
      </c>
      <c r="L2817" s="310">
        <f>SUM(L2804:L2816)/2</f>
        <v>142188.56</v>
      </c>
    </row>
    <row r="2818" spans="5:13" ht="15" customHeight="1" thickBot="1">
      <c r="F2818" s="331" t="s">
        <v>195</v>
      </c>
      <c r="G2818" s="332" t="s">
        <v>196</v>
      </c>
      <c r="H2818" s="333"/>
      <c r="I2818" s="333"/>
      <c r="J2818" s="350">
        <v>0.1</v>
      </c>
      <c r="K2818" s="335"/>
      <c r="L2818" s="330">
        <f>J2818*L2817</f>
        <v>14218.856</v>
      </c>
    </row>
    <row r="2819" spans="5:13" ht="15" customHeight="1" thickBot="1">
      <c r="F2819" s="340" t="s">
        <v>197</v>
      </c>
      <c r="G2819" s="341" t="s">
        <v>198</v>
      </c>
      <c r="H2819" s="318"/>
      <c r="I2819" s="318"/>
      <c r="J2819" s="342"/>
      <c r="K2819" s="320">
        <v>0</v>
      </c>
      <c r="L2819" s="321">
        <f>ROUNDDOWN(L2817+L2818,0)</f>
        <v>156407</v>
      </c>
    </row>
    <row r="2820" spans="5:13" ht="15" customHeight="1">
      <c r="F2820" s="298"/>
      <c r="G2820" s="298"/>
      <c r="J2820" s="343"/>
    </row>
    <row r="2821" spans="5:13" ht="15" customHeight="1" thickBot="1">
      <c r="E2821" s="356" t="s">
        <v>646</v>
      </c>
      <c r="F2821" s="295" t="s">
        <v>647</v>
      </c>
      <c r="J2821" s="343"/>
      <c r="M2821" s="299">
        <f>L2839</f>
        <v>157209</v>
      </c>
    </row>
    <row r="2822" spans="5:13" ht="15" customHeight="1" thickBot="1">
      <c r="F2822" s="340" t="s">
        <v>136</v>
      </c>
      <c r="G2822" s="341" t="s">
        <v>162</v>
      </c>
      <c r="H2822" s="352" t="s">
        <v>163</v>
      </c>
      <c r="I2822" s="352" t="s">
        <v>138</v>
      </c>
      <c r="J2822" s="353" t="s">
        <v>164</v>
      </c>
      <c r="K2822" s="341" t="s">
        <v>165</v>
      </c>
      <c r="L2822" s="354" t="s">
        <v>166</v>
      </c>
    </row>
    <row r="2823" spans="5:13" ht="15" customHeight="1">
      <c r="F2823" s="344" t="s">
        <v>167</v>
      </c>
      <c r="G2823" s="345" t="s">
        <v>168</v>
      </c>
      <c r="H2823" s="346"/>
      <c r="I2823" s="346"/>
      <c r="J2823" s="347"/>
      <c r="K2823" s="348"/>
      <c r="L2823" s="349"/>
    </row>
    <row r="2824" spans="5:13" ht="15" customHeight="1">
      <c r="F2824" s="306"/>
      <c r="G2824" s="301" t="s">
        <v>169</v>
      </c>
      <c r="H2824" s="307" t="s">
        <v>170</v>
      </c>
      <c r="I2824" s="307" t="s">
        <v>171</v>
      </c>
      <c r="J2824" s="308">
        <v>0.3</v>
      </c>
      <c r="K2824" s="309">
        <f>VLOOKUP(G2824,Upah,8,FALSE)</f>
        <v>125000</v>
      </c>
      <c r="L2824" s="310">
        <f>J2824*K2824</f>
        <v>37500</v>
      </c>
    </row>
    <row r="2825" spans="5:13" ht="15" customHeight="1">
      <c r="F2825" s="306"/>
      <c r="G2825" s="301" t="s">
        <v>308</v>
      </c>
      <c r="H2825" s="307" t="s">
        <v>217</v>
      </c>
      <c r="I2825" s="307" t="s">
        <v>171</v>
      </c>
      <c r="J2825" s="308">
        <v>0.1</v>
      </c>
      <c r="K2825" s="309">
        <f>VLOOKUP(G2825,Upah,8,FALSE)</f>
        <v>150000</v>
      </c>
      <c r="L2825" s="310">
        <f>J2825*K2825</f>
        <v>15000</v>
      </c>
    </row>
    <row r="2826" spans="5:13" ht="15" customHeight="1">
      <c r="F2826" s="306"/>
      <c r="G2826" s="301" t="s">
        <v>174</v>
      </c>
      <c r="H2826" s="307" t="s">
        <v>175</v>
      </c>
      <c r="I2826" s="307" t="s">
        <v>171</v>
      </c>
      <c r="J2826" s="308">
        <v>0.01</v>
      </c>
      <c r="K2826" s="309">
        <f>VLOOKUP(G2826,Upah,8,FALSE)</f>
        <v>165000</v>
      </c>
      <c r="L2826" s="310">
        <f>J2826*K2826</f>
        <v>1650</v>
      </c>
    </row>
    <row r="2827" spans="5:13" ht="15" customHeight="1" thickBot="1">
      <c r="F2827" s="306"/>
      <c r="G2827" s="301" t="s">
        <v>176</v>
      </c>
      <c r="H2827" s="307" t="s">
        <v>177</v>
      </c>
      <c r="I2827" s="307" t="s">
        <v>171</v>
      </c>
      <c r="J2827" s="308">
        <v>1.4999999999999999E-2</v>
      </c>
      <c r="K2827" s="309">
        <f>VLOOKUP(G2827,Upah,8,FALSE)</f>
        <v>170000</v>
      </c>
      <c r="L2827" s="310">
        <f>J2827*K2827</f>
        <v>2550</v>
      </c>
    </row>
    <row r="2828" spans="5:13" ht="15" customHeight="1" thickBot="1">
      <c r="F2828" s="316"/>
      <c r="G2828" s="317"/>
      <c r="H2828" s="318"/>
      <c r="I2828" s="318"/>
      <c r="J2828" s="319" t="s">
        <v>178</v>
      </c>
      <c r="K2828" s="320"/>
      <c r="L2828" s="321">
        <f>SUM(L2824:L2827)</f>
        <v>56700</v>
      </c>
    </row>
    <row r="2829" spans="5:13" ht="15" customHeight="1">
      <c r="F2829" s="300" t="s">
        <v>179</v>
      </c>
      <c r="G2829" s="301" t="s">
        <v>180</v>
      </c>
      <c r="H2829" s="302"/>
      <c r="I2829" s="302"/>
      <c r="J2829" s="351"/>
      <c r="K2829" s="328"/>
      <c r="L2829" s="310"/>
    </row>
    <row r="2830" spans="5:13" ht="15" customHeight="1">
      <c r="F2830" s="306"/>
      <c r="G2830" s="301" t="s">
        <v>220</v>
      </c>
      <c r="H2830" s="302"/>
      <c r="I2830" s="307" t="s">
        <v>36</v>
      </c>
      <c r="J2830" s="308">
        <v>70</v>
      </c>
      <c r="K2830" s="328">
        <f>VLOOKUP(G2830,Bahan,6,FALSE)</f>
        <v>1040</v>
      </c>
      <c r="L2830" s="310">
        <f>J2830*K2830</f>
        <v>72800</v>
      </c>
    </row>
    <row r="2831" spans="5:13" ht="15" customHeight="1">
      <c r="F2831" s="306"/>
      <c r="G2831" s="301" t="s">
        <v>645</v>
      </c>
      <c r="H2831" s="302"/>
      <c r="I2831" s="307" t="s">
        <v>45</v>
      </c>
      <c r="J2831" s="308">
        <v>1.4E-2</v>
      </c>
      <c r="K2831" s="328">
        <f>VLOOKUP(G2831,Bahan,6,FALSE)</f>
        <v>2460</v>
      </c>
      <c r="L2831" s="310">
        <f>J2831*K2831</f>
        <v>34.44</v>
      </c>
    </row>
    <row r="2832" spans="5:13" ht="15" customHeight="1">
      <c r="F2832" s="306"/>
      <c r="G2832" s="301" t="s">
        <v>295</v>
      </c>
      <c r="H2832" s="302"/>
      <c r="I2832" s="307" t="s">
        <v>44</v>
      </c>
      <c r="J2832" s="308">
        <v>1.4E-2</v>
      </c>
      <c r="K2832" s="328">
        <f>VLOOKUP(G2832,Bahan,6,FALSE)</f>
        <v>448950</v>
      </c>
      <c r="L2832" s="310">
        <f>J2832*K2832</f>
        <v>6285.3</v>
      </c>
    </row>
    <row r="2833" spans="5:13" ht="15" customHeight="1" thickBot="1">
      <c r="F2833" s="306"/>
      <c r="G2833" s="301" t="s">
        <v>296</v>
      </c>
      <c r="H2833" s="302"/>
      <c r="I2833" s="307" t="s">
        <v>44</v>
      </c>
      <c r="J2833" s="308">
        <v>2.8000000000000001E-2</v>
      </c>
      <c r="K2833" s="328">
        <f>VLOOKUP(G2833,Bahan,6,FALSE)</f>
        <v>253510</v>
      </c>
      <c r="L2833" s="310">
        <f>J2833*K2833</f>
        <v>7098.28</v>
      </c>
    </row>
    <row r="2834" spans="5:13" ht="15" customHeight="1" thickBot="1">
      <c r="F2834" s="316"/>
      <c r="G2834" s="317"/>
      <c r="H2834" s="318"/>
      <c r="I2834" s="318"/>
      <c r="J2834" s="319" t="s">
        <v>189</v>
      </c>
      <c r="K2834" s="320"/>
      <c r="L2834" s="321">
        <f>SUM(L2830:L2833)</f>
        <v>86218.02</v>
      </c>
    </row>
    <row r="2835" spans="5:13" ht="15" customHeight="1" thickBot="1">
      <c r="F2835" s="300" t="s">
        <v>190</v>
      </c>
      <c r="G2835" s="301" t="s">
        <v>191</v>
      </c>
      <c r="H2835" s="302"/>
      <c r="I2835" s="302"/>
      <c r="J2835" s="351"/>
      <c r="K2835" s="328">
        <v>0</v>
      </c>
      <c r="L2835" s="310">
        <f>J2835*K2835</f>
        <v>0</v>
      </c>
    </row>
    <row r="2836" spans="5:13" ht="15" customHeight="1" thickBot="1">
      <c r="F2836" s="316"/>
      <c r="G2836" s="317"/>
      <c r="H2836" s="318"/>
      <c r="I2836" s="318"/>
      <c r="J2836" s="319" t="s">
        <v>192</v>
      </c>
      <c r="K2836" s="320"/>
      <c r="L2836" s="321">
        <f>L2835</f>
        <v>0</v>
      </c>
    </row>
    <row r="2837" spans="5:13" ht="15" customHeight="1">
      <c r="F2837" s="344" t="s">
        <v>193</v>
      </c>
      <c r="G2837" s="345" t="s">
        <v>194</v>
      </c>
      <c r="H2837" s="346"/>
      <c r="I2837" s="346"/>
      <c r="J2837" s="347"/>
      <c r="K2837" s="348">
        <v>0</v>
      </c>
      <c r="L2837" s="310">
        <f>SUM(L2823:L2836)/2</f>
        <v>142918.01999999999</v>
      </c>
    </row>
    <row r="2838" spans="5:13" ht="15" customHeight="1" thickBot="1">
      <c r="F2838" s="331" t="s">
        <v>195</v>
      </c>
      <c r="G2838" s="332" t="s">
        <v>196</v>
      </c>
      <c r="H2838" s="333"/>
      <c r="I2838" s="333"/>
      <c r="J2838" s="350">
        <v>0.1</v>
      </c>
      <c r="K2838" s="335"/>
      <c r="L2838" s="330">
        <f>J2838*L2837</f>
        <v>14291.802</v>
      </c>
    </row>
    <row r="2839" spans="5:13" ht="15" customHeight="1" thickBot="1">
      <c r="F2839" s="340" t="s">
        <v>197</v>
      </c>
      <c r="G2839" s="341" t="s">
        <v>198</v>
      </c>
      <c r="H2839" s="318"/>
      <c r="I2839" s="318"/>
      <c r="J2839" s="342"/>
      <c r="K2839" s="320">
        <v>0</v>
      </c>
      <c r="L2839" s="321">
        <f>ROUNDDOWN(L2837+L2838,0)</f>
        <v>157209</v>
      </c>
    </row>
    <row r="2840" spans="5:13" ht="15" customHeight="1">
      <c r="F2840" s="298"/>
      <c r="G2840" s="298"/>
      <c r="J2840" s="343"/>
    </row>
    <row r="2841" spans="5:13" ht="15" customHeight="1" thickBot="1">
      <c r="E2841" s="356" t="s">
        <v>648</v>
      </c>
      <c r="F2841" s="295" t="s">
        <v>649</v>
      </c>
      <c r="J2841" s="343"/>
      <c r="M2841" s="299">
        <f>L2859</f>
        <v>515979</v>
      </c>
    </row>
    <row r="2842" spans="5:13" ht="15" customHeight="1" thickBot="1">
      <c r="F2842" s="340" t="s">
        <v>136</v>
      </c>
      <c r="G2842" s="341" t="s">
        <v>162</v>
      </c>
      <c r="H2842" s="352" t="s">
        <v>163</v>
      </c>
      <c r="I2842" s="352" t="s">
        <v>138</v>
      </c>
      <c r="J2842" s="353" t="s">
        <v>164</v>
      </c>
      <c r="K2842" s="341" t="s">
        <v>165</v>
      </c>
      <c r="L2842" s="354" t="s">
        <v>166</v>
      </c>
    </row>
    <row r="2843" spans="5:13" ht="15" customHeight="1">
      <c r="F2843" s="300" t="s">
        <v>167</v>
      </c>
      <c r="G2843" s="301" t="s">
        <v>168</v>
      </c>
      <c r="H2843" s="302"/>
      <c r="I2843" s="302"/>
      <c r="J2843" s="351"/>
      <c r="K2843" s="309"/>
      <c r="L2843" s="310"/>
    </row>
    <row r="2844" spans="5:13" ht="15" customHeight="1">
      <c r="F2844" s="306"/>
      <c r="G2844" s="301" t="s">
        <v>169</v>
      </c>
      <c r="H2844" s="307" t="s">
        <v>170</v>
      </c>
      <c r="I2844" s="307" t="s">
        <v>171</v>
      </c>
      <c r="J2844" s="308">
        <v>0.35</v>
      </c>
      <c r="K2844" s="309">
        <f>VLOOKUP(G2844,Upah,8,FALSE)</f>
        <v>125000</v>
      </c>
      <c r="L2844" s="310">
        <f>J2844*K2844</f>
        <v>43750</v>
      </c>
    </row>
    <row r="2845" spans="5:13" ht="15" customHeight="1">
      <c r="F2845" s="306"/>
      <c r="G2845" s="301" t="s">
        <v>308</v>
      </c>
      <c r="H2845" s="307" t="s">
        <v>217</v>
      </c>
      <c r="I2845" s="307" t="s">
        <v>171</v>
      </c>
      <c r="J2845" s="308">
        <v>0.15</v>
      </c>
      <c r="K2845" s="309">
        <f>VLOOKUP(G2845,Upah,8,FALSE)</f>
        <v>150000</v>
      </c>
      <c r="L2845" s="310">
        <f>J2845*K2845</f>
        <v>22500</v>
      </c>
    </row>
    <row r="2846" spans="5:13" ht="15" customHeight="1">
      <c r="F2846" s="306"/>
      <c r="G2846" s="301" t="s">
        <v>174</v>
      </c>
      <c r="H2846" s="307" t="s">
        <v>175</v>
      </c>
      <c r="I2846" s="307" t="s">
        <v>171</v>
      </c>
      <c r="J2846" s="308">
        <v>1.4999999999999999E-2</v>
      </c>
      <c r="K2846" s="309">
        <f>VLOOKUP(G2846,Upah,8,FALSE)</f>
        <v>165000</v>
      </c>
      <c r="L2846" s="310">
        <f>J2846*K2846</f>
        <v>2475</v>
      </c>
    </row>
    <row r="2847" spans="5:13" ht="15" customHeight="1" thickBot="1">
      <c r="F2847" s="306"/>
      <c r="G2847" s="301" t="s">
        <v>176</v>
      </c>
      <c r="H2847" s="307" t="s">
        <v>177</v>
      </c>
      <c r="I2847" s="307" t="s">
        <v>171</v>
      </c>
      <c r="J2847" s="308">
        <v>1.7999999999999999E-2</v>
      </c>
      <c r="K2847" s="309">
        <f>VLOOKUP(G2847,Upah,8,FALSE)</f>
        <v>170000</v>
      </c>
      <c r="L2847" s="310">
        <f>J2847*K2847</f>
        <v>3059.9999999999995</v>
      </c>
    </row>
    <row r="2848" spans="5:13" ht="15" customHeight="1" thickBot="1">
      <c r="F2848" s="316"/>
      <c r="G2848" s="317"/>
      <c r="H2848" s="318"/>
      <c r="I2848" s="318"/>
      <c r="J2848" s="319" t="s">
        <v>178</v>
      </c>
      <c r="K2848" s="320"/>
      <c r="L2848" s="321">
        <f>SUM(L2844:L2847)</f>
        <v>71785</v>
      </c>
    </row>
    <row r="2849" spans="5:13" ht="15" customHeight="1">
      <c r="F2849" s="300" t="s">
        <v>179</v>
      </c>
      <c r="G2849" s="301" t="s">
        <v>180</v>
      </c>
      <c r="H2849" s="302"/>
      <c r="I2849" s="302"/>
      <c r="J2849" s="351"/>
      <c r="K2849" s="328"/>
      <c r="L2849" s="310"/>
    </row>
    <row r="2850" spans="5:13" ht="15" customHeight="1">
      <c r="F2850" s="306"/>
      <c r="G2850" s="301" t="s">
        <v>650</v>
      </c>
      <c r="H2850" s="302"/>
      <c r="I2850" s="307" t="s">
        <v>36</v>
      </c>
      <c r="J2850" s="308">
        <v>12.5</v>
      </c>
      <c r="K2850" s="328">
        <f>VLOOKUP(G2850,Bahan,6,FALSE)</f>
        <v>12100</v>
      </c>
      <c r="L2850" s="310">
        <f>J2850*K2850</f>
        <v>151250</v>
      </c>
    </row>
    <row r="2851" spans="5:13" ht="15" customHeight="1">
      <c r="F2851" s="306"/>
      <c r="G2851" s="301" t="s">
        <v>183</v>
      </c>
      <c r="H2851" s="302"/>
      <c r="I2851" s="307" t="s">
        <v>45</v>
      </c>
      <c r="J2851" s="308">
        <v>30.32</v>
      </c>
      <c r="K2851" s="328">
        <f>VLOOKUP(G2851,Bahan,6,FALSE)</f>
        <v>1880</v>
      </c>
      <c r="L2851" s="310">
        <f>J2851*K2851</f>
        <v>57001.599999999999</v>
      </c>
    </row>
    <row r="2852" spans="5:13" ht="15" customHeight="1">
      <c r="F2852" s="306"/>
      <c r="G2852" s="301" t="s">
        <v>296</v>
      </c>
      <c r="H2852" s="302"/>
      <c r="I2852" s="307" t="s">
        <v>44</v>
      </c>
      <c r="J2852" s="308">
        <v>0.72799999999999998</v>
      </c>
      <c r="K2852" s="328">
        <f>VLOOKUP(G2852,Bahan,6,FALSE)</f>
        <v>253510</v>
      </c>
      <c r="L2852" s="310">
        <f>J2852*K2852</f>
        <v>184555.28</v>
      </c>
    </row>
    <row r="2853" spans="5:13" ht="15" customHeight="1" thickBot="1">
      <c r="F2853" s="306"/>
      <c r="G2853" s="301" t="s">
        <v>651</v>
      </c>
      <c r="H2853" s="302"/>
      <c r="I2853" s="307" t="s">
        <v>45</v>
      </c>
      <c r="J2853" s="308">
        <v>0.28000000000000003</v>
      </c>
      <c r="K2853" s="328">
        <f>VLOOKUP(G2853,Bahan,6,FALSE)</f>
        <v>16000</v>
      </c>
      <c r="L2853" s="310">
        <f>J2853*K2853</f>
        <v>4480</v>
      </c>
    </row>
    <row r="2854" spans="5:13" ht="15" customHeight="1" thickBot="1">
      <c r="F2854" s="316"/>
      <c r="G2854" s="317"/>
      <c r="H2854" s="318"/>
      <c r="I2854" s="318"/>
      <c r="J2854" s="319" t="s">
        <v>189</v>
      </c>
      <c r="K2854" s="320"/>
      <c r="L2854" s="321">
        <f>SUM(L2850:L2853)</f>
        <v>397286.88</v>
      </c>
    </row>
    <row r="2855" spans="5:13" ht="15" customHeight="1" thickBot="1">
      <c r="F2855" s="300" t="s">
        <v>190</v>
      </c>
      <c r="G2855" s="301" t="s">
        <v>191</v>
      </c>
      <c r="H2855" s="302"/>
      <c r="I2855" s="302"/>
      <c r="J2855" s="351"/>
      <c r="K2855" s="328">
        <v>0</v>
      </c>
      <c r="L2855" s="310">
        <f>J2855*K2855</f>
        <v>0</v>
      </c>
    </row>
    <row r="2856" spans="5:13" ht="15" customHeight="1" thickBot="1">
      <c r="F2856" s="316"/>
      <c r="G2856" s="317"/>
      <c r="H2856" s="318"/>
      <c r="I2856" s="318"/>
      <c r="J2856" s="319" t="s">
        <v>192</v>
      </c>
      <c r="K2856" s="320"/>
      <c r="L2856" s="321">
        <f>L2855</f>
        <v>0</v>
      </c>
    </row>
    <row r="2857" spans="5:13" ht="15" customHeight="1">
      <c r="F2857" s="344" t="s">
        <v>193</v>
      </c>
      <c r="G2857" s="345" t="s">
        <v>194</v>
      </c>
      <c r="H2857" s="346"/>
      <c r="I2857" s="346"/>
      <c r="J2857" s="347"/>
      <c r="K2857" s="348">
        <v>0</v>
      </c>
      <c r="L2857" s="310">
        <f>SUM(L2844:L2856)/2</f>
        <v>469071.88</v>
      </c>
    </row>
    <row r="2858" spans="5:13" ht="15" customHeight="1" thickBot="1">
      <c r="F2858" s="331" t="s">
        <v>195</v>
      </c>
      <c r="G2858" s="332" t="s">
        <v>196</v>
      </c>
      <c r="H2858" s="333"/>
      <c r="I2858" s="333"/>
      <c r="J2858" s="350">
        <v>0.1</v>
      </c>
      <c r="K2858" s="335"/>
      <c r="L2858" s="330">
        <f>J2858*L2857</f>
        <v>46907.188000000002</v>
      </c>
    </row>
    <row r="2859" spans="5:13" ht="15" customHeight="1" thickBot="1">
      <c r="F2859" s="340" t="s">
        <v>197</v>
      </c>
      <c r="G2859" s="341" t="s">
        <v>198</v>
      </c>
      <c r="H2859" s="318"/>
      <c r="I2859" s="318"/>
      <c r="J2859" s="342"/>
      <c r="K2859" s="320">
        <v>0</v>
      </c>
      <c r="L2859" s="321">
        <f>ROUNDDOWN(L2857+L2858,0)</f>
        <v>515979</v>
      </c>
    </row>
    <row r="2860" spans="5:13" ht="15" customHeight="1">
      <c r="F2860" s="298"/>
      <c r="G2860" s="298"/>
      <c r="J2860" s="343"/>
    </row>
    <row r="2861" spans="5:13" ht="15" customHeight="1" thickBot="1">
      <c r="E2861" s="356" t="s">
        <v>652</v>
      </c>
      <c r="F2861" s="295" t="s">
        <v>653</v>
      </c>
      <c r="J2861" s="343"/>
      <c r="M2861" s="299">
        <f>L2879</f>
        <v>515716</v>
      </c>
    </row>
    <row r="2862" spans="5:13" ht="15" customHeight="1" thickBot="1">
      <c r="F2862" s="340" t="s">
        <v>136</v>
      </c>
      <c r="G2862" s="341" t="s">
        <v>162</v>
      </c>
      <c r="H2862" s="352" t="s">
        <v>163</v>
      </c>
      <c r="I2862" s="352" t="s">
        <v>138</v>
      </c>
      <c r="J2862" s="353" t="s">
        <v>164</v>
      </c>
      <c r="K2862" s="341" t="s">
        <v>165</v>
      </c>
      <c r="L2862" s="354" t="s">
        <v>166</v>
      </c>
    </row>
    <row r="2863" spans="5:13" ht="15" customHeight="1">
      <c r="F2863" s="300" t="s">
        <v>167</v>
      </c>
      <c r="G2863" s="301" t="s">
        <v>168</v>
      </c>
      <c r="H2863" s="302"/>
      <c r="I2863" s="302"/>
      <c r="J2863" s="351"/>
      <c r="K2863" s="328"/>
      <c r="L2863" s="310"/>
    </row>
    <row r="2864" spans="5:13" ht="15" customHeight="1">
      <c r="F2864" s="306"/>
      <c r="G2864" s="301" t="s">
        <v>169</v>
      </c>
      <c r="H2864" s="307" t="s">
        <v>170</v>
      </c>
      <c r="I2864" s="307" t="s">
        <v>171</v>
      </c>
      <c r="J2864" s="308">
        <v>0.35</v>
      </c>
      <c r="K2864" s="309">
        <f>VLOOKUP(G2864,Upah,8,FALSE)</f>
        <v>125000</v>
      </c>
      <c r="L2864" s="310">
        <f>J2864*K2864</f>
        <v>43750</v>
      </c>
    </row>
    <row r="2865" spans="6:12" ht="15" customHeight="1">
      <c r="F2865" s="306"/>
      <c r="G2865" s="301" t="s">
        <v>308</v>
      </c>
      <c r="H2865" s="307" t="s">
        <v>217</v>
      </c>
      <c r="I2865" s="307" t="s">
        <v>171</v>
      </c>
      <c r="J2865" s="308">
        <v>0.15</v>
      </c>
      <c r="K2865" s="309">
        <f>VLOOKUP(G2865,Upah,8,FALSE)</f>
        <v>150000</v>
      </c>
      <c r="L2865" s="310">
        <f>J2865*K2865</f>
        <v>22500</v>
      </c>
    </row>
    <row r="2866" spans="6:12" ht="15" customHeight="1">
      <c r="F2866" s="306"/>
      <c r="G2866" s="301" t="s">
        <v>174</v>
      </c>
      <c r="H2866" s="307" t="s">
        <v>175</v>
      </c>
      <c r="I2866" s="307" t="s">
        <v>171</v>
      </c>
      <c r="J2866" s="308">
        <v>1.4999999999999999E-2</v>
      </c>
      <c r="K2866" s="309">
        <f>VLOOKUP(G2866,Upah,8,FALSE)</f>
        <v>165000</v>
      </c>
      <c r="L2866" s="310">
        <f>J2866*K2866</f>
        <v>2475</v>
      </c>
    </row>
    <row r="2867" spans="6:12" ht="15" customHeight="1" thickBot="1">
      <c r="F2867" s="306"/>
      <c r="G2867" s="301" t="s">
        <v>176</v>
      </c>
      <c r="H2867" s="307" t="s">
        <v>177</v>
      </c>
      <c r="I2867" s="307" t="s">
        <v>171</v>
      </c>
      <c r="J2867" s="308">
        <v>1.7999999999999999E-2</v>
      </c>
      <c r="K2867" s="309">
        <f>VLOOKUP(G2867,Upah,8,FALSE)</f>
        <v>170000</v>
      </c>
      <c r="L2867" s="310">
        <f>J2867*K2867</f>
        <v>3059.9999999999995</v>
      </c>
    </row>
    <row r="2868" spans="6:12" ht="15" customHeight="1" thickBot="1">
      <c r="F2868" s="316"/>
      <c r="G2868" s="317"/>
      <c r="H2868" s="318"/>
      <c r="I2868" s="318"/>
      <c r="J2868" s="319" t="s">
        <v>178</v>
      </c>
      <c r="K2868" s="320"/>
      <c r="L2868" s="321">
        <f>SUM(L2864:L2867)</f>
        <v>71785</v>
      </c>
    </row>
    <row r="2869" spans="6:12" ht="15" customHeight="1">
      <c r="F2869" s="300" t="s">
        <v>179</v>
      </c>
      <c r="G2869" s="301" t="s">
        <v>180</v>
      </c>
      <c r="H2869" s="302"/>
      <c r="I2869" s="302"/>
      <c r="J2869" s="351"/>
      <c r="K2869" s="328"/>
      <c r="L2869" s="310"/>
    </row>
    <row r="2870" spans="6:12" ht="15" customHeight="1">
      <c r="F2870" s="306"/>
      <c r="G2870" s="301" t="s">
        <v>650</v>
      </c>
      <c r="H2870" s="302"/>
      <c r="I2870" s="307" t="s">
        <v>36</v>
      </c>
      <c r="J2870" s="308">
        <v>12.5</v>
      </c>
      <c r="K2870" s="328">
        <f>VLOOKUP(G2870,Bahan,6,FALSE)</f>
        <v>12100</v>
      </c>
      <c r="L2870" s="310">
        <f>J2870*K2870</f>
        <v>151250</v>
      </c>
    </row>
    <row r="2871" spans="6:12" ht="15" customHeight="1">
      <c r="F2871" s="306"/>
      <c r="G2871" s="301" t="s">
        <v>183</v>
      </c>
      <c r="H2871" s="302"/>
      <c r="I2871" s="307" t="s">
        <v>45</v>
      </c>
      <c r="J2871" s="308">
        <v>24.26</v>
      </c>
      <c r="K2871" s="328">
        <f>VLOOKUP(G2871,Bahan,6,FALSE)</f>
        <v>1880</v>
      </c>
      <c r="L2871" s="310">
        <f>J2871*K2871</f>
        <v>45608.800000000003</v>
      </c>
    </row>
    <row r="2872" spans="6:12" ht="15" customHeight="1">
      <c r="F2872" s="306"/>
      <c r="G2872" s="301" t="s">
        <v>296</v>
      </c>
      <c r="H2872" s="302"/>
      <c r="I2872" s="307" t="s">
        <v>44</v>
      </c>
      <c r="J2872" s="308">
        <v>0.77200000000000002</v>
      </c>
      <c r="K2872" s="328">
        <f>VLOOKUP(G2872,Bahan,6,FALSE)</f>
        <v>253510</v>
      </c>
      <c r="L2872" s="310">
        <f>J2872*K2872</f>
        <v>195709.72</v>
      </c>
    </row>
    <row r="2873" spans="6:12" ht="15" customHeight="1" thickBot="1">
      <c r="F2873" s="306"/>
      <c r="G2873" s="301" t="s">
        <v>651</v>
      </c>
      <c r="H2873" s="302"/>
      <c r="I2873" s="307" t="s">
        <v>45</v>
      </c>
      <c r="J2873" s="308">
        <v>0.28000000000000003</v>
      </c>
      <c r="K2873" s="328">
        <f>VLOOKUP(G2873,Bahan,6,FALSE)</f>
        <v>16000</v>
      </c>
      <c r="L2873" s="310">
        <f>J2873*K2873</f>
        <v>4480</v>
      </c>
    </row>
    <row r="2874" spans="6:12" ht="15" customHeight="1" thickBot="1">
      <c r="F2874" s="316"/>
      <c r="G2874" s="317"/>
      <c r="H2874" s="318"/>
      <c r="I2874" s="318"/>
      <c r="J2874" s="319" t="s">
        <v>189</v>
      </c>
      <c r="K2874" s="320"/>
      <c r="L2874" s="321">
        <f>SUM(L2870:L2873)</f>
        <v>397048.52</v>
      </c>
    </row>
    <row r="2875" spans="6:12" ht="15" customHeight="1" thickBot="1">
      <c r="F2875" s="300" t="s">
        <v>190</v>
      </c>
      <c r="G2875" s="301" t="s">
        <v>191</v>
      </c>
      <c r="H2875" s="302"/>
      <c r="I2875" s="302"/>
      <c r="J2875" s="351"/>
      <c r="K2875" s="328">
        <v>0</v>
      </c>
      <c r="L2875" s="310">
        <f>J2875*K2875</f>
        <v>0</v>
      </c>
    </row>
    <row r="2876" spans="6:12" ht="15" customHeight="1" thickBot="1">
      <c r="F2876" s="316"/>
      <c r="G2876" s="317"/>
      <c r="H2876" s="318"/>
      <c r="I2876" s="318"/>
      <c r="J2876" s="319" t="s">
        <v>192</v>
      </c>
      <c r="K2876" s="320"/>
      <c r="L2876" s="321">
        <f>L2875</f>
        <v>0</v>
      </c>
    </row>
    <row r="2877" spans="6:12" ht="15" customHeight="1">
      <c r="F2877" s="344" t="s">
        <v>193</v>
      </c>
      <c r="G2877" s="345" t="s">
        <v>194</v>
      </c>
      <c r="H2877" s="346"/>
      <c r="I2877" s="346"/>
      <c r="J2877" s="347"/>
      <c r="K2877" s="348">
        <v>0</v>
      </c>
      <c r="L2877" s="310">
        <f>SUM(L2864:L2876)/2</f>
        <v>468833.52</v>
      </c>
    </row>
    <row r="2878" spans="6:12" ht="15" customHeight="1" thickBot="1">
      <c r="F2878" s="331" t="s">
        <v>195</v>
      </c>
      <c r="G2878" s="332" t="s">
        <v>196</v>
      </c>
      <c r="H2878" s="333"/>
      <c r="I2878" s="333"/>
      <c r="J2878" s="350">
        <v>0.1</v>
      </c>
      <c r="K2878" s="335"/>
      <c r="L2878" s="330">
        <f>J2878*L2877</f>
        <v>46883.352000000006</v>
      </c>
    </row>
    <row r="2879" spans="6:12" ht="15" customHeight="1" thickBot="1">
      <c r="F2879" s="340" t="s">
        <v>197</v>
      </c>
      <c r="G2879" s="341" t="s">
        <v>198</v>
      </c>
      <c r="H2879" s="318"/>
      <c r="I2879" s="318"/>
      <c r="J2879" s="342"/>
      <c r="K2879" s="320">
        <v>0</v>
      </c>
      <c r="L2879" s="321">
        <f>ROUNDDOWN(L2877+L2878,0)</f>
        <v>515716</v>
      </c>
    </row>
    <row r="2880" spans="6:12" ht="15" customHeight="1">
      <c r="F2880" s="298"/>
      <c r="G2880" s="298"/>
      <c r="J2880" s="343"/>
    </row>
    <row r="2881" spans="5:13" ht="15" customHeight="1" thickBot="1">
      <c r="E2881" s="356" t="s">
        <v>654</v>
      </c>
      <c r="F2881" s="295" t="s">
        <v>655</v>
      </c>
      <c r="J2881" s="343"/>
      <c r="M2881" s="299">
        <f>L2899</f>
        <v>387872</v>
      </c>
    </row>
    <row r="2882" spans="5:13" ht="15" customHeight="1" thickBot="1">
      <c r="F2882" s="340" t="s">
        <v>136</v>
      </c>
      <c r="G2882" s="341" t="s">
        <v>162</v>
      </c>
      <c r="H2882" s="352" t="s">
        <v>163</v>
      </c>
      <c r="I2882" s="352" t="s">
        <v>138</v>
      </c>
      <c r="J2882" s="353" t="s">
        <v>164</v>
      </c>
      <c r="K2882" s="341" t="s">
        <v>165</v>
      </c>
      <c r="L2882" s="354" t="s">
        <v>166</v>
      </c>
    </row>
    <row r="2883" spans="5:13" ht="15" customHeight="1">
      <c r="F2883" s="300" t="s">
        <v>167</v>
      </c>
      <c r="G2883" s="301" t="s">
        <v>168</v>
      </c>
      <c r="H2883" s="302"/>
      <c r="I2883" s="302"/>
      <c r="J2883" s="351"/>
      <c r="K2883" s="328"/>
      <c r="L2883" s="310"/>
    </row>
    <row r="2884" spans="5:13" ht="15" customHeight="1">
      <c r="F2884" s="306"/>
      <c r="G2884" s="301" t="s">
        <v>169</v>
      </c>
      <c r="H2884" s="307" t="s">
        <v>170</v>
      </c>
      <c r="I2884" s="307" t="s">
        <v>171</v>
      </c>
      <c r="J2884" s="308">
        <v>0.32</v>
      </c>
      <c r="K2884" s="309">
        <f>VLOOKUP(G2884,Upah,8,FALSE)</f>
        <v>125000</v>
      </c>
      <c r="L2884" s="310">
        <f>J2884*K2884</f>
        <v>40000</v>
      </c>
    </row>
    <row r="2885" spans="5:13" ht="15" customHeight="1">
      <c r="F2885" s="306"/>
      <c r="G2885" s="301" t="s">
        <v>308</v>
      </c>
      <c r="H2885" s="307" t="s">
        <v>217</v>
      </c>
      <c r="I2885" s="307" t="s">
        <v>171</v>
      </c>
      <c r="J2885" s="308">
        <v>0.12</v>
      </c>
      <c r="K2885" s="309">
        <f>VLOOKUP(G2885,Upah,8,FALSE)</f>
        <v>150000</v>
      </c>
      <c r="L2885" s="310">
        <f>J2885*K2885</f>
        <v>18000</v>
      </c>
    </row>
    <row r="2886" spans="5:13" ht="15" customHeight="1">
      <c r="F2886" s="306"/>
      <c r="G2886" s="301" t="s">
        <v>174</v>
      </c>
      <c r="H2886" s="307" t="s">
        <v>175</v>
      </c>
      <c r="I2886" s="307" t="s">
        <v>171</v>
      </c>
      <c r="J2886" s="308">
        <v>1.2E-2</v>
      </c>
      <c r="K2886" s="309">
        <f>VLOOKUP(G2886,Upah,8,FALSE)</f>
        <v>165000</v>
      </c>
      <c r="L2886" s="310">
        <f>J2886*K2886</f>
        <v>1980</v>
      </c>
    </row>
    <row r="2887" spans="5:13" ht="15" customHeight="1" thickBot="1">
      <c r="F2887" s="306"/>
      <c r="G2887" s="301" t="s">
        <v>176</v>
      </c>
      <c r="H2887" s="307" t="s">
        <v>177</v>
      </c>
      <c r="I2887" s="307" t="s">
        <v>171</v>
      </c>
      <c r="J2887" s="308">
        <v>1.6E-2</v>
      </c>
      <c r="K2887" s="309">
        <f>VLOOKUP(G2887,Upah,8,FALSE)</f>
        <v>170000</v>
      </c>
      <c r="L2887" s="310">
        <f>J2887*K2887</f>
        <v>2720</v>
      </c>
    </row>
    <row r="2888" spans="5:13" ht="15" customHeight="1" thickBot="1">
      <c r="F2888" s="316"/>
      <c r="G2888" s="317"/>
      <c r="H2888" s="318"/>
      <c r="I2888" s="318"/>
      <c r="J2888" s="319" t="s">
        <v>178</v>
      </c>
      <c r="K2888" s="320"/>
      <c r="L2888" s="321">
        <f>SUM(L2884:L2887)</f>
        <v>62700</v>
      </c>
    </row>
    <row r="2889" spans="5:13" ht="15" customHeight="1">
      <c r="F2889" s="300" t="s">
        <v>179</v>
      </c>
      <c r="G2889" s="301" t="s">
        <v>180</v>
      </c>
      <c r="H2889" s="302"/>
      <c r="I2889" s="302"/>
      <c r="J2889" s="351"/>
      <c r="K2889" s="328"/>
      <c r="L2889" s="310"/>
    </row>
    <row r="2890" spans="5:13" ht="15" customHeight="1">
      <c r="F2890" s="306"/>
      <c r="G2890" s="301" t="s">
        <v>656</v>
      </c>
      <c r="H2890" s="302"/>
      <c r="I2890" s="307" t="s">
        <v>36</v>
      </c>
      <c r="J2890" s="308">
        <v>12.5</v>
      </c>
      <c r="K2890" s="328">
        <f>VLOOKUP(G2890,Bahan,6,FALSE)</f>
        <v>8260</v>
      </c>
      <c r="L2890" s="310">
        <f>J2890*K2890</f>
        <v>103250</v>
      </c>
    </row>
    <row r="2891" spans="5:13" ht="15" customHeight="1">
      <c r="F2891" s="306"/>
      <c r="G2891" s="301" t="s">
        <v>183</v>
      </c>
      <c r="H2891" s="302"/>
      <c r="I2891" s="307" t="s">
        <v>45</v>
      </c>
      <c r="J2891" s="308">
        <v>22.74</v>
      </c>
      <c r="K2891" s="328">
        <f>VLOOKUP(G2891,Bahan,6,FALSE)</f>
        <v>1880</v>
      </c>
      <c r="L2891" s="310">
        <f>J2891*K2891</f>
        <v>42751.199999999997</v>
      </c>
    </row>
    <row r="2892" spans="5:13" ht="15" customHeight="1">
      <c r="F2892" s="306"/>
      <c r="G2892" s="301" t="s">
        <v>296</v>
      </c>
      <c r="H2892" s="302"/>
      <c r="I2892" s="307" t="s">
        <v>44</v>
      </c>
      <c r="J2892" s="308">
        <v>0.55000000000000004</v>
      </c>
      <c r="K2892" s="328">
        <f>VLOOKUP(G2892,Bahan,6,FALSE)</f>
        <v>253510</v>
      </c>
      <c r="L2892" s="310">
        <f>J2892*K2892</f>
        <v>139430.5</v>
      </c>
    </row>
    <row r="2893" spans="5:13" ht="15" customHeight="1" thickBot="1">
      <c r="F2893" s="306"/>
      <c r="G2893" s="301" t="s">
        <v>651</v>
      </c>
      <c r="H2893" s="302"/>
      <c r="I2893" s="307" t="s">
        <v>45</v>
      </c>
      <c r="J2893" s="308">
        <v>0.28000000000000003</v>
      </c>
      <c r="K2893" s="328">
        <f>VLOOKUP(G2893,Bahan,6,FALSE)</f>
        <v>16000</v>
      </c>
      <c r="L2893" s="310">
        <f>J2893*K2893</f>
        <v>4480</v>
      </c>
    </row>
    <row r="2894" spans="5:13" ht="15" customHeight="1" thickBot="1">
      <c r="F2894" s="316"/>
      <c r="G2894" s="317"/>
      <c r="H2894" s="318"/>
      <c r="I2894" s="318"/>
      <c r="J2894" s="319" t="s">
        <v>189</v>
      </c>
      <c r="K2894" s="320"/>
      <c r="L2894" s="321">
        <f>SUM(L2890:L2893)</f>
        <v>289911.7</v>
      </c>
    </row>
    <row r="2895" spans="5:13" ht="15" customHeight="1" thickBot="1">
      <c r="F2895" s="300" t="s">
        <v>190</v>
      </c>
      <c r="G2895" s="301" t="s">
        <v>191</v>
      </c>
      <c r="H2895" s="302"/>
      <c r="I2895" s="302"/>
      <c r="J2895" s="351"/>
      <c r="K2895" s="328">
        <v>0</v>
      </c>
      <c r="L2895" s="310">
        <f>J2895*K2895</f>
        <v>0</v>
      </c>
    </row>
    <row r="2896" spans="5:13" ht="15" customHeight="1" thickBot="1">
      <c r="F2896" s="316"/>
      <c r="G2896" s="317"/>
      <c r="H2896" s="318"/>
      <c r="I2896" s="318"/>
      <c r="J2896" s="319" t="s">
        <v>192</v>
      </c>
      <c r="K2896" s="320"/>
      <c r="L2896" s="321">
        <f>L2895</f>
        <v>0</v>
      </c>
    </row>
    <row r="2897" spans="5:13" ht="15" customHeight="1">
      <c r="F2897" s="344" t="s">
        <v>193</v>
      </c>
      <c r="G2897" s="345" t="s">
        <v>194</v>
      </c>
      <c r="H2897" s="346"/>
      <c r="I2897" s="346"/>
      <c r="J2897" s="347"/>
      <c r="K2897" s="348">
        <v>0</v>
      </c>
      <c r="L2897" s="310">
        <f>SUM(L2884:L2896)/2</f>
        <v>352611.7</v>
      </c>
    </row>
    <row r="2898" spans="5:13" ht="15" customHeight="1" thickBot="1">
      <c r="F2898" s="331" t="s">
        <v>195</v>
      </c>
      <c r="G2898" s="332" t="s">
        <v>196</v>
      </c>
      <c r="H2898" s="333"/>
      <c r="I2898" s="333"/>
      <c r="J2898" s="350">
        <v>0.1</v>
      </c>
      <c r="K2898" s="335"/>
      <c r="L2898" s="330">
        <f>J2898*L2897</f>
        <v>35261.170000000006</v>
      </c>
    </row>
    <row r="2899" spans="5:13" ht="15" customHeight="1" thickBot="1">
      <c r="F2899" s="340" t="s">
        <v>197</v>
      </c>
      <c r="G2899" s="341" t="s">
        <v>198</v>
      </c>
      <c r="H2899" s="318"/>
      <c r="I2899" s="318"/>
      <c r="J2899" s="342"/>
      <c r="K2899" s="320">
        <v>0</v>
      </c>
      <c r="L2899" s="321">
        <f>ROUNDDOWN(L2897+L2898,0)</f>
        <v>387872</v>
      </c>
    </row>
    <row r="2900" spans="5:13" ht="15" customHeight="1">
      <c r="F2900" s="298"/>
      <c r="G2900" s="298"/>
      <c r="J2900" s="343"/>
    </row>
    <row r="2901" spans="5:13" ht="15" customHeight="1" thickBot="1">
      <c r="E2901" s="356" t="s">
        <v>657</v>
      </c>
      <c r="F2901" s="295" t="s">
        <v>658</v>
      </c>
      <c r="J2901" s="343"/>
      <c r="M2901" s="299">
        <f>L2919</f>
        <v>387407</v>
      </c>
    </row>
    <row r="2902" spans="5:13" ht="15" customHeight="1" thickBot="1">
      <c r="F2902" s="340" t="s">
        <v>136</v>
      </c>
      <c r="G2902" s="341" t="s">
        <v>162</v>
      </c>
      <c r="H2902" s="352" t="s">
        <v>163</v>
      </c>
      <c r="I2902" s="352" t="s">
        <v>138</v>
      </c>
      <c r="J2902" s="353" t="s">
        <v>164</v>
      </c>
      <c r="K2902" s="341" t="s">
        <v>165</v>
      </c>
      <c r="L2902" s="354" t="s">
        <v>166</v>
      </c>
    </row>
    <row r="2903" spans="5:13" ht="15" customHeight="1">
      <c r="F2903" s="300" t="s">
        <v>167</v>
      </c>
      <c r="G2903" s="301" t="s">
        <v>168</v>
      </c>
      <c r="H2903" s="302"/>
      <c r="I2903" s="302"/>
      <c r="J2903" s="351"/>
      <c r="K2903" s="328"/>
      <c r="L2903" s="310"/>
    </row>
    <row r="2904" spans="5:13" ht="15" customHeight="1">
      <c r="F2904" s="306"/>
      <c r="G2904" s="301" t="s">
        <v>169</v>
      </c>
      <c r="H2904" s="307" t="s">
        <v>170</v>
      </c>
      <c r="I2904" s="307" t="s">
        <v>171</v>
      </c>
      <c r="J2904" s="308">
        <v>0.32</v>
      </c>
      <c r="K2904" s="309">
        <f>VLOOKUP(G2904,Upah,8,FALSE)</f>
        <v>125000</v>
      </c>
      <c r="L2904" s="310">
        <f>J2904*K2904</f>
        <v>40000</v>
      </c>
    </row>
    <row r="2905" spans="5:13" ht="15" customHeight="1">
      <c r="F2905" s="306"/>
      <c r="G2905" s="301" t="s">
        <v>308</v>
      </c>
      <c r="H2905" s="307" t="s">
        <v>217</v>
      </c>
      <c r="I2905" s="307" t="s">
        <v>171</v>
      </c>
      <c r="J2905" s="308">
        <v>0.12</v>
      </c>
      <c r="K2905" s="309">
        <f>VLOOKUP(G2905,Upah,8,FALSE)</f>
        <v>150000</v>
      </c>
      <c r="L2905" s="310">
        <f>J2905*K2905</f>
        <v>18000</v>
      </c>
    </row>
    <row r="2906" spans="5:13" ht="15" customHeight="1">
      <c r="F2906" s="306"/>
      <c r="G2906" s="301" t="s">
        <v>174</v>
      </c>
      <c r="H2906" s="307" t="s">
        <v>175</v>
      </c>
      <c r="I2906" s="307" t="s">
        <v>171</v>
      </c>
      <c r="J2906" s="308">
        <v>1.2E-2</v>
      </c>
      <c r="K2906" s="309">
        <f>VLOOKUP(G2906,Upah,8,FALSE)</f>
        <v>165000</v>
      </c>
      <c r="L2906" s="310">
        <f>J2906*K2906</f>
        <v>1980</v>
      </c>
    </row>
    <row r="2907" spans="5:13" ht="15" customHeight="1" thickBot="1">
      <c r="F2907" s="306"/>
      <c r="G2907" s="301" t="s">
        <v>176</v>
      </c>
      <c r="H2907" s="307" t="s">
        <v>177</v>
      </c>
      <c r="I2907" s="307" t="s">
        <v>171</v>
      </c>
      <c r="J2907" s="308">
        <v>1.6E-2</v>
      </c>
      <c r="K2907" s="309">
        <f>VLOOKUP(G2907,Upah,8,FALSE)</f>
        <v>170000</v>
      </c>
      <c r="L2907" s="310">
        <f>J2907*K2907</f>
        <v>2720</v>
      </c>
    </row>
    <row r="2908" spans="5:13" ht="15" customHeight="1" thickBot="1">
      <c r="F2908" s="316"/>
      <c r="G2908" s="317"/>
      <c r="H2908" s="318"/>
      <c r="I2908" s="318"/>
      <c r="J2908" s="319" t="s">
        <v>178</v>
      </c>
      <c r="K2908" s="320"/>
      <c r="L2908" s="321">
        <f>SUM(L2904:L2907)</f>
        <v>62700</v>
      </c>
    </row>
    <row r="2909" spans="5:13" ht="15" customHeight="1">
      <c r="F2909" s="300" t="s">
        <v>179</v>
      </c>
      <c r="G2909" s="301" t="s">
        <v>180</v>
      </c>
      <c r="H2909" s="302"/>
      <c r="I2909" s="302"/>
      <c r="J2909" s="351"/>
      <c r="K2909" s="328"/>
      <c r="L2909" s="310"/>
    </row>
    <row r="2910" spans="5:13" ht="15" customHeight="1">
      <c r="F2910" s="306"/>
      <c r="G2910" s="301" t="s">
        <v>656</v>
      </c>
      <c r="H2910" s="302"/>
      <c r="I2910" s="307" t="s">
        <v>36</v>
      </c>
      <c r="J2910" s="308">
        <v>12.5</v>
      </c>
      <c r="K2910" s="328">
        <f>VLOOKUP(G2910,Bahan,6,FALSE)</f>
        <v>8260</v>
      </c>
      <c r="L2910" s="310">
        <f>J2910*K2910</f>
        <v>103250</v>
      </c>
    </row>
    <row r="2911" spans="5:13" ht="15" customHeight="1">
      <c r="F2911" s="306"/>
      <c r="G2911" s="301" t="s">
        <v>183</v>
      </c>
      <c r="H2911" s="302"/>
      <c r="I2911" s="307" t="s">
        <v>45</v>
      </c>
      <c r="J2911" s="308">
        <v>18.2</v>
      </c>
      <c r="K2911" s="328">
        <f>VLOOKUP(G2911,Bahan,6,FALSE)</f>
        <v>1880</v>
      </c>
      <c r="L2911" s="310">
        <f>J2911*K2911</f>
        <v>34216</v>
      </c>
    </row>
    <row r="2912" spans="5:13" ht="15" customHeight="1">
      <c r="F2912" s="306"/>
      <c r="G2912" s="301" t="s">
        <v>296</v>
      </c>
      <c r="H2912" s="302"/>
      <c r="I2912" s="307" t="s">
        <v>44</v>
      </c>
      <c r="J2912" s="308">
        <v>0.58199999999999996</v>
      </c>
      <c r="K2912" s="328">
        <f>VLOOKUP(G2912,Bahan,6,FALSE)</f>
        <v>253510</v>
      </c>
      <c r="L2912" s="310">
        <f>J2912*K2912</f>
        <v>147542.81999999998</v>
      </c>
    </row>
    <row r="2913" spans="5:13" ht="15" customHeight="1" thickBot="1">
      <c r="F2913" s="306"/>
      <c r="G2913" s="301" t="s">
        <v>651</v>
      </c>
      <c r="H2913" s="302"/>
      <c r="I2913" s="307" t="s">
        <v>45</v>
      </c>
      <c r="J2913" s="308">
        <v>0.28000000000000003</v>
      </c>
      <c r="K2913" s="328">
        <f>VLOOKUP(G2913,Bahan,6,FALSE)</f>
        <v>16000</v>
      </c>
      <c r="L2913" s="310">
        <f>J2913*K2913</f>
        <v>4480</v>
      </c>
    </row>
    <row r="2914" spans="5:13" ht="15" customHeight="1" thickBot="1">
      <c r="F2914" s="316"/>
      <c r="G2914" s="317"/>
      <c r="H2914" s="318"/>
      <c r="I2914" s="318"/>
      <c r="J2914" s="319" t="s">
        <v>189</v>
      </c>
      <c r="K2914" s="320"/>
      <c r="L2914" s="321">
        <f>SUM(L2910:L2913)</f>
        <v>289488.81999999995</v>
      </c>
    </row>
    <row r="2915" spans="5:13" ht="15" customHeight="1" thickBot="1">
      <c r="F2915" s="300" t="s">
        <v>190</v>
      </c>
      <c r="G2915" s="301" t="s">
        <v>191</v>
      </c>
      <c r="H2915" s="302"/>
      <c r="I2915" s="302"/>
      <c r="J2915" s="351"/>
      <c r="K2915" s="328">
        <v>0</v>
      </c>
      <c r="L2915" s="310">
        <f>J2915*K2915</f>
        <v>0</v>
      </c>
    </row>
    <row r="2916" spans="5:13" ht="15" customHeight="1" thickBot="1">
      <c r="F2916" s="316"/>
      <c r="G2916" s="317"/>
      <c r="H2916" s="318"/>
      <c r="I2916" s="318"/>
      <c r="J2916" s="319" t="s">
        <v>192</v>
      </c>
      <c r="K2916" s="320"/>
      <c r="L2916" s="321">
        <f>L2915</f>
        <v>0</v>
      </c>
    </row>
    <row r="2917" spans="5:13" ht="15" customHeight="1">
      <c r="F2917" s="344" t="s">
        <v>193</v>
      </c>
      <c r="G2917" s="345" t="s">
        <v>194</v>
      </c>
      <c r="H2917" s="346"/>
      <c r="I2917" s="346"/>
      <c r="J2917" s="347"/>
      <c r="K2917" s="348">
        <v>0</v>
      </c>
      <c r="L2917" s="310">
        <f>SUM(L2904:L2916)/2</f>
        <v>352188.81999999995</v>
      </c>
    </row>
    <row r="2918" spans="5:13" ht="15" customHeight="1" thickBot="1">
      <c r="F2918" s="331" t="s">
        <v>195</v>
      </c>
      <c r="G2918" s="332" t="s">
        <v>196</v>
      </c>
      <c r="H2918" s="333"/>
      <c r="I2918" s="333"/>
      <c r="J2918" s="350">
        <v>0.1</v>
      </c>
      <c r="K2918" s="335"/>
      <c r="L2918" s="330">
        <f>J2918*L2917</f>
        <v>35218.881999999998</v>
      </c>
    </row>
    <row r="2919" spans="5:13" ht="15" customHeight="1" thickBot="1">
      <c r="F2919" s="340" t="s">
        <v>197</v>
      </c>
      <c r="G2919" s="341" t="s">
        <v>198</v>
      </c>
      <c r="H2919" s="318"/>
      <c r="I2919" s="318"/>
      <c r="J2919" s="342"/>
      <c r="K2919" s="320">
        <v>0</v>
      </c>
      <c r="L2919" s="321">
        <f>ROUNDDOWN(L2917+L2918,0)</f>
        <v>387407</v>
      </c>
    </row>
    <row r="2920" spans="5:13" ht="15" customHeight="1">
      <c r="F2920" s="298"/>
      <c r="G2920" s="298"/>
      <c r="J2920" s="343"/>
    </row>
    <row r="2921" spans="5:13" ht="15" customHeight="1" thickBot="1">
      <c r="E2921" s="356" t="s">
        <v>659</v>
      </c>
      <c r="F2921" s="295" t="s">
        <v>660</v>
      </c>
      <c r="J2921" s="343"/>
      <c r="M2921" s="299">
        <f>L2939</f>
        <v>302041</v>
      </c>
    </row>
    <row r="2922" spans="5:13" ht="15" customHeight="1" thickBot="1">
      <c r="F2922" s="340" t="s">
        <v>136</v>
      </c>
      <c r="G2922" s="341" t="s">
        <v>162</v>
      </c>
      <c r="H2922" s="352" t="s">
        <v>163</v>
      </c>
      <c r="I2922" s="352" t="s">
        <v>138</v>
      </c>
      <c r="J2922" s="353" t="s">
        <v>164</v>
      </c>
      <c r="K2922" s="341" t="s">
        <v>165</v>
      </c>
      <c r="L2922" s="354" t="s">
        <v>166</v>
      </c>
    </row>
    <row r="2923" spans="5:13" ht="15" customHeight="1">
      <c r="F2923" s="300" t="s">
        <v>167</v>
      </c>
      <c r="G2923" s="301" t="s">
        <v>168</v>
      </c>
      <c r="H2923" s="302"/>
      <c r="I2923" s="302"/>
      <c r="J2923" s="351"/>
      <c r="K2923" s="328"/>
      <c r="L2923" s="310"/>
    </row>
    <row r="2924" spans="5:13" ht="15" customHeight="1">
      <c r="F2924" s="306"/>
      <c r="G2924" s="301" t="s">
        <v>169</v>
      </c>
      <c r="H2924" s="307" t="s">
        <v>170</v>
      </c>
      <c r="I2924" s="307" t="s">
        <v>171</v>
      </c>
      <c r="J2924" s="308">
        <v>0.3</v>
      </c>
      <c r="K2924" s="309">
        <f>VLOOKUP(G2924,Upah,8,FALSE)</f>
        <v>125000</v>
      </c>
      <c r="L2924" s="310">
        <f>J2924*K2924</f>
        <v>37500</v>
      </c>
    </row>
    <row r="2925" spans="5:13" ht="15" customHeight="1">
      <c r="F2925" s="306"/>
      <c r="G2925" s="301" t="s">
        <v>308</v>
      </c>
      <c r="H2925" s="307" t="s">
        <v>217</v>
      </c>
      <c r="I2925" s="307" t="s">
        <v>171</v>
      </c>
      <c r="J2925" s="308">
        <v>0.1</v>
      </c>
      <c r="K2925" s="309">
        <f>VLOOKUP(G2925,Upah,8,FALSE)</f>
        <v>150000</v>
      </c>
      <c r="L2925" s="310">
        <f>J2925*K2925</f>
        <v>15000</v>
      </c>
    </row>
    <row r="2926" spans="5:13" ht="15" customHeight="1">
      <c r="F2926" s="306"/>
      <c r="G2926" s="301" t="s">
        <v>174</v>
      </c>
      <c r="H2926" s="307" t="s">
        <v>175</v>
      </c>
      <c r="I2926" s="307" t="s">
        <v>171</v>
      </c>
      <c r="J2926" s="308">
        <v>0.01</v>
      </c>
      <c r="K2926" s="309">
        <f>VLOOKUP(G2926,Upah,8,FALSE)</f>
        <v>165000</v>
      </c>
      <c r="L2926" s="310">
        <f>J2926*K2926</f>
        <v>1650</v>
      </c>
    </row>
    <row r="2927" spans="5:13" ht="15" customHeight="1" thickBot="1">
      <c r="F2927" s="306"/>
      <c r="G2927" s="301" t="s">
        <v>176</v>
      </c>
      <c r="H2927" s="307" t="s">
        <v>177</v>
      </c>
      <c r="I2927" s="307" t="s">
        <v>171</v>
      </c>
      <c r="J2927" s="308">
        <v>1.4999999999999999E-2</v>
      </c>
      <c r="K2927" s="309">
        <f>VLOOKUP(G2927,Upah,8,FALSE)</f>
        <v>170000</v>
      </c>
      <c r="L2927" s="310">
        <f>J2927*K2927</f>
        <v>2550</v>
      </c>
    </row>
    <row r="2928" spans="5:13" ht="15" customHeight="1" thickBot="1">
      <c r="F2928" s="316"/>
      <c r="G2928" s="317"/>
      <c r="H2928" s="318"/>
      <c r="I2928" s="318"/>
      <c r="J2928" s="319" t="s">
        <v>178</v>
      </c>
      <c r="K2928" s="320"/>
      <c r="L2928" s="321">
        <f>SUM(L2924:L2927)</f>
        <v>56700</v>
      </c>
    </row>
    <row r="2929" spans="5:13" ht="15" customHeight="1">
      <c r="F2929" s="300" t="s">
        <v>179</v>
      </c>
      <c r="G2929" s="301" t="s">
        <v>180</v>
      </c>
      <c r="H2929" s="302"/>
      <c r="I2929" s="302"/>
      <c r="J2929" s="351"/>
      <c r="K2929" s="328"/>
      <c r="L2929" s="310"/>
    </row>
    <row r="2930" spans="5:13" ht="15" customHeight="1">
      <c r="F2930" s="306"/>
      <c r="G2930" s="301" t="s">
        <v>661</v>
      </c>
      <c r="H2930" s="302"/>
      <c r="I2930" s="307" t="s">
        <v>36</v>
      </c>
      <c r="J2930" s="308">
        <v>12.5</v>
      </c>
      <c r="K2930" s="328">
        <f>VLOOKUP(G2930,Bahan,6,FALSE)</f>
        <v>7410</v>
      </c>
      <c r="L2930" s="310">
        <f>J2930*K2930</f>
        <v>92625</v>
      </c>
    </row>
    <row r="2931" spans="5:13" ht="15" customHeight="1">
      <c r="F2931" s="306"/>
      <c r="G2931" s="301" t="s">
        <v>183</v>
      </c>
      <c r="H2931" s="302"/>
      <c r="I2931" s="307" t="s">
        <v>45</v>
      </c>
      <c r="J2931" s="308">
        <v>15.16</v>
      </c>
      <c r="K2931" s="328">
        <f>VLOOKUP(G2931,Bahan,6,FALSE)</f>
        <v>1880</v>
      </c>
      <c r="L2931" s="310">
        <f>J2931*K2931</f>
        <v>28500.799999999999</v>
      </c>
    </row>
    <row r="2932" spans="5:13" ht="15" customHeight="1">
      <c r="F2932" s="306"/>
      <c r="G2932" s="301" t="s">
        <v>296</v>
      </c>
      <c r="H2932" s="302"/>
      <c r="I2932" s="307" t="s">
        <v>44</v>
      </c>
      <c r="J2932" s="308">
        <v>0.36399999999999999</v>
      </c>
      <c r="K2932" s="328">
        <f>VLOOKUP(G2932,Bahan,6,FALSE)</f>
        <v>253510</v>
      </c>
      <c r="L2932" s="310">
        <f>J2932*K2932</f>
        <v>92277.64</v>
      </c>
    </row>
    <row r="2933" spans="5:13" ht="15" customHeight="1" thickBot="1">
      <c r="F2933" s="306"/>
      <c r="G2933" s="301" t="s">
        <v>651</v>
      </c>
      <c r="H2933" s="302"/>
      <c r="I2933" s="307" t="s">
        <v>45</v>
      </c>
      <c r="J2933" s="308">
        <v>0.28000000000000003</v>
      </c>
      <c r="K2933" s="328">
        <f>VLOOKUP(G2933,Bahan,6,FALSE)</f>
        <v>16000</v>
      </c>
      <c r="L2933" s="310">
        <f>J2933*K2933</f>
        <v>4480</v>
      </c>
    </row>
    <row r="2934" spans="5:13" ht="15" customHeight="1" thickBot="1">
      <c r="F2934" s="316"/>
      <c r="G2934" s="317"/>
      <c r="H2934" s="318"/>
      <c r="I2934" s="318"/>
      <c r="J2934" s="319" t="s">
        <v>189</v>
      </c>
      <c r="K2934" s="320"/>
      <c r="L2934" s="321">
        <f>SUM(L2930:L2933)</f>
        <v>217883.44</v>
      </c>
    </row>
    <row r="2935" spans="5:13" ht="15" customHeight="1" thickBot="1">
      <c r="F2935" s="300" t="s">
        <v>190</v>
      </c>
      <c r="G2935" s="301" t="s">
        <v>191</v>
      </c>
      <c r="H2935" s="302"/>
      <c r="I2935" s="302"/>
      <c r="J2935" s="351"/>
      <c r="K2935" s="328">
        <v>0</v>
      </c>
      <c r="L2935" s="310">
        <f>J2935*K2935</f>
        <v>0</v>
      </c>
    </row>
    <row r="2936" spans="5:13" ht="15" customHeight="1" thickBot="1">
      <c r="F2936" s="316"/>
      <c r="G2936" s="317"/>
      <c r="H2936" s="318"/>
      <c r="I2936" s="318"/>
      <c r="J2936" s="319" t="s">
        <v>192</v>
      </c>
      <c r="K2936" s="320"/>
      <c r="L2936" s="321">
        <f>L2935</f>
        <v>0</v>
      </c>
    </row>
    <row r="2937" spans="5:13" ht="15" customHeight="1">
      <c r="F2937" s="344" t="s">
        <v>193</v>
      </c>
      <c r="G2937" s="345" t="s">
        <v>194</v>
      </c>
      <c r="H2937" s="346"/>
      <c r="I2937" s="346"/>
      <c r="J2937" s="347"/>
      <c r="K2937" s="348">
        <v>0</v>
      </c>
      <c r="L2937" s="310">
        <f>SUM(L2924:L2936)/2</f>
        <v>274583.44</v>
      </c>
    </row>
    <row r="2938" spans="5:13" ht="15" customHeight="1" thickBot="1">
      <c r="F2938" s="331" t="s">
        <v>195</v>
      </c>
      <c r="G2938" s="332" t="s">
        <v>196</v>
      </c>
      <c r="H2938" s="333"/>
      <c r="I2938" s="333"/>
      <c r="J2938" s="350">
        <v>0.1</v>
      </c>
      <c r="K2938" s="335"/>
      <c r="L2938" s="330">
        <f>J2938*L2937</f>
        <v>27458.344000000001</v>
      </c>
    </row>
    <row r="2939" spans="5:13" ht="15" customHeight="1" thickBot="1">
      <c r="F2939" s="340" t="s">
        <v>197</v>
      </c>
      <c r="G2939" s="341" t="s">
        <v>198</v>
      </c>
      <c r="H2939" s="318"/>
      <c r="I2939" s="318"/>
      <c r="J2939" s="342"/>
      <c r="K2939" s="320">
        <v>0</v>
      </c>
      <c r="L2939" s="321">
        <f>ROUNDDOWN(L2937+L2938,0)</f>
        <v>302041</v>
      </c>
    </row>
    <row r="2940" spans="5:13" ht="15" customHeight="1">
      <c r="F2940" s="298"/>
      <c r="G2940" s="298"/>
      <c r="J2940" s="343"/>
    </row>
    <row r="2941" spans="5:13" ht="15" customHeight="1" thickBot="1">
      <c r="E2941" s="356" t="s">
        <v>662</v>
      </c>
      <c r="F2941" s="295" t="s">
        <v>663</v>
      </c>
      <c r="J2941" s="343"/>
      <c r="M2941" s="299">
        <f>L2959</f>
        <v>302468</v>
      </c>
    </row>
    <row r="2942" spans="5:13" ht="15" customHeight="1" thickBot="1">
      <c r="F2942" s="340" t="s">
        <v>136</v>
      </c>
      <c r="G2942" s="341" t="s">
        <v>162</v>
      </c>
      <c r="H2942" s="352" t="s">
        <v>163</v>
      </c>
      <c r="I2942" s="352" t="s">
        <v>138</v>
      </c>
      <c r="J2942" s="353" t="s">
        <v>164</v>
      </c>
      <c r="K2942" s="341" t="s">
        <v>165</v>
      </c>
      <c r="L2942" s="354" t="s">
        <v>166</v>
      </c>
    </row>
    <row r="2943" spans="5:13" ht="15" customHeight="1">
      <c r="F2943" s="300" t="s">
        <v>167</v>
      </c>
      <c r="G2943" s="301" t="s">
        <v>168</v>
      </c>
      <c r="H2943" s="302"/>
      <c r="I2943" s="302"/>
      <c r="J2943" s="351"/>
      <c r="K2943" s="328"/>
      <c r="L2943" s="310"/>
    </row>
    <row r="2944" spans="5:13" ht="15" customHeight="1">
      <c r="F2944" s="306"/>
      <c r="G2944" s="301" t="s">
        <v>169</v>
      </c>
      <c r="H2944" s="307" t="s">
        <v>170</v>
      </c>
      <c r="I2944" s="307" t="s">
        <v>171</v>
      </c>
      <c r="J2944" s="308">
        <v>0.3</v>
      </c>
      <c r="K2944" s="309">
        <f>VLOOKUP(G2944,Upah,8,FALSE)</f>
        <v>125000</v>
      </c>
      <c r="L2944" s="310">
        <f>J2944*K2944</f>
        <v>37500</v>
      </c>
    </row>
    <row r="2945" spans="6:12" ht="15" customHeight="1">
      <c r="F2945" s="306"/>
      <c r="G2945" s="301" t="s">
        <v>308</v>
      </c>
      <c r="H2945" s="307" t="s">
        <v>217</v>
      </c>
      <c r="I2945" s="307" t="s">
        <v>171</v>
      </c>
      <c r="J2945" s="308">
        <v>0.1</v>
      </c>
      <c r="K2945" s="309">
        <f>VLOOKUP(G2945,Upah,8,FALSE)</f>
        <v>150000</v>
      </c>
      <c r="L2945" s="310">
        <f>J2945*K2945</f>
        <v>15000</v>
      </c>
    </row>
    <row r="2946" spans="6:12" ht="15" customHeight="1">
      <c r="F2946" s="306"/>
      <c r="G2946" s="301" t="s">
        <v>174</v>
      </c>
      <c r="H2946" s="307" t="s">
        <v>175</v>
      </c>
      <c r="I2946" s="307" t="s">
        <v>171</v>
      </c>
      <c r="J2946" s="308">
        <v>0.01</v>
      </c>
      <c r="K2946" s="309">
        <f>VLOOKUP(G2946,Upah,8,FALSE)</f>
        <v>165000</v>
      </c>
      <c r="L2946" s="310">
        <f>J2946*K2946</f>
        <v>1650</v>
      </c>
    </row>
    <row r="2947" spans="6:12" ht="15" customHeight="1" thickBot="1">
      <c r="F2947" s="306"/>
      <c r="G2947" s="301" t="s">
        <v>176</v>
      </c>
      <c r="H2947" s="307" t="s">
        <v>177</v>
      </c>
      <c r="I2947" s="307" t="s">
        <v>171</v>
      </c>
      <c r="J2947" s="308">
        <v>1.4999999999999999E-2</v>
      </c>
      <c r="K2947" s="309">
        <f>VLOOKUP(G2947,Upah,8,FALSE)</f>
        <v>170000</v>
      </c>
      <c r="L2947" s="310">
        <f>J2947*K2947</f>
        <v>2550</v>
      </c>
    </row>
    <row r="2948" spans="6:12" ht="15" customHeight="1" thickBot="1">
      <c r="F2948" s="316"/>
      <c r="G2948" s="317"/>
      <c r="H2948" s="318"/>
      <c r="I2948" s="318"/>
      <c r="J2948" s="319" t="s">
        <v>178</v>
      </c>
      <c r="K2948" s="320"/>
      <c r="L2948" s="321">
        <f>SUM(L2944:L2947)</f>
        <v>56700</v>
      </c>
    </row>
    <row r="2949" spans="6:12" ht="15" customHeight="1">
      <c r="F2949" s="300" t="s">
        <v>179</v>
      </c>
      <c r="G2949" s="301" t="s">
        <v>180</v>
      </c>
      <c r="H2949" s="302"/>
      <c r="I2949" s="302"/>
      <c r="J2949" s="351"/>
      <c r="K2949" s="328"/>
      <c r="L2949" s="310"/>
    </row>
    <row r="2950" spans="6:12" ht="15" customHeight="1">
      <c r="F2950" s="306"/>
      <c r="G2950" s="301" t="s">
        <v>661</v>
      </c>
      <c r="H2950" s="302"/>
      <c r="I2950" s="307" t="s">
        <v>36</v>
      </c>
      <c r="J2950" s="308">
        <v>12.5</v>
      </c>
      <c r="K2950" s="328">
        <f>VLOOKUP(G2950,Bahan,6,FALSE)</f>
        <v>7410</v>
      </c>
      <c r="L2950" s="310">
        <f>J2950*K2950</f>
        <v>92625</v>
      </c>
    </row>
    <row r="2951" spans="6:12" ht="15" customHeight="1">
      <c r="F2951" s="306"/>
      <c r="G2951" s="301" t="s">
        <v>183</v>
      </c>
      <c r="H2951" s="302"/>
      <c r="I2951" s="307" t="s">
        <v>45</v>
      </c>
      <c r="J2951" s="308">
        <v>12.13</v>
      </c>
      <c r="K2951" s="328">
        <f>VLOOKUP(G2951,Bahan,6,FALSE)</f>
        <v>1880</v>
      </c>
      <c r="L2951" s="310">
        <f>J2951*K2951</f>
        <v>22804.400000000001</v>
      </c>
    </row>
    <row r="2952" spans="6:12" ht="15" customHeight="1">
      <c r="F2952" s="306"/>
      <c r="G2952" s="301" t="s">
        <v>296</v>
      </c>
      <c r="H2952" s="302"/>
      <c r="I2952" s="307" t="s">
        <v>44</v>
      </c>
      <c r="J2952" s="308">
        <v>0.38800000000000001</v>
      </c>
      <c r="K2952" s="328">
        <f>VLOOKUP(G2952,Bahan,6,FALSE)</f>
        <v>253510</v>
      </c>
      <c r="L2952" s="310">
        <f>J2952*K2952</f>
        <v>98361.88</v>
      </c>
    </row>
    <row r="2953" spans="6:12" ht="15" customHeight="1" thickBot="1">
      <c r="F2953" s="306"/>
      <c r="G2953" s="301" t="s">
        <v>651</v>
      </c>
      <c r="H2953" s="302"/>
      <c r="I2953" s="307" t="s">
        <v>45</v>
      </c>
      <c r="J2953" s="308">
        <v>0.28000000000000003</v>
      </c>
      <c r="K2953" s="328">
        <f>VLOOKUP(G2953,Bahan,6,FALSE)</f>
        <v>16000</v>
      </c>
      <c r="L2953" s="310">
        <f>J2953*K2953</f>
        <v>4480</v>
      </c>
    </row>
    <row r="2954" spans="6:12" ht="15" customHeight="1" thickBot="1">
      <c r="F2954" s="316"/>
      <c r="G2954" s="317"/>
      <c r="H2954" s="318"/>
      <c r="I2954" s="318"/>
      <c r="J2954" s="319" t="s">
        <v>189</v>
      </c>
      <c r="K2954" s="320"/>
      <c r="L2954" s="321">
        <f>SUM(L2950:L2953)</f>
        <v>218271.28</v>
      </c>
    </row>
    <row r="2955" spans="6:12" ht="15" customHeight="1" thickBot="1">
      <c r="F2955" s="300" t="s">
        <v>190</v>
      </c>
      <c r="G2955" s="301" t="s">
        <v>191</v>
      </c>
      <c r="H2955" s="302"/>
      <c r="I2955" s="302"/>
      <c r="J2955" s="351"/>
      <c r="K2955" s="328">
        <v>0</v>
      </c>
      <c r="L2955" s="310">
        <f>J2955*K2955</f>
        <v>0</v>
      </c>
    </row>
    <row r="2956" spans="6:12" ht="15" customHeight="1" thickBot="1">
      <c r="F2956" s="316"/>
      <c r="G2956" s="317"/>
      <c r="H2956" s="318"/>
      <c r="I2956" s="318"/>
      <c r="J2956" s="319" t="s">
        <v>192</v>
      </c>
      <c r="K2956" s="320"/>
      <c r="L2956" s="321">
        <f>L2955</f>
        <v>0</v>
      </c>
    </row>
    <row r="2957" spans="6:12" ht="15" customHeight="1">
      <c r="F2957" s="344" t="s">
        <v>193</v>
      </c>
      <c r="G2957" s="345" t="s">
        <v>194</v>
      </c>
      <c r="H2957" s="346"/>
      <c r="I2957" s="346"/>
      <c r="J2957" s="347"/>
      <c r="K2957" s="348">
        <v>0</v>
      </c>
      <c r="L2957" s="310">
        <f>SUM(L2944:L2956)/2</f>
        <v>274971.28000000003</v>
      </c>
    </row>
    <row r="2958" spans="6:12" ht="15" customHeight="1" thickBot="1">
      <c r="F2958" s="331" t="s">
        <v>195</v>
      </c>
      <c r="G2958" s="332" t="s">
        <v>196</v>
      </c>
      <c r="H2958" s="333"/>
      <c r="I2958" s="333"/>
      <c r="J2958" s="350">
        <v>0.1</v>
      </c>
      <c r="K2958" s="335"/>
      <c r="L2958" s="330">
        <f>J2958*L2957</f>
        <v>27497.128000000004</v>
      </c>
    </row>
    <row r="2959" spans="6:12" ht="15" customHeight="1" thickBot="1">
      <c r="F2959" s="340" t="s">
        <v>197</v>
      </c>
      <c r="G2959" s="341" t="s">
        <v>198</v>
      </c>
      <c r="H2959" s="318"/>
      <c r="I2959" s="318"/>
      <c r="J2959" s="342"/>
      <c r="K2959" s="320">
        <v>0</v>
      </c>
      <c r="L2959" s="321">
        <f>ROUNDDOWN(L2957+L2958,0)</f>
        <v>302468</v>
      </c>
    </row>
    <row r="2960" spans="6:12" ht="15" customHeight="1">
      <c r="F2960" s="298"/>
      <c r="G2960" s="298"/>
      <c r="J2960" s="343"/>
    </row>
    <row r="2961" spans="5:13" ht="15" customHeight="1" thickBot="1">
      <c r="E2961" s="356" t="s">
        <v>664</v>
      </c>
      <c r="F2961" s="295" t="s">
        <v>665</v>
      </c>
      <c r="J2961" s="343"/>
      <c r="M2961" s="299">
        <f>L2978</f>
        <v>123258</v>
      </c>
    </row>
    <row r="2962" spans="5:13" ht="15" customHeight="1" thickBot="1">
      <c r="F2962" s="340" t="s">
        <v>136</v>
      </c>
      <c r="G2962" s="341" t="s">
        <v>162</v>
      </c>
      <c r="H2962" s="352" t="s">
        <v>163</v>
      </c>
      <c r="I2962" s="352" t="s">
        <v>138</v>
      </c>
      <c r="J2962" s="353" t="s">
        <v>164</v>
      </c>
      <c r="K2962" s="341" t="s">
        <v>165</v>
      </c>
      <c r="L2962" s="354" t="s">
        <v>166</v>
      </c>
    </row>
    <row r="2963" spans="5:13" ht="15" customHeight="1">
      <c r="F2963" s="300" t="s">
        <v>167</v>
      </c>
      <c r="G2963" s="301" t="s">
        <v>168</v>
      </c>
      <c r="H2963" s="302"/>
      <c r="I2963" s="302"/>
      <c r="J2963" s="351"/>
      <c r="K2963" s="328"/>
      <c r="L2963" s="310"/>
    </row>
    <row r="2964" spans="5:13" ht="15" customHeight="1">
      <c r="F2964" s="306"/>
      <c r="G2964" s="301" t="s">
        <v>169</v>
      </c>
      <c r="H2964" s="307" t="s">
        <v>170</v>
      </c>
      <c r="I2964" s="307" t="s">
        <v>171</v>
      </c>
      <c r="J2964" s="308">
        <v>0.3</v>
      </c>
      <c r="K2964" s="309">
        <f>VLOOKUP(G2964,Upah,8,FALSE)</f>
        <v>125000</v>
      </c>
      <c r="L2964" s="310">
        <f>J2964*K2964</f>
        <v>37500</v>
      </c>
    </row>
    <row r="2965" spans="5:13" ht="15" customHeight="1">
      <c r="F2965" s="306"/>
      <c r="G2965" s="301" t="s">
        <v>308</v>
      </c>
      <c r="H2965" s="307" t="s">
        <v>217</v>
      </c>
      <c r="I2965" s="307" t="s">
        <v>171</v>
      </c>
      <c r="J2965" s="308">
        <v>0.1</v>
      </c>
      <c r="K2965" s="309">
        <f>VLOOKUP(G2965,Upah,8,FALSE)</f>
        <v>150000</v>
      </c>
      <c r="L2965" s="310">
        <f>J2965*K2965</f>
        <v>15000</v>
      </c>
    </row>
    <row r="2966" spans="5:13" ht="15" customHeight="1">
      <c r="F2966" s="306"/>
      <c r="G2966" s="301" t="s">
        <v>174</v>
      </c>
      <c r="H2966" s="307" t="s">
        <v>175</v>
      </c>
      <c r="I2966" s="307" t="s">
        <v>171</v>
      </c>
      <c r="J2966" s="308">
        <v>0.01</v>
      </c>
      <c r="K2966" s="309">
        <f>VLOOKUP(G2966,Upah,8,FALSE)</f>
        <v>165000</v>
      </c>
      <c r="L2966" s="310">
        <f>J2966*K2966</f>
        <v>1650</v>
      </c>
    </row>
    <row r="2967" spans="5:13" ht="15" customHeight="1" thickBot="1">
      <c r="F2967" s="306"/>
      <c r="G2967" s="301" t="s">
        <v>176</v>
      </c>
      <c r="H2967" s="307" t="s">
        <v>177</v>
      </c>
      <c r="I2967" s="307" t="s">
        <v>171</v>
      </c>
      <c r="J2967" s="308">
        <v>1.4999999999999999E-2</v>
      </c>
      <c r="K2967" s="309">
        <f>VLOOKUP(G2967,Upah,8,FALSE)</f>
        <v>170000</v>
      </c>
      <c r="L2967" s="310">
        <f>J2967*K2967</f>
        <v>2550</v>
      </c>
    </row>
    <row r="2968" spans="5:13" ht="15" customHeight="1" thickBot="1">
      <c r="F2968" s="316"/>
      <c r="G2968" s="317"/>
      <c r="H2968" s="318"/>
      <c r="I2968" s="318"/>
      <c r="J2968" s="319" t="s">
        <v>178</v>
      </c>
      <c r="K2968" s="320"/>
      <c r="L2968" s="321">
        <f>SUM(L2964:L2967)</f>
        <v>56700</v>
      </c>
    </row>
    <row r="2969" spans="5:13" ht="15" customHeight="1">
      <c r="F2969" s="300" t="s">
        <v>179</v>
      </c>
      <c r="G2969" s="301" t="s">
        <v>180</v>
      </c>
      <c r="H2969" s="302"/>
      <c r="I2969" s="302"/>
      <c r="J2969" s="351"/>
      <c r="K2969" s="328"/>
      <c r="L2969" s="310"/>
    </row>
    <row r="2970" spans="5:13" ht="15" customHeight="1">
      <c r="F2970" s="306"/>
      <c r="G2970" s="301" t="s">
        <v>666</v>
      </c>
      <c r="H2970" s="302"/>
      <c r="I2970" s="307" t="s">
        <v>36</v>
      </c>
      <c r="J2970" s="308">
        <v>30</v>
      </c>
      <c r="K2970" s="328">
        <f>VLOOKUP(G2970,Bahan,6,FALSE)</f>
        <v>860</v>
      </c>
      <c r="L2970" s="310">
        <f>J2970*K2970</f>
        <v>25800</v>
      </c>
    </row>
    <row r="2971" spans="5:13" ht="15" customHeight="1">
      <c r="F2971" s="306"/>
      <c r="G2971" s="301" t="s">
        <v>183</v>
      </c>
      <c r="H2971" s="302"/>
      <c r="I2971" s="307" t="s">
        <v>45</v>
      </c>
      <c r="J2971" s="308">
        <v>11</v>
      </c>
      <c r="K2971" s="328">
        <f>VLOOKUP(G2971,Bahan,6,FALSE)</f>
        <v>1880</v>
      </c>
      <c r="L2971" s="310">
        <f>J2971*K2971</f>
        <v>20680</v>
      </c>
    </row>
    <row r="2972" spans="5:13" ht="15" customHeight="1" thickBot="1">
      <c r="F2972" s="306"/>
      <c r="G2972" s="301" t="s">
        <v>296</v>
      </c>
      <c r="H2972" s="302"/>
      <c r="I2972" s="307" t="s">
        <v>44</v>
      </c>
      <c r="J2972" s="308">
        <v>3.5000000000000003E-2</v>
      </c>
      <c r="K2972" s="328">
        <f>VLOOKUP(G2972,Bahan,6,FALSE)</f>
        <v>253510</v>
      </c>
      <c r="L2972" s="310">
        <f>J2972*K2972</f>
        <v>8872.85</v>
      </c>
    </row>
    <row r="2973" spans="5:13" ht="15" customHeight="1" thickBot="1">
      <c r="F2973" s="316"/>
      <c r="G2973" s="317"/>
      <c r="H2973" s="318"/>
      <c r="I2973" s="318"/>
      <c r="J2973" s="319" t="s">
        <v>189</v>
      </c>
      <c r="K2973" s="320"/>
      <c r="L2973" s="321">
        <f>SUM(L2970:L2972)</f>
        <v>55352.85</v>
      </c>
    </row>
    <row r="2974" spans="5:13" ht="15" customHeight="1" thickBot="1">
      <c r="F2974" s="300" t="s">
        <v>190</v>
      </c>
      <c r="G2974" s="301" t="s">
        <v>191</v>
      </c>
      <c r="H2974" s="302"/>
      <c r="I2974" s="302"/>
      <c r="J2974" s="351"/>
      <c r="K2974" s="328">
        <v>0</v>
      </c>
      <c r="L2974" s="310">
        <f>J2974*K2974</f>
        <v>0</v>
      </c>
    </row>
    <row r="2975" spans="5:13" ht="15" customHeight="1" thickBot="1">
      <c r="F2975" s="316"/>
      <c r="G2975" s="317"/>
      <c r="H2975" s="318"/>
      <c r="I2975" s="318"/>
      <c r="J2975" s="319" t="s">
        <v>192</v>
      </c>
      <c r="K2975" s="320"/>
      <c r="L2975" s="321">
        <f>L2974</f>
        <v>0</v>
      </c>
    </row>
    <row r="2976" spans="5:13" ht="15" customHeight="1">
      <c r="F2976" s="344" t="s">
        <v>193</v>
      </c>
      <c r="G2976" s="345" t="s">
        <v>194</v>
      </c>
      <c r="H2976" s="346"/>
      <c r="I2976" s="346"/>
      <c r="J2976" s="347"/>
      <c r="K2976" s="348">
        <v>0</v>
      </c>
      <c r="L2976" s="310">
        <f>SUM(L2964:L2975)/2</f>
        <v>112052.85</v>
      </c>
    </row>
    <row r="2977" spans="5:13" ht="15" customHeight="1" thickBot="1">
      <c r="F2977" s="331" t="s">
        <v>195</v>
      </c>
      <c r="G2977" s="332" t="s">
        <v>196</v>
      </c>
      <c r="H2977" s="333"/>
      <c r="I2977" s="333"/>
      <c r="J2977" s="350">
        <v>0.1</v>
      </c>
      <c r="K2977" s="335"/>
      <c r="L2977" s="330">
        <f>J2977*L2976</f>
        <v>11205.285000000002</v>
      </c>
    </row>
    <row r="2978" spans="5:13" ht="15" customHeight="1" thickBot="1">
      <c r="F2978" s="340" t="s">
        <v>197</v>
      </c>
      <c r="G2978" s="341" t="s">
        <v>198</v>
      </c>
      <c r="H2978" s="318"/>
      <c r="I2978" s="318"/>
      <c r="J2978" s="342"/>
      <c r="K2978" s="320">
        <v>0</v>
      </c>
      <c r="L2978" s="321">
        <f>ROUNDDOWN(L2976+L2977,0)</f>
        <v>123258</v>
      </c>
    </row>
    <row r="2979" spans="5:13" ht="15" customHeight="1">
      <c r="F2979" s="298"/>
      <c r="G2979" s="298"/>
      <c r="J2979" s="343"/>
    </row>
    <row r="2980" spans="5:13" ht="15" customHeight="1" thickBot="1">
      <c r="E2980" s="356" t="s">
        <v>667</v>
      </c>
      <c r="F2980" s="295" t="s">
        <v>668</v>
      </c>
      <c r="J2980" s="343"/>
      <c r="M2980" s="299">
        <f>L2997</f>
        <v>154938</v>
      </c>
    </row>
    <row r="2981" spans="5:13" ht="15" customHeight="1" thickBot="1">
      <c r="F2981" s="340" t="s">
        <v>136</v>
      </c>
      <c r="G2981" s="341" t="s">
        <v>162</v>
      </c>
      <c r="H2981" s="352" t="s">
        <v>163</v>
      </c>
      <c r="I2981" s="352" t="s">
        <v>138</v>
      </c>
      <c r="J2981" s="353" t="s">
        <v>164</v>
      </c>
      <c r="K2981" s="341" t="s">
        <v>165</v>
      </c>
      <c r="L2981" s="354" t="s">
        <v>166</v>
      </c>
    </row>
    <row r="2982" spans="5:13" ht="15" customHeight="1">
      <c r="F2982" s="300" t="s">
        <v>167</v>
      </c>
      <c r="G2982" s="301" t="s">
        <v>168</v>
      </c>
      <c r="H2982" s="302"/>
      <c r="I2982" s="302"/>
      <c r="J2982" s="351"/>
      <c r="K2982" s="328"/>
      <c r="L2982" s="310"/>
    </row>
    <row r="2983" spans="5:13" ht="15" customHeight="1">
      <c r="F2983" s="306"/>
      <c r="G2983" s="301" t="s">
        <v>169</v>
      </c>
      <c r="H2983" s="307" t="s">
        <v>170</v>
      </c>
      <c r="I2983" s="307" t="s">
        <v>171</v>
      </c>
      <c r="J2983" s="308">
        <v>0.3</v>
      </c>
      <c r="K2983" s="309">
        <f>VLOOKUP(G2983,Upah,8,FALSE)</f>
        <v>125000</v>
      </c>
      <c r="L2983" s="310">
        <f>J2983*K2983</f>
        <v>37500</v>
      </c>
    </row>
    <row r="2984" spans="5:13" ht="15" customHeight="1">
      <c r="F2984" s="306"/>
      <c r="G2984" s="301" t="s">
        <v>308</v>
      </c>
      <c r="H2984" s="307" t="s">
        <v>217</v>
      </c>
      <c r="I2984" s="307" t="s">
        <v>171</v>
      </c>
      <c r="J2984" s="308">
        <v>0.1</v>
      </c>
      <c r="K2984" s="309">
        <f>VLOOKUP(G2984,Upah,8,FALSE)</f>
        <v>150000</v>
      </c>
      <c r="L2984" s="310">
        <f>J2984*K2984</f>
        <v>15000</v>
      </c>
    </row>
    <row r="2985" spans="5:13" ht="15" customHeight="1">
      <c r="F2985" s="306"/>
      <c r="G2985" s="301" t="s">
        <v>174</v>
      </c>
      <c r="H2985" s="307" t="s">
        <v>175</v>
      </c>
      <c r="I2985" s="307" t="s">
        <v>171</v>
      </c>
      <c r="J2985" s="308">
        <v>0.01</v>
      </c>
      <c r="K2985" s="309">
        <f>VLOOKUP(G2985,Upah,8,FALSE)</f>
        <v>165000</v>
      </c>
      <c r="L2985" s="310">
        <f>J2985*K2985</f>
        <v>1650</v>
      </c>
    </row>
    <row r="2986" spans="5:13" ht="15" customHeight="1" thickBot="1">
      <c r="F2986" s="306"/>
      <c r="G2986" s="301" t="s">
        <v>176</v>
      </c>
      <c r="H2986" s="307" t="s">
        <v>177</v>
      </c>
      <c r="I2986" s="307" t="s">
        <v>171</v>
      </c>
      <c r="J2986" s="308">
        <v>1.4999999999999999E-2</v>
      </c>
      <c r="K2986" s="309">
        <f>VLOOKUP(G2986,Upah,8,FALSE)</f>
        <v>170000</v>
      </c>
      <c r="L2986" s="310">
        <f>J2986*K2986</f>
        <v>2550</v>
      </c>
    </row>
    <row r="2987" spans="5:13" ht="15" customHeight="1" thickBot="1">
      <c r="F2987" s="316"/>
      <c r="G2987" s="317"/>
      <c r="H2987" s="318"/>
      <c r="I2987" s="318"/>
      <c r="J2987" s="319" t="s">
        <v>178</v>
      </c>
      <c r="K2987" s="320"/>
      <c r="L2987" s="321">
        <f>SUM(L2983:L2986)</f>
        <v>56700</v>
      </c>
    </row>
    <row r="2988" spans="5:13" ht="15" customHeight="1">
      <c r="F2988" s="300" t="s">
        <v>179</v>
      </c>
      <c r="G2988" s="301" t="s">
        <v>180</v>
      </c>
      <c r="H2988" s="302"/>
      <c r="I2988" s="302"/>
      <c r="J2988" s="351"/>
      <c r="K2988" s="328"/>
      <c r="L2988" s="310"/>
    </row>
    <row r="2989" spans="5:13" ht="15" customHeight="1">
      <c r="F2989" s="306"/>
      <c r="G2989" s="301" t="s">
        <v>669</v>
      </c>
      <c r="H2989" s="302"/>
      <c r="I2989" s="307" t="s">
        <v>36</v>
      </c>
      <c r="J2989" s="308">
        <v>30</v>
      </c>
      <c r="K2989" s="328">
        <f>VLOOKUP(G2989,Bahan,6,FALSE)</f>
        <v>1820</v>
      </c>
      <c r="L2989" s="310">
        <f>J2989*K2989</f>
        <v>54600</v>
      </c>
    </row>
    <row r="2990" spans="5:13" ht="15" customHeight="1">
      <c r="F2990" s="306"/>
      <c r="G2990" s="301" t="s">
        <v>183</v>
      </c>
      <c r="H2990" s="302"/>
      <c r="I2990" s="307" t="s">
        <v>45</v>
      </c>
      <c r="J2990" s="308">
        <v>11</v>
      </c>
      <c r="K2990" s="328">
        <f>VLOOKUP(G2990,Bahan,6,FALSE)</f>
        <v>1880</v>
      </c>
      <c r="L2990" s="310">
        <f>J2990*K2990</f>
        <v>20680</v>
      </c>
    </row>
    <row r="2991" spans="5:13" ht="15" customHeight="1" thickBot="1">
      <c r="F2991" s="306"/>
      <c r="G2991" s="301" t="s">
        <v>296</v>
      </c>
      <c r="H2991" s="302"/>
      <c r="I2991" s="307" t="s">
        <v>44</v>
      </c>
      <c r="J2991" s="308">
        <v>3.5000000000000003E-2</v>
      </c>
      <c r="K2991" s="328">
        <f>VLOOKUP(G2991,Bahan,6,FALSE)</f>
        <v>253510</v>
      </c>
      <c r="L2991" s="310">
        <f>J2991*K2991</f>
        <v>8872.85</v>
      </c>
    </row>
    <row r="2992" spans="5:13" ht="15" customHeight="1" thickBot="1">
      <c r="F2992" s="316"/>
      <c r="G2992" s="317"/>
      <c r="H2992" s="318"/>
      <c r="I2992" s="318"/>
      <c r="J2992" s="319" t="s">
        <v>189</v>
      </c>
      <c r="K2992" s="320"/>
      <c r="L2992" s="321">
        <f>SUM(L2989:L2991)</f>
        <v>84152.85</v>
      </c>
    </row>
    <row r="2993" spans="5:13" ht="15" customHeight="1" thickBot="1">
      <c r="F2993" s="300" t="s">
        <v>190</v>
      </c>
      <c r="G2993" s="301" t="s">
        <v>191</v>
      </c>
      <c r="H2993" s="302"/>
      <c r="I2993" s="302"/>
      <c r="J2993" s="351"/>
      <c r="K2993" s="328">
        <v>0</v>
      </c>
      <c r="L2993" s="310">
        <f>J2993*K2993</f>
        <v>0</v>
      </c>
    </row>
    <row r="2994" spans="5:13" ht="15" customHeight="1" thickBot="1">
      <c r="F2994" s="316"/>
      <c r="G2994" s="317"/>
      <c r="H2994" s="318"/>
      <c r="I2994" s="318"/>
      <c r="J2994" s="319" t="s">
        <v>192</v>
      </c>
      <c r="K2994" s="320"/>
      <c r="L2994" s="321">
        <f>L2993</f>
        <v>0</v>
      </c>
    </row>
    <row r="2995" spans="5:13" ht="15" customHeight="1">
      <c r="F2995" s="344" t="s">
        <v>193</v>
      </c>
      <c r="G2995" s="345" t="s">
        <v>194</v>
      </c>
      <c r="H2995" s="346"/>
      <c r="I2995" s="346"/>
      <c r="J2995" s="347"/>
      <c r="K2995" s="348">
        <v>0</v>
      </c>
      <c r="L2995" s="310">
        <f>SUM(L2983:L2994)/2</f>
        <v>140852.85</v>
      </c>
    </row>
    <row r="2996" spans="5:13" ht="15" customHeight="1" thickBot="1">
      <c r="F2996" s="331" t="s">
        <v>195</v>
      </c>
      <c r="G2996" s="332" t="s">
        <v>196</v>
      </c>
      <c r="H2996" s="333"/>
      <c r="I2996" s="333"/>
      <c r="J2996" s="350">
        <v>0.1</v>
      </c>
      <c r="K2996" s="335"/>
      <c r="L2996" s="330">
        <f>J2996*L2995</f>
        <v>14085.285000000002</v>
      </c>
    </row>
    <row r="2997" spans="5:13" ht="15" customHeight="1" thickBot="1">
      <c r="F2997" s="340" t="s">
        <v>197</v>
      </c>
      <c r="G2997" s="341" t="s">
        <v>198</v>
      </c>
      <c r="H2997" s="318"/>
      <c r="I2997" s="318"/>
      <c r="J2997" s="342"/>
      <c r="K2997" s="320">
        <v>0</v>
      </c>
      <c r="L2997" s="321">
        <f>ROUNDDOWN(L2995+L2996,0)</f>
        <v>154938</v>
      </c>
    </row>
    <row r="2998" spans="5:13" ht="15" customHeight="1">
      <c r="F2998" s="298"/>
      <c r="G2998" s="298"/>
      <c r="J2998" s="343"/>
    </row>
    <row r="2999" spans="5:13" ht="15" customHeight="1" thickBot="1">
      <c r="E2999" s="297" t="s">
        <v>670</v>
      </c>
      <c r="F2999" s="295" t="s">
        <v>671</v>
      </c>
      <c r="J2999" s="343"/>
      <c r="M2999" s="299">
        <f>L3016</f>
        <v>175623</v>
      </c>
    </row>
    <row r="3000" spans="5:13" ht="15" customHeight="1" thickBot="1">
      <c r="F3000" s="340" t="s">
        <v>136</v>
      </c>
      <c r="G3000" s="341" t="s">
        <v>162</v>
      </c>
      <c r="H3000" s="352" t="s">
        <v>163</v>
      </c>
      <c r="I3000" s="352" t="s">
        <v>138</v>
      </c>
      <c r="J3000" s="353" t="s">
        <v>164</v>
      </c>
      <c r="K3000" s="341" t="s">
        <v>165</v>
      </c>
      <c r="L3000" s="354" t="s">
        <v>166</v>
      </c>
    </row>
    <row r="3001" spans="5:13" ht="15" customHeight="1">
      <c r="F3001" s="300" t="s">
        <v>167</v>
      </c>
      <c r="G3001" s="301" t="s">
        <v>168</v>
      </c>
      <c r="H3001" s="302"/>
      <c r="I3001" s="302"/>
      <c r="J3001" s="351"/>
      <c r="K3001" s="328"/>
      <c r="L3001" s="310"/>
    </row>
    <row r="3002" spans="5:13" ht="15" customHeight="1">
      <c r="F3002" s="306"/>
      <c r="G3002" s="301" t="s">
        <v>169</v>
      </c>
      <c r="H3002" s="307" t="s">
        <v>170</v>
      </c>
      <c r="I3002" s="307" t="s">
        <v>171</v>
      </c>
      <c r="J3002" s="308">
        <v>0.3</v>
      </c>
      <c r="K3002" s="309">
        <f>VLOOKUP(G3002,Upah,8,FALSE)</f>
        <v>125000</v>
      </c>
      <c r="L3002" s="310">
        <f>J3002*K3002</f>
        <v>37500</v>
      </c>
    </row>
    <row r="3003" spans="5:13" ht="15" customHeight="1">
      <c r="F3003" s="306"/>
      <c r="G3003" s="301" t="s">
        <v>308</v>
      </c>
      <c r="H3003" s="307" t="s">
        <v>217</v>
      </c>
      <c r="I3003" s="307" t="s">
        <v>171</v>
      </c>
      <c r="J3003" s="308">
        <v>0.15</v>
      </c>
      <c r="K3003" s="309">
        <f>VLOOKUP(G3003,Upah,8,FALSE)</f>
        <v>150000</v>
      </c>
      <c r="L3003" s="310">
        <f>J3003*K3003</f>
        <v>22500</v>
      </c>
    </row>
    <row r="3004" spans="5:13" ht="15" customHeight="1">
      <c r="F3004" s="306"/>
      <c r="G3004" s="301" t="s">
        <v>174</v>
      </c>
      <c r="H3004" s="307" t="s">
        <v>175</v>
      </c>
      <c r="I3004" s="307" t="s">
        <v>171</v>
      </c>
      <c r="J3004" s="308">
        <v>1.4999999999999999E-2</v>
      </c>
      <c r="K3004" s="309">
        <f>VLOOKUP(G3004,Upah,8,FALSE)</f>
        <v>165000</v>
      </c>
      <c r="L3004" s="310">
        <f>J3004*K3004</f>
        <v>2475</v>
      </c>
    </row>
    <row r="3005" spans="5:13" ht="15" customHeight="1" thickBot="1">
      <c r="F3005" s="306"/>
      <c r="G3005" s="301" t="s">
        <v>176</v>
      </c>
      <c r="H3005" s="307" t="s">
        <v>177</v>
      </c>
      <c r="I3005" s="307" t="s">
        <v>171</v>
      </c>
      <c r="J3005" s="308">
        <v>1.4999999999999999E-2</v>
      </c>
      <c r="K3005" s="309">
        <f>VLOOKUP(G3005,Upah,8,FALSE)</f>
        <v>170000</v>
      </c>
      <c r="L3005" s="310">
        <f>J3005*K3005</f>
        <v>2550</v>
      </c>
    </row>
    <row r="3006" spans="5:13" ht="15" customHeight="1" thickBot="1">
      <c r="F3006" s="316"/>
      <c r="G3006" s="317"/>
      <c r="H3006" s="318"/>
      <c r="I3006" s="318"/>
      <c r="J3006" s="319" t="s">
        <v>178</v>
      </c>
      <c r="K3006" s="320"/>
      <c r="L3006" s="321">
        <f>SUM(L3002:L3005)</f>
        <v>65025</v>
      </c>
    </row>
    <row r="3007" spans="5:13" ht="15" customHeight="1">
      <c r="F3007" s="300" t="s">
        <v>179</v>
      </c>
      <c r="G3007" s="301" t="s">
        <v>180</v>
      </c>
      <c r="H3007" s="302"/>
      <c r="I3007" s="302"/>
      <c r="J3007" s="351"/>
      <c r="K3007" s="328"/>
      <c r="L3007" s="310"/>
    </row>
    <row r="3008" spans="5:13" ht="15" customHeight="1">
      <c r="F3008" s="306"/>
      <c r="G3008" s="301" t="s">
        <v>666</v>
      </c>
      <c r="H3008" s="302"/>
      <c r="I3008" s="307" t="s">
        <v>36</v>
      </c>
      <c r="J3008" s="308">
        <v>70</v>
      </c>
      <c r="K3008" s="328">
        <f>VLOOKUP(G3008,Bahan,6,FALSE)</f>
        <v>860</v>
      </c>
      <c r="L3008" s="310">
        <f>J3008*K3008</f>
        <v>60200</v>
      </c>
    </row>
    <row r="3009" spans="5:13" ht="15" customHeight="1">
      <c r="F3009" s="306"/>
      <c r="G3009" s="301" t="s">
        <v>183</v>
      </c>
      <c r="H3009" s="302"/>
      <c r="I3009" s="307" t="s">
        <v>45</v>
      </c>
      <c r="J3009" s="308">
        <v>14</v>
      </c>
      <c r="K3009" s="328">
        <f>VLOOKUP(G3009,Bahan,6,FALSE)</f>
        <v>1880</v>
      </c>
      <c r="L3009" s="310">
        <f>J3009*K3009</f>
        <v>26320</v>
      </c>
    </row>
    <row r="3010" spans="5:13" ht="15" customHeight="1" thickBot="1">
      <c r="F3010" s="306"/>
      <c r="G3010" s="301" t="s">
        <v>296</v>
      </c>
      <c r="H3010" s="302"/>
      <c r="I3010" s="307" t="s">
        <v>44</v>
      </c>
      <c r="J3010" s="308">
        <v>3.2000000000000001E-2</v>
      </c>
      <c r="K3010" s="328">
        <f>VLOOKUP(G3010,Bahan,6,FALSE)</f>
        <v>253510</v>
      </c>
      <c r="L3010" s="310">
        <f>J3010*K3010</f>
        <v>8112.3200000000006</v>
      </c>
    </row>
    <row r="3011" spans="5:13" ht="15" customHeight="1" thickBot="1">
      <c r="F3011" s="316"/>
      <c r="G3011" s="317"/>
      <c r="H3011" s="318"/>
      <c r="I3011" s="318"/>
      <c r="J3011" s="319" t="s">
        <v>189</v>
      </c>
      <c r="K3011" s="320"/>
      <c r="L3011" s="321">
        <f>SUM(L3008:L3010)</f>
        <v>94632.320000000007</v>
      </c>
    </row>
    <row r="3012" spans="5:13" ht="15" customHeight="1" thickBot="1">
      <c r="F3012" s="300" t="s">
        <v>190</v>
      </c>
      <c r="G3012" s="301" t="s">
        <v>191</v>
      </c>
      <c r="H3012" s="302"/>
      <c r="I3012" s="302"/>
      <c r="J3012" s="351"/>
      <c r="K3012" s="328">
        <v>0</v>
      </c>
      <c r="L3012" s="310">
        <f>J3012*K3012</f>
        <v>0</v>
      </c>
    </row>
    <row r="3013" spans="5:13" ht="15" customHeight="1" thickBot="1">
      <c r="F3013" s="316"/>
      <c r="G3013" s="317"/>
      <c r="H3013" s="318"/>
      <c r="I3013" s="318"/>
      <c r="J3013" s="319" t="s">
        <v>192</v>
      </c>
      <c r="K3013" s="320"/>
      <c r="L3013" s="321">
        <f>L3012</f>
        <v>0</v>
      </c>
    </row>
    <row r="3014" spans="5:13" ht="15" customHeight="1">
      <c r="F3014" s="344" t="s">
        <v>193</v>
      </c>
      <c r="G3014" s="345" t="s">
        <v>194</v>
      </c>
      <c r="H3014" s="346"/>
      <c r="I3014" s="346"/>
      <c r="J3014" s="347"/>
      <c r="K3014" s="348">
        <v>0</v>
      </c>
      <c r="L3014" s="310">
        <f>SUM(L3002:L3013)/2</f>
        <v>159657.32</v>
      </c>
    </row>
    <row r="3015" spans="5:13" ht="15" customHeight="1" thickBot="1">
      <c r="F3015" s="331" t="s">
        <v>195</v>
      </c>
      <c r="G3015" s="332" t="s">
        <v>196</v>
      </c>
      <c r="H3015" s="333"/>
      <c r="I3015" s="333"/>
      <c r="J3015" s="350">
        <v>0.1</v>
      </c>
      <c r="K3015" s="335"/>
      <c r="L3015" s="330">
        <f>J3015*L3014</f>
        <v>15965.732000000002</v>
      </c>
    </row>
    <row r="3016" spans="5:13" ht="15" customHeight="1" thickBot="1">
      <c r="F3016" s="340" t="s">
        <v>197</v>
      </c>
      <c r="G3016" s="341" t="s">
        <v>198</v>
      </c>
      <c r="H3016" s="318"/>
      <c r="I3016" s="318"/>
      <c r="J3016" s="342"/>
      <c r="K3016" s="320">
        <v>0</v>
      </c>
      <c r="L3016" s="321">
        <f>ROUNDDOWN(L3014+L3015,0)</f>
        <v>175623</v>
      </c>
    </row>
    <row r="3017" spans="5:13" ht="15" customHeight="1">
      <c r="F3017" s="298"/>
      <c r="G3017" s="298"/>
      <c r="J3017" s="343"/>
      <c r="K3017" s="355"/>
      <c r="L3017" s="299"/>
    </row>
    <row r="3018" spans="5:13" ht="15" customHeight="1" thickBot="1">
      <c r="E3018" s="387" t="s">
        <v>672</v>
      </c>
      <c r="F3018" s="295" t="s">
        <v>673</v>
      </c>
      <c r="G3018" s="298"/>
      <c r="J3018" s="343"/>
      <c r="K3018" s="355"/>
      <c r="L3018" s="299"/>
      <c r="M3018" s="299">
        <f>L3035</f>
        <v>118002</v>
      </c>
    </row>
    <row r="3019" spans="5:13" ht="15" customHeight="1" thickBot="1">
      <c r="F3019" s="340" t="s">
        <v>136</v>
      </c>
      <c r="G3019" s="341" t="s">
        <v>162</v>
      </c>
      <c r="H3019" s="352" t="s">
        <v>163</v>
      </c>
      <c r="I3019" s="352" t="s">
        <v>138</v>
      </c>
      <c r="J3019" s="353" t="s">
        <v>164</v>
      </c>
      <c r="K3019" s="341" t="s">
        <v>165</v>
      </c>
      <c r="L3019" s="354" t="s">
        <v>166</v>
      </c>
    </row>
    <row r="3020" spans="5:13" ht="15" customHeight="1">
      <c r="F3020" s="300" t="s">
        <v>167</v>
      </c>
      <c r="G3020" s="301" t="s">
        <v>168</v>
      </c>
      <c r="H3020" s="302"/>
      <c r="I3020" s="302"/>
      <c r="J3020" s="351"/>
      <c r="K3020" s="328"/>
      <c r="L3020" s="310"/>
    </row>
    <row r="3021" spans="5:13" ht="15" customHeight="1">
      <c r="F3021" s="306"/>
      <c r="G3021" s="301" t="s">
        <v>169</v>
      </c>
      <c r="H3021" s="307" t="s">
        <v>170</v>
      </c>
      <c r="I3021" s="307" t="s">
        <v>171</v>
      </c>
      <c r="J3021" s="416">
        <v>0.35</v>
      </c>
      <c r="K3021" s="309">
        <f>VLOOKUP(G3021,Upah,8,FALSE)</f>
        <v>125000</v>
      </c>
      <c r="L3021" s="310">
        <f>J3021*K3021</f>
        <v>43750</v>
      </c>
    </row>
    <row r="3022" spans="5:13" ht="15" customHeight="1">
      <c r="F3022" s="306"/>
      <c r="G3022" s="301" t="s">
        <v>308</v>
      </c>
      <c r="H3022" s="307" t="s">
        <v>217</v>
      </c>
      <c r="I3022" s="307" t="s">
        <v>171</v>
      </c>
      <c r="J3022" s="416">
        <v>0.13</v>
      </c>
      <c r="K3022" s="309">
        <f>VLOOKUP(G3022,Upah,8,FALSE)</f>
        <v>150000</v>
      </c>
      <c r="L3022" s="310">
        <f>J3022*K3022</f>
        <v>19500</v>
      </c>
    </row>
    <row r="3023" spans="5:13" ht="15" customHeight="1">
      <c r="F3023" s="306"/>
      <c r="G3023" s="301" t="s">
        <v>174</v>
      </c>
      <c r="H3023" s="307" t="s">
        <v>175</v>
      </c>
      <c r="I3023" s="307" t="s">
        <v>171</v>
      </c>
      <c r="J3023" s="416">
        <v>1.2999999999999999E-2</v>
      </c>
      <c r="K3023" s="309">
        <f>VLOOKUP(G3023,Upah,8,FALSE)</f>
        <v>165000</v>
      </c>
      <c r="L3023" s="310">
        <f>J3023*K3023</f>
        <v>2145</v>
      </c>
    </row>
    <row r="3024" spans="5:13" ht="15" customHeight="1" thickBot="1">
      <c r="F3024" s="311"/>
      <c r="G3024" s="312" t="s">
        <v>176</v>
      </c>
      <c r="H3024" s="313" t="s">
        <v>177</v>
      </c>
      <c r="I3024" s="313" t="s">
        <v>171</v>
      </c>
      <c r="J3024" s="417">
        <v>3.0000000000000001E-3</v>
      </c>
      <c r="K3024" s="309">
        <f>VLOOKUP(G3024,Upah,8,FALSE)</f>
        <v>170000</v>
      </c>
      <c r="L3024" s="330">
        <f>J3024*K3024</f>
        <v>510</v>
      </c>
    </row>
    <row r="3025" spans="5:13" ht="15" customHeight="1" thickBot="1">
      <c r="F3025" s="316"/>
      <c r="G3025" s="317"/>
      <c r="H3025" s="318"/>
      <c r="I3025" s="318"/>
      <c r="J3025" s="319" t="s">
        <v>178</v>
      </c>
      <c r="K3025" s="320"/>
      <c r="L3025" s="321">
        <f>SUM(L3021:L3024)</f>
        <v>65905</v>
      </c>
    </row>
    <row r="3026" spans="5:13" ht="15" customHeight="1">
      <c r="F3026" s="344" t="s">
        <v>179</v>
      </c>
      <c r="G3026" s="345" t="s">
        <v>180</v>
      </c>
      <c r="H3026" s="346"/>
      <c r="I3026" s="346"/>
      <c r="J3026" s="347"/>
      <c r="K3026" s="348"/>
      <c r="L3026" s="349"/>
    </row>
    <row r="3027" spans="5:13" ht="15" customHeight="1">
      <c r="F3027" s="306"/>
      <c r="G3027" s="404" t="s">
        <v>674</v>
      </c>
      <c r="H3027" s="302"/>
      <c r="I3027" s="307" t="s">
        <v>44</v>
      </c>
      <c r="J3027" s="371">
        <v>7.4999999999999997E-2</v>
      </c>
      <c r="K3027" s="328">
        <f>VLOOKUP(G3027,Bahan,6,FALSE)</f>
        <v>9000</v>
      </c>
      <c r="L3027" s="310">
        <f>J3027*K3027</f>
        <v>675</v>
      </c>
    </row>
    <row r="3028" spans="5:13" ht="15" customHeight="1" thickBot="1">
      <c r="F3028" s="362"/>
      <c r="G3028" s="409" t="s">
        <v>675</v>
      </c>
      <c r="H3028" s="364"/>
      <c r="I3028" s="365" t="s">
        <v>45</v>
      </c>
      <c r="J3028" s="418">
        <f>0.063*40*1.1</f>
        <v>2.7720000000000002</v>
      </c>
      <c r="K3028" s="328">
        <f>VLOOKUP(G3028,Bahan,6,FALSE)</f>
        <v>13970</v>
      </c>
      <c r="L3028" s="367">
        <f>J3028*K3028</f>
        <v>38724.840000000004</v>
      </c>
    </row>
    <row r="3029" spans="5:13" ht="15" customHeight="1" thickBot="1">
      <c r="F3029" s="410"/>
      <c r="G3029" s="411"/>
      <c r="H3029" s="382"/>
      <c r="I3029" s="382"/>
      <c r="J3029" s="412" t="s">
        <v>189</v>
      </c>
      <c r="K3029" s="384"/>
      <c r="L3029" s="385">
        <f>SUM(L3027:L3028)</f>
        <v>39399.840000000004</v>
      </c>
    </row>
    <row r="3030" spans="5:13" ht="15" customHeight="1">
      <c r="F3030" s="300" t="s">
        <v>190</v>
      </c>
      <c r="G3030" s="301" t="s">
        <v>191</v>
      </c>
      <c r="H3030" s="302"/>
      <c r="I3030" s="302"/>
      <c r="J3030" s="351"/>
      <c r="K3030" s="328"/>
      <c r="L3030" s="310"/>
    </row>
    <row r="3031" spans="5:13" ht="15" customHeight="1" thickBot="1">
      <c r="F3031" s="331"/>
      <c r="G3031" s="332" t="s">
        <v>676</v>
      </c>
      <c r="H3031" s="333"/>
      <c r="I3031" s="333" t="s">
        <v>597</v>
      </c>
      <c r="J3031" s="334">
        <v>0.1</v>
      </c>
      <c r="K3031" s="328">
        <f>L3029</f>
        <v>39399.840000000004</v>
      </c>
      <c r="L3031" s="336">
        <f>J3031*K3031</f>
        <v>3939.9840000000004</v>
      </c>
    </row>
    <row r="3032" spans="5:13" ht="15" customHeight="1" thickBot="1">
      <c r="F3032" s="316"/>
      <c r="G3032" s="317"/>
      <c r="H3032" s="318"/>
      <c r="I3032" s="318"/>
      <c r="J3032" s="319" t="s">
        <v>192</v>
      </c>
      <c r="K3032" s="320"/>
      <c r="L3032" s="321">
        <f>L3030</f>
        <v>0</v>
      </c>
    </row>
    <row r="3033" spans="5:13" ht="15" customHeight="1">
      <c r="F3033" s="344" t="s">
        <v>193</v>
      </c>
      <c r="G3033" s="345" t="s">
        <v>194</v>
      </c>
      <c r="H3033" s="346"/>
      <c r="I3033" s="346"/>
      <c r="J3033" s="347"/>
      <c r="K3033" s="348">
        <v>0</v>
      </c>
      <c r="L3033" s="310">
        <f>SUM(L3021:L3032)/2</f>
        <v>107274.83199999999</v>
      </c>
    </row>
    <row r="3034" spans="5:13" ht="15" customHeight="1" thickBot="1">
      <c r="F3034" s="331" t="s">
        <v>195</v>
      </c>
      <c r="G3034" s="332" t="s">
        <v>196</v>
      </c>
      <c r="H3034" s="333"/>
      <c r="I3034" s="333"/>
      <c r="J3034" s="350">
        <v>0.1</v>
      </c>
      <c r="K3034" s="335"/>
      <c r="L3034" s="330">
        <f>J3034*L3033</f>
        <v>10727.483200000001</v>
      </c>
    </row>
    <row r="3035" spans="5:13" ht="15" customHeight="1" thickBot="1">
      <c r="F3035" s="340" t="s">
        <v>197</v>
      </c>
      <c r="G3035" s="341" t="s">
        <v>198</v>
      </c>
      <c r="H3035" s="318"/>
      <c r="I3035" s="318"/>
      <c r="J3035" s="342"/>
      <c r="K3035" s="320">
        <v>0</v>
      </c>
      <c r="L3035" s="321">
        <f>ROUNDDOWN(L3033+L3034,0)</f>
        <v>118002</v>
      </c>
    </row>
    <row r="3036" spans="5:13" ht="15" customHeight="1">
      <c r="F3036" s="298"/>
      <c r="G3036" s="298"/>
      <c r="J3036" s="343"/>
      <c r="K3036" s="355"/>
      <c r="L3036" s="299"/>
    </row>
    <row r="3037" spans="5:13" ht="15" customHeight="1" thickBot="1">
      <c r="E3037" s="387" t="s">
        <v>677</v>
      </c>
      <c r="F3037" s="298" t="s">
        <v>678</v>
      </c>
      <c r="G3037" s="298"/>
      <c r="J3037" s="343"/>
      <c r="K3037" s="355"/>
      <c r="L3037" s="299"/>
      <c r="M3037" s="299">
        <f>L3054</f>
        <v>144530</v>
      </c>
    </row>
    <row r="3038" spans="5:13" ht="15" customHeight="1" thickBot="1">
      <c r="F3038" s="340" t="s">
        <v>136</v>
      </c>
      <c r="G3038" s="341" t="s">
        <v>162</v>
      </c>
      <c r="H3038" s="352" t="s">
        <v>163</v>
      </c>
      <c r="I3038" s="352" t="s">
        <v>138</v>
      </c>
      <c r="J3038" s="353" t="s">
        <v>164</v>
      </c>
      <c r="K3038" s="341" t="s">
        <v>165</v>
      </c>
      <c r="L3038" s="354" t="s">
        <v>166</v>
      </c>
    </row>
    <row r="3039" spans="5:13" ht="15" customHeight="1">
      <c r="F3039" s="300" t="s">
        <v>167</v>
      </c>
      <c r="G3039" s="301" t="s">
        <v>168</v>
      </c>
      <c r="H3039" s="302"/>
      <c r="I3039" s="302"/>
      <c r="J3039" s="351"/>
      <c r="K3039" s="328"/>
      <c r="L3039" s="310"/>
    </row>
    <row r="3040" spans="5:13" ht="15" customHeight="1">
      <c r="F3040" s="306"/>
      <c r="G3040" s="301" t="s">
        <v>169</v>
      </c>
      <c r="H3040" s="307" t="s">
        <v>170</v>
      </c>
      <c r="I3040" s="307" t="s">
        <v>171</v>
      </c>
      <c r="J3040" s="416">
        <v>0.35</v>
      </c>
      <c r="K3040" s="309">
        <f>VLOOKUP(G3040,Upah,8,FALSE)</f>
        <v>125000</v>
      </c>
      <c r="L3040" s="310">
        <f>J3040*K3040</f>
        <v>43750</v>
      </c>
    </row>
    <row r="3041" spans="6:12" ht="15" customHeight="1">
      <c r="F3041" s="306"/>
      <c r="G3041" s="301" t="s">
        <v>308</v>
      </c>
      <c r="H3041" s="307" t="s">
        <v>217</v>
      </c>
      <c r="I3041" s="307" t="s">
        <v>171</v>
      </c>
      <c r="J3041" s="416">
        <v>0.13</v>
      </c>
      <c r="K3041" s="309">
        <f>VLOOKUP(G3041,Upah,8,FALSE)</f>
        <v>150000</v>
      </c>
      <c r="L3041" s="310">
        <f>J3041*K3041</f>
        <v>19500</v>
      </c>
    </row>
    <row r="3042" spans="6:12" ht="15" customHeight="1">
      <c r="F3042" s="306"/>
      <c r="G3042" s="301" t="s">
        <v>174</v>
      </c>
      <c r="H3042" s="307" t="s">
        <v>175</v>
      </c>
      <c r="I3042" s="307" t="s">
        <v>171</v>
      </c>
      <c r="J3042" s="416">
        <v>1.2999999999999999E-2</v>
      </c>
      <c r="K3042" s="309">
        <f>VLOOKUP(G3042,Upah,8,FALSE)</f>
        <v>165000</v>
      </c>
      <c r="L3042" s="310">
        <f>J3042*K3042</f>
        <v>2145</v>
      </c>
    </row>
    <row r="3043" spans="6:12" ht="15" customHeight="1" thickBot="1">
      <c r="F3043" s="311"/>
      <c r="G3043" s="312" t="s">
        <v>176</v>
      </c>
      <c r="H3043" s="313" t="s">
        <v>177</v>
      </c>
      <c r="I3043" s="313" t="s">
        <v>171</v>
      </c>
      <c r="J3043" s="417">
        <v>3.0000000000000001E-3</v>
      </c>
      <c r="K3043" s="309">
        <f>VLOOKUP(G3043,Upah,8,FALSE)</f>
        <v>170000</v>
      </c>
      <c r="L3043" s="330">
        <f>J3043*K3043</f>
        <v>510</v>
      </c>
    </row>
    <row r="3044" spans="6:12" ht="15" customHeight="1" thickBot="1">
      <c r="F3044" s="316"/>
      <c r="G3044" s="317"/>
      <c r="H3044" s="318"/>
      <c r="I3044" s="318"/>
      <c r="J3044" s="319" t="s">
        <v>178</v>
      </c>
      <c r="K3044" s="320"/>
      <c r="L3044" s="321">
        <f>SUM(L3040:L3043)</f>
        <v>65905</v>
      </c>
    </row>
    <row r="3045" spans="6:12" ht="15" customHeight="1">
      <c r="F3045" s="344" t="s">
        <v>179</v>
      </c>
      <c r="G3045" s="345" t="s">
        <v>180</v>
      </c>
      <c r="H3045" s="346"/>
      <c r="I3045" s="346"/>
      <c r="J3045" s="347"/>
      <c r="K3045" s="348"/>
      <c r="L3045" s="349"/>
    </row>
    <row r="3046" spans="6:12" ht="15" customHeight="1">
      <c r="F3046" s="306"/>
      <c r="G3046" s="404" t="s">
        <v>674</v>
      </c>
      <c r="H3046" s="302"/>
      <c r="I3046" s="307" t="s">
        <v>44</v>
      </c>
      <c r="J3046" s="371">
        <v>0.1</v>
      </c>
      <c r="K3046" s="328">
        <f>VLOOKUP(G3046,Bahan,6,FALSE)</f>
        <v>9000</v>
      </c>
      <c r="L3046" s="310">
        <f>J3046*K3046</f>
        <v>900</v>
      </c>
    </row>
    <row r="3047" spans="6:12" ht="15" customHeight="1" thickBot="1">
      <c r="F3047" s="362"/>
      <c r="G3047" s="409" t="s">
        <v>675</v>
      </c>
      <c r="H3047" s="364"/>
      <c r="I3047" s="365" t="s">
        <v>45</v>
      </c>
      <c r="J3047" s="418">
        <v>4.4000000000000004</v>
      </c>
      <c r="K3047" s="328">
        <f>VLOOKUP(G3047,Bahan,6,FALSE)</f>
        <v>13970</v>
      </c>
      <c r="L3047" s="367">
        <f>J3047*K3047</f>
        <v>61468.000000000007</v>
      </c>
    </row>
    <row r="3048" spans="6:12" ht="15" customHeight="1" thickBot="1">
      <c r="F3048" s="410"/>
      <c r="G3048" s="411"/>
      <c r="H3048" s="382"/>
      <c r="I3048" s="382"/>
      <c r="J3048" s="412" t="s">
        <v>189</v>
      </c>
      <c r="K3048" s="384"/>
      <c r="L3048" s="385">
        <f>SUM(L3046:L3047)</f>
        <v>62368.000000000007</v>
      </c>
    </row>
    <row r="3049" spans="6:12" ht="15" customHeight="1">
      <c r="F3049" s="300" t="s">
        <v>190</v>
      </c>
      <c r="G3049" s="301" t="s">
        <v>191</v>
      </c>
      <c r="H3049" s="302"/>
      <c r="I3049" s="302"/>
      <c r="J3049" s="351"/>
      <c r="K3049" s="328"/>
      <c r="L3049" s="310"/>
    </row>
    <row r="3050" spans="6:12" ht="15" customHeight="1" thickBot="1">
      <c r="F3050" s="331"/>
      <c r="G3050" s="332" t="s">
        <v>676</v>
      </c>
      <c r="H3050" s="333"/>
      <c r="I3050" s="333" t="s">
        <v>597</v>
      </c>
      <c r="J3050" s="334">
        <v>0.1</v>
      </c>
      <c r="K3050" s="328">
        <f>L3048</f>
        <v>62368.000000000007</v>
      </c>
      <c r="L3050" s="336">
        <f>J3050*K3050</f>
        <v>6236.8000000000011</v>
      </c>
    </row>
    <row r="3051" spans="6:12" ht="15" customHeight="1" thickBot="1">
      <c r="F3051" s="316"/>
      <c r="G3051" s="317"/>
      <c r="H3051" s="318"/>
      <c r="I3051" s="318"/>
      <c r="J3051" s="319" t="s">
        <v>192</v>
      </c>
      <c r="K3051" s="320"/>
      <c r="L3051" s="321">
        <f>L3049</f>
        <v>0</v>
      </c>
    </row>
    <row r="3052" spans="6:12" ht="15" customHeight="1">
      <c r="F3052" s="344" t="s">
        <v>193</v>
      </c>
      <c r="G3052" s="345" t="s">
        <v>194</v>
      </c>
      <c r="H3052" s="346"/>
      <c r="I3052" s="346"/>
      <c r="J3052" s="347"/>
      <c r="K3052" s="348">
        <v>0</v>
      </c>
      <c r="L3052" s="310">
        <f>SUM(L3040:L3051)/2</f>
        <v>131391.4</v>
      </c>
    </row>
    <row r="3053" spans="6:12" ht="15" customHeight="1" thickBot="1">
      <c r="F3053" s="331" t="s">
        <v>195</v>
      </c>
      <c r="G3053" s="332" t="s">
        <v>196</v>
      </c>
      <c r="H3053" s="333"/>
      <c r="I3053" s="333"/>
      <c r="J3053" s="350">
        <v>0.1</v>
      </c>
      <c r="K3053" s="335"/>
      <c r="L3053" s="330">
        <f>J3053*L3052</f>
        <v>13139.14</v>
      </c>
    </row>
    <row r="3054" spans="6:12" ht="15" customHeight="1" thickBot="1">
      <c r="F3054" s="340" t="s">
        <v>197</v>
      </c>
      <c r="G3054" s="341" t="s">
        <v>198</v>
      </c>
      <c r="H3054" s="318"/>
      <c r="I3054" s="318"/>
      <c r="J3054" s="342"/>
      <c r="K3054" s="320">
        <v>0</v>
      </c>
      <c r="L3054" s="321">
        <f>ROUNDDOWN(L3052+L3053,0)</f>
        <v>144530</v>
      </c>
    </row>
    <row r="3055" spans="6:12" ht="15" customHeight="1">
      <c r="F3055" s="298"/>
      <c r="G3055" s="298"/>
      <c r="J3055" s="343"/>
      <c r="K3055" s="355"/>
      <c r="L3055" s="299"/>
    </row>
    <row r="3056" spans="6:12" ht="15" customHeight="1">
      <c r="F3056" s="298"/>
      <c r="G3056" s="298"/>
      <c r="J3056" s="343"/>
    </row>
    <row r="3057" spans="4:13" ht="15" customHeight="1">
      <c r="D3057" s="560" t="s">
        <v>679</v>
      </c>
      <c r="E3057" s="358" t="s">
        <v>680</v>
      </c>
      <c r="J3057" s="343"/>
    </row>
    <row r="3058" spans="4:13" ht="15" customHeight="1" thickBot="1">
      <c r="E3058" s="356" t="s">
        <v>681</v>
      </c>
      <c r="F3058" s="295" t="s">
        <v>682</v>
      </c>
      <c r="J3058" s="343"/>
      <c r="M3058" s="299">
        <f>L3074</f>
        <v>108051</v>
      </c>
    </row>
    <row r="3059" spans="4:13" ht="15" customHeight="1" thickBot="1">
      <c r="F3059" s="340" t="s">
        <v>136</v>
      </c>
      <c r="G3059" s="341" t="s">
        <v>162</v>
      </c>
      <c r="H3059" s="352" t="s">
        <v>163</v>
      </c>
      <c r="I3059" s="352" t="s">
        <v>138</v>
      </c>
      <c r="J3059" s="353" t="s">
        <v>164</v>
      </c>
      <c r="K3059" s="341" t="s">
        <v>165</v>
      </c>
      <c r="L3059" s="354" t="s">
        <v>166</v>
      </c>
    </row>
    <row r="3060" spans="4:13" ht="15" customHeight="1">
      <c r="F3060" s="300" t="s">
        <v>167</v>
      </c>
      <c r="G3060" s="301" t="s">
        <v>168</v>
      </c>
      <c r="H3060" s="302"/>
      <c r="I3060" s="302"/>
      <c r="J3060" s="351"/>
      <c r="K3060" s="328"/>
      <c r="L3060" s="310"/>
    </row>
    <row r="3061" spans="4:13" ht="15" customHeight="1">
      <c r="F3061" s="306"/>
      <c r="G3061" s="301" t="s">
        <v>169</v>
      </c>
      <c r="H3061" s="307" t="s">
        <v>170</v>
      </c>
      <c r="I3061" s="307" t="s">
        <v>171</v>
      </c>
      <c r="J3061" s="308">
        <v>0.3</v>
      </c>
      <c r="K3061" s="309">
        <f>VLOOKUP(G3061,Upah,8,FALSE)</f>
        <v>125000</v>
      </c>
      <c r="L3061" s="310">
        <f>J3061*K3061</f>
        <v>37500</v>
      </c>
    </row>
    <row r="3062" spans="4:13" ht="15" customHeight="1">
      <c r="F3062" s="306"/>
      <c r="G3062" s="301" t="s">
        <v>308</v>
      </c>
      <c r="H3062" s="307" t="s">
        <v>217</v>
      </c>
      <c r="I3062" s="307" t="s">
        <v>171</v>
      </c>
      <c r="J3062" s="308">
        <v>0.15</v>
      </c>
      <c r="K3062" s="309">
        <f>VLOOKUP(G3062,Upah,8,FALSE)</f>
        <v>150000</v>
      </c>
      <c r="L3062" s="310">
        <f>J3062*K3062</f>
        <v>22500</v>
      </c>
    </row>
    <row r="3063" spans="4:13" ht="15" customHeight="1">
      <c r="F3063" s="306"/>
      <c r="G3063" s="301" t="s">
        <v>174</v>
      </c>
      <c r="H3063" s="307" t="s">
        <v>175</v>
      </c>
      <c r="I3063" s="307" t="s">
        <v>171</v>
      </c>
      <c r="J3063" s="308">
        <v>1.4999999999999999E-2</v>
      </c>
      <c r="K3063" s="309">
        <f>VLOOKUP(G3063,Upah,8,FALSE)</f>
        <v>165000</v>
      </c>
      <c r="L3063" s="310">
        <f>J3063*K3063</f>
        <v>2475</v>
      </c>
    </row>
    <row r="3064" spans="4:13" ht="15" customHeight="1" thickBot="1">
      <c r="F3064" s="306"/>
      <c r="G3064" s="301" t="s">
        <v>176</v>
      </c>
      <c r="H3064" s="307" t="s">
        <v>177</v>
      </c>
      <c r="I3064" s="307" t="s">
        <v>171</v>
      </c>
      <c r="J3064" s="308">
        <v>1.4999999999999999E-2</v>
      </c>
      <c r="K3064" s="309">
        <f>VLOOKUP(G3064,Upah,8,FALSE)</f>
        <v>170000</v>
      </c>
      <c r="L3064" s="310">
        <f>J3064*K3064</f>
        <v>2550</v>
      </c>
    </row>
    <row r="3065" spans="4:13" ht="15" customHeight="1" thickBot="1">
      <c r="F3065" s="316"/>
      <c r="G3065" s="317"/>
      <c r="H3065" s="318"/>
      <c r="I3065" s="318"/>
      <c r="J3065" s="319" t="s">
        <v>178</v>
      </c>
      <c r="K3065" s="320"/>
      <c r="L3065" s="321">
        <f>SUM(L3061:L3064)</f>
        <v>65025</v>
      </c>
    </row>
    <row r="3066" spans="4:13" ht="15" customHeight="1">
      <c r="F3066" s="300" t="s">
        <v>179</v>
      </c>
      <c r="G3066" s="301" t="s">
        <v>180</v>
      </c>
      <c r="H3066" s="302"/>
      <c r="I3066" s="302"/>
      <c r="J3066" s="351"/>
      <c r="K3066" s="328"/>
      <c r="L3066" s="310"/>
    </row>
    <row r="3067" spans="4:13" ht="15" customHeight="1">
      <c r="F3067" s="306"/>
      <c r="G3067" s="301" t="s">
        <v>183</v>
      </c>
      <c r="H3067" s="302"/>
      <c r="I3067" s="307" t="s">
        <v>45</v>
      </c>
      <c r="J3067" s="308">
        <v>15.504</v>
      </c>
      <c r="K3067" s="328">
        <f>VLOOKUP(G3067,Bahan,6,FALSE)</f>
        <v>1880</v>
      </c>
      <c r="L3067" s="310">
        <f>J3067*K3067</f>
        <v>29147.52</v>
      </c>
    </row>
    <row r="3068" spans="4:13" ht="15" customHeight="1" thickBot="1">
      <c r="F3068" s="306"/>
      <c r="G3068" s="301" t="s">
        <v>296</v>
      </c>
      <c r="H3068" s="302"/>
      <c r="I3068" s="307" t="s">
        <v>44</v>
      </c>
      <c r="J3068" s="308">
        <v>1.6E-2</v>
      </c>
      <c r="K3068" s="328">
        <f>VLOOKUP(G3068,Bahan,6,FALSE)</f>
        <v>253510</v>
      </c>
      <c r="L3068" s="310">
        <f>J3068*K3068</f>
        <v>4056.1600000000003</v>
      </c>
    </row>
    <row r="3069" spans="4:13" ht="15" customHeight="1" thickBot="1">
      <c r="F3069" s="316"/>
      <c r="G3069" s="317"/>
      <c r="H3069" s="318"/>
      <c r="I3069" s="318"/>
      <c r="J3069" s="319" t="s">
        <v>189</v>
      </c>
      <c r="K3069" s="320"/>
      <c r="L3069" s="321">
        <f>SUM(L3067:L3068)</f>
        <v>33203.68</v>
      </c>
    </row>
    <row r="3070" spans="4:13" ht="15" customHeight="1" thickBot="1">
      <c r="F3070" s="300" t="s">
        <v>190</v>
      </c>
      <c r="G3070" s="301" t="s">
        <v>191</v>
      </c>
      <c r="H3070" s="302"/>
      <c r="I3070" s="302"/>
      <c r="J3070" s="351"/>
      <c r="K3070" s="328">
        <v>0</v>
      </c>
      <c r="L3070" s="310">
        <f>J3070*K3070</f>
        <v>0</v>
      </c>
    </row>
    <row r="3071" spans="4:13" ht="15" customHeight="1" thickBot="1">
      <c r="F3071" s="316"/>
      <c r="G3071" s="317"/>
      <c r="H3071" s="318"/>
      <c r="I3071" s="318"/>
      <c r="J3071" s="319" t="s">
        <v>192</v>
      </c>
      <c r="K3071" s="320"/>
      <c r="L3071" s="321">
        <f>L3070</f>
        <v>0</v>
      </c>
    </row>
    <row r="3072" spans="4:13" ht="15" customHeight="1">
      <c r="F3072" s="344" t="s">
        <v>193</v>
      </c>
      <c r="G3072" s="345" t="s">
        <v>194</v>
      </c>
      <c r="H3072" s="346"/>
      <c r="I3072" s="346"/>
      <c r="J3072" s="347"/>
      <c r="K3072" s="348">
        <v>0</v>
      </c>
      <c r="L3072" s="310">
        <f>SUM(L3061:L3071)/2</f>
        <v>98228.68</v>
      </c>
    </row>
    <row r="3073" spans="5:13" ht="15" customHeight="1" thickBot="1">
      <c r="F3073" s="331" t="s">
        <v>195</v>
      </c>
      <c r="G3073" s="332" t="s">
        <v>196</v>
      </c>
      <c r="H3073" s="333"/>
      <c r="I3073" s="333"/>
      <c r="J3073" s="350">
        <v>0.1</v>
      </c>
      <c r="K3073" s="335"/>
      <c r="L3073" s="330">
        <f>J3073*L3072</f>
        <v>9822.8680000000004</v>
      </c>
    </row>
    <row r="3074" spans="5:13" ht="15" customHeight="1" thickBot="1">
      <c r="F3074" s="340" t="s">
        <v>197</v>
      </c>
      <c r="G3074" s="341" t="s">
        <v>198</v>
      </c>
      <c r="H3074" s="318"/>
      <c r="I3074" s="318"/>
      <c r="J3074" s="342"/>
      <c r="K3074" s="320">
        <v>0</v>
      </c>
      <c r="L3074" s="321">
        <f>ROUNDDOWN(L3072+L3073,0)</f>
        <v>108051</v>
      </c>
    </row>
    <row r="3075" spans="5:13" ht="15" customHeight="1">
      <c r="F3075" s="298"/>
      <c r="G3075" s="298"/>
      <c r="J3075" s="343"/>
    </row>
    <row r="3076" spans="5:13" ht="15" customHeight="1" thickBot="1">
      <c r="E3076" s="356" t="s">
        <v>683</v>
      </c>
      <c r="F3076" s="295" t="s">
        <v>684</v>
      </c>
      <c r="J3076" s="343"/>
      <c r="M3076" s="299">
        <f>L3092</f>
        <v>98247</v>
      </c>
    </row>
    <row r="3077" spans="5:13" ht="15" customHeight="1" thickBot="1">
      <c r="F3077" s="340" t="s">
        <v>136</v>
      </c>
      <c r="G3077" s="341" t="s">
        <v>162</v>
      </c>
      <c r="H3077" s="352" t="s">
        <v>163</v>
      </c>
      <c r="I3077" s="352" t="s">
        <v>138</v>
      </c>
      <c r="J3077" s="353" t="s">
        <v>164</v>
      </c>
      <c r="K3077" s="341" t="s">
        <v>165</v>
      </c>
      <c r="L3077" s="354" t="s">
        <v>166</v>
      </c>
    </row>
    <row r="3078" spans="5:13" ht="15" customHeight="1">
      <c r="F3078" s="300" t="s">
        <v>167</v>
      </c>
      <c r="G3078" s="301" t="s">
        <v>168</v>
      </c>
      <c r="H3078" s="302"/>
      <c r="I3078" s="302"/>
      <c r="J3078" s="351"/>
      <c r="K3078" s="328"/>
      <c r="L3078" s="310"/>
    </row>
    <row r="3079" spans="5:13" ht="15" customHeight="1">
      <c r="F3079" s="306"/>
      <c r="G3079" s="301" t="s">
        <v>169</v>
      </c>
      <c r="H3079" s="307" t="s">
        <v>170</v>
      </c>
      <c r="I3079" s="307" t="s">
        <v>171</v>
      </c>
      <c r="J3079" s="308">
        <v>0.3</v>
      </c>
      <c r="K3079" s="309">
        <f>VLOOKUP(G3079,Upah,8,FALSE)</f>
        <v>125000</v>
      </c>
      <c r="L3079" s="310">
        <f>J3079*K3079</f>
        <v>37500</v>
      </c>
    </row>
    <row r="3080" spans="5:13" ht="15" customHeight="1">
      <c r="F3080" s="306"/>
      <c r="G3080" s="301" t="s">
        <v>308</v>
      </c>
      <c r="H3080" s="307" t="s">
        <v>217</v>
      </c>
      <c r="I3080" s="307" t="s">
        <v>171</v>
      </c>
      <c r="J3080" s="308">
        <v>0.15</v>
      </c>
      <c r="K3080" s="309">
        <f>VLOOKUP(G3080,Upah,8,FALSE)</f>
        <v>150000</v>
      </c>
      <c r="L3080" s="310">
        <f>J3080*K3080</f>
        <v>22500</v>
      </c>
    </row>
    <row r="3081" spans="5:13" ht="15" customHeight="1">
      <c r="F3081" s="306"/>
      <c r="G3081" s="301" t="s">
        <v>174</v>
      </c>
      <c r="H3081" s="307" t="s">
        <v>175</v>
      </c>
      <c r="I3081" s="307" t="s">
        <v>171</v>
      </c>
      <c r="J3081" s="308">
        <v>1.4999999999999999E-2</v>
      </c>
      <c r="K3081" s="309">
        <f>VLOOKUP(G3081,Upah,8,FALSE)</f>
        <v>165000</v>
      </c>
      <c r="L3081" s="310">
        <f>J3081*K3081</f>
        <v>2475</v>
      </c>
    </row>
    <row r="3082" spans="5:13" ht="15" customHeight="1" thickBot="1">
      <c r="F3082" s="306"/>
      <c r="G3082" s="301" t="s">
        <v>176</v>
      </c>
      <c r="H3082" s="307" t="s">
        <v>177</v>
      </c>
      <c r="I3082" s="307" t="s">
        <v>171</v>
      </c>
      <c r="J3082" s="308">
        <v>1.4999999999999999E-2</v>
      </c>
      <c r="K3082" s="309">
        <f>VLOOKUP(G3082,Upah,8,FALSE)</f>
        <v>170000</v>
      </c>
      <c r="L3082" s="310">
        <f>J3082*K3082</f>
        <v>2550</v>
      </c>
    </row>
    <row r="3083" spans="5:13" ht="15" customHeight="1" thickBot="1">
      <c r="F3083" s="316"/>
      <c r="G3083" s="317"/>
      <c r="H3083" s="318"/>
      <c r="I3083" s="318"/>
      <c r="J3083" s="319" t="s">
        <v>178</v>
      </c>
      <c r="K3083" s="320"/>
      <c r="L3083" s="321">
        <f>SUM(L3079:L3082)</f>
        <v>65025</v>
      </c>
    </row>
    <row r="3084" spans="5:13" ht="15" customHeight="1">
      <c r="F3084" s="300" t="s">
        <v>179</v>
      </c>
      <c r="G3084" s="301" t="s">
        <v>180</v>
      </c>
      <c r="H3084" s="302"/>
      <c r="I3084" s="302"/>
      <c r="J3084" s="351"/>
      <c r="K3084" s="328"/>
      <c r="L3084" s="310"/>
    </row>
    <row r="3085" spans="5:13" ht="15" customHeight="1">
      <c r="F3085" s="306"/>
      <c r="G3085" s="301" t="s">
        <v>183</v>
      </c>
      <c r="H3085" s="302"/>
      <c r="I3085" s="307" t="s">
        <v>45</v>
      </c>
      <c r="J3085" s="308">
        <v>10.224</v>
      </c>
      <c r="K3085" s="328">
        <f>VLOOKUP(G3085,Bahan,6,FALSE)</f>
        <v>1880</v>
      </c>
      <c r="L3085" s="310">
        <f>J3085*K3085</f>
        <v>19221.12</v>
      </c>
    </row>
    <row r="3086" spans="5:13" ht="15" customHeight="1" thickBot="1">
      <c r="F3086" s="306"/>
      <c r="G3086" s="301" t="s">
        <v>296</v>
      </c>
      <c r="H3086" s="302"/>
      <c r="I3086" s="307" t="s">
        <v>44</v>
      </c>
      <c r="J3086" s="308">
        <v>0.02</v>
      </c>
      <c r="K3086" s="328">
        <f>VLOOKUP(G3086,Bahan,6,FALSE)</f>
        <v>253510</v>
      </c>
      <c r="L3086" s="310">
        <f>J3086*K3086</f>
        <v>5070.2</v>
      </c>
    </row>
    <row r="3087" spans="5:13" ht="15" customHeight="1" thickBot="1">
      <c r="F3087" s="316"/>
      <c r="G3087" s="317"/>
      <c r="H3087" s="318"/>
      <c r="I3087" s="318"/>
      <c r="J3087" s="319" t="s">
        <v>189</v>
      </c>
      <c r="K3087" s="320"/>
      <c r="L3087" s="321">
        <f>SUM(L3085:L3086)</f>
        <v>24291.32</v>
      </c>
    </row>
    <row r="3088" spans="5:13" ht="15" customHeight="1" thickBot="1">
      <c r="F3088" s="300" t="s">
        <v>190</v>
      </c>
      <c r="G3088" s="301" t="s">
        <v>191</v>
      </c>
      <c r="H3088" s="302"/>
      <c r="I3088" s="302"/>
      <c r="J3088" s="351"/>
      <c r="K3088" s="328">
        <v>0</v>
      </c>
      <c r="L3088" s="310">
        <f>J3088*K3088</f>
        <v>0</v>
      </c>
    </row>
    <row r="3089" spans="5:13" ht="15" customHeight="1" thickBot="1">
      <c r="F3089" s="316"/>
      <c r="G3089" s="317"/>
      <c r="H3089" s="318"/>
      <c r="I3089" s="318"/>
      <c r="J3089" s="319" t="s">
        <v>192</v>
      </c>
      <c r="K3089" s="320"/>
      <c r="L3089" s="321">
        <f>L3088</f>
        <v>0</v>
      </c>
    </row>
    <row r="3090" spans="5:13" ht="15" customHeight="1">
      <c r="F3090" s="344" t="s">
        <v>193</v>
      </c>
      <c r="G3090" s="345" t="s">
        <v>194</v>
      </c>
      <c r="H3090" s="346"/>
      <c r="I3090" s="346"/>
      <c r="J3090" s="347"/>
      <c r="K3090" s="348">
        <v>0</v>
      </c>
      <c r="L3090" s="310">
        <f>SUM(L3079:L3089)/2</f>
        <v>89316.32</v>
      </c>
    </row>
    <row r="3091" spans="5:13" ht="15" customHeight="1" thickBot="1">
      <c r="F3091" s="331" t="s">
        <v>195</v>
      </c>
      <c r="G3091" s="332" t="s">
        <v>196</v>
      </c>
      <c r="H3091" s="333"/>
      <c r="I3091" s="333"/>
      <c r="J3091" s="350">
        <v>0.1</v>
      </c>
      <c r="K3091" s="335"/>
      <c r="L3091" s="330">
        <f>J3091*L3090</f>
        <v>8931.6320000000014</v>
      </c>
    </row>
    <row r="3092" spans="5:13" ht="15" customHeight="1" thickBot="1">
      <c r="F3092" s="340" t="s">
        <v>197</v>
      </c>
      <c r="G3092" s="341" t="s">
        <v>198</v>
      </c>
      <c r="H3092" s="318"/>
      <c r="I3092" s="318"/>
      <c r="J3092" s="342"/>
      <c r="K3092" s="320">
        <v>0</v>
      </c>
      <c r="L3092" s="321">
        <f>ROUNDDOWN(L3090+L3091,0)</f>
        <v>98247</v>
      </c>
    </row>
    <row r="3093" spans="5:13" ht="15" customHeight="1">
      <c r="F3093" s="298"/>
      <c r="G3093" s="298"/>
      <c r="J3093" s="343"/>
    </row>
    <row r="3094" spans="5:13" ht="15" customHeight="1" thickBot="1">
      <c r="E3094" s="356" t="s">
        <v>685</v>
      </c>
      <c r="F3094" s="295" t="s">
        <v>686</v>
      </c>
      <c r="J3094" s="343"/>
      <c r="M3094" s="299">
        <f>L3110</f>
        <v>94022</v>
      </c>
    </row>
    <row r="3095" spans="5:13" ht="15" customHeight="1" thickBot="1">
      <c r="F3095" s="340" t="s">
        <v>136</v>
      </c>
      <c r="G3095" s="341" t="s">
        <v>162</v>
      </c>
      <c r="H3095" s="352" t="s">
        <v>163</v>
      </c>
      <c r="I3095" s="352" t="s">
        <v>138</v>
      </c>
      <c r="J3095" s="353" t="s">
        <v>164</v>
      </c>
      <c r="K3095" s="341" t="s">
        <v>165</v>
      </c>
      <c r="L3095" s="354" t="s">
        <v>166</v>
      </c>
    </row>
    <row r="3096" spans="5:13" ht="15" customHeight="1">
      <c r="F3096" s="300" t="s">
        <v>167</v>
      </c>
      <c r="G3096" s="301" t="s">
        <v>168</v>
      </c>
      <c r="H3096" s="302"/>
      <c r="I3096" s="302"/>
      <c r="J3096" s="351"/>
      <c r="K3096" s="328"/>
      <c r="L3096" s="310"/>
    </row>
    <row r="3097" spans="5:13" ht="15" customHeight="1">
      <c r="F3097" s="306"/>
      <c r="G3097" s="301" t="s">
        <v>169</v>
      </c>
      <c r="H3097" s="307" t="s">
        <v>170</v>
      </c>
      <c r="I3097" s="307" t="s">
        <v>171</v>
      </c>
      <c r="J3097" s="308">
        <v>0.3</v>
      </c>
      <c r="K3097" s="309">
        <f>VLOOKUP(G3097,Upah,8,FALSE)</f>
        <v>125000</v>
      </c>
      <c r="L3097" s="310">
        <f>J3097*K3097</f>
        <v>37500</v>
      </c>
    </row>
    <row r="3098" spans="5:13" ht="15" customHeight="1">
      <c r="F3098" s="306"/>
      <c r="G3098" s="301" t="s">
        <v>308</v>
      </c>
      <c r="H3098" s="307" t="s">
        <v>217</v>
      </c>
      <c r="I3098" s="307" t="s">
        <v>171</v>
      </c>
      <c r="J3098" s="308">
        <v>0.15</v>
      </c>
      <c r="K3098" s="309">
        <f>VLOOKUP(G3098,Upah,8,FALSE)</f>
        <v>150000</v>
      </c>
      <c r="L3098" s="310">
        <f>J3098*K3098</f>
        <v>22500</v>
      </c>
    </row>
    <row r="3099" spans="5:13" ht="15" customHeight="1">
      <c r="F3099" s="306"/>
      <c r="G3099" s="301" t="s">
        <v>174</v>
      </c>
      <c r="H3099" s="307" t="s">
        <v>175</v>
      </c>
      <c r="I3099" s="307" t="s">
        <v>171</v>
      </c>
      <c r="J3099" s="308">
        <v>1.4999999999999999E-2</v>
      </c>
      <c r="K3099" s="309">
        <f>VLOOKUP(G3099,Upah,8,FALSE)</f>
        <v>165000</v>
      </c>
      <c r="L3099" s="310">
        <f>J3099*K3099</f>
        <v>2475</v>
      </c>
    </row>
    <row r="3100" spans="5:13" ht="15" customHeight="1" thickBot="1">
      <c r="F3100" s="306"/>
      <c r="G3100" s="301" t="s">
        <v>176</v>
      </c>
      <c r="H3100" s="307" t="s">
        <v>177</v>
      </c>
      <c r="I3100" s="307" t="s">
        <v>171</v>
      </c>
      <c r="J3100" s="308">
        <v>1.4999999999999999E-2</v>
      </c>
      <c r="K3100" s="309">
        <f>VLOOKUP(G3100,Upah,8,FALSE)</f>
        <v>170000</v>
      </c>
      <c r="L3100" s="310">
        <f>J3100*K3100</f>
        <v>2550</v>
      </c>
    </row>
    <row r="3101" spans="5:13" ht="15" customHeight="1" thickBot="1">
      <c r="F3101" s="316"/>
      <c r="G3101" s="317"/>
      <c r="H3101" s="318"/>
      <c r="I3101" s="318"/>
      <c r="J3101" s="319" t="s">
        <v>178</v>
      </c>
      <c r="K3101" s="320"/>
      <c r="L3101" s="321">
        <f>SUM(L3097:L3100)</f>
        <v>65025</v>
      </c>
    </row>
    <row r="3102" spans="5:13" ht="15" customHeight="1">
      <c r="F3102" s="300" t="s">
        <v>179</v>
      </c>
      <c r="G3102" s="301" t="s">
        <v>180</v>
      </c>
      <c r="H3102" s="302"/>
      <c r="I3102" s="302"/>
      <c r="J3102" s="351"/>
      <c r="K3102" s="328"/>
      <c r="L3102" s="310"/>
    </row>
    <row r="3103" spans="5:13" ht="15" customHeight="1">
      <c r="F3103" s="306"/>
      <c r="G3103" s="301" t="s">
        <v>183</v>
      </c>
      <c r="H3103" s="302"/>
      <c r="I3103" s="307" t="s">
        <v>45</v>
      </c>
      <c r="J3103" s="308">
        <v>7.7759999999999998</v>
      </c>
      <c r="K3103" s="328">
        <f>VLOOKUP(G3103,Bahan,6,FALSE)</f>
        <v>1880</v>
      </c>
      <c r="L3103" s="310">
        <f>J3103*K3103</f>
        <v>14618.88</v>
      </c>
    </row>
    <row r="3104" spans="5:13" ht="15" customHeight="1" thickBot="1">
      <c r="F3104" s="306"/>
      <c r="G3104" s="301" t="s">
        <v>296</v>
      </c>
      <c r="H3104" s="302"/>
      <c r="I3104" s="307" t="s">
        <v>44</v>
      </c>
      <c r="J3104" s="308">
        <v>2.3E-2</v>
      </c>
      <c r="K3104" s="328">
        <f>VLOOKUP(G3104,Bahan,6,FALSE)</f>
        <v>253510</v>
      </c>
      <c r="L3104" s="310">
        <f>J3104*K3104</f>
        <v>5830.73</v>
      </c>
    </row>
    <row r="3105" spans="5:13" ht="15" customHeight="1" thickBot="1">
      <c r="F3105" s="316"/>
      <c r="G3105" s="317"/>
      <c r="H3105" s="318"/>
      <c r="I3105" s="318"/>
      <c r="J3105" s="319" t="s">
        <v>189</v>
      </c>
      <c r="K3105" s="320"/>
      <c r="L3105" s="321">
        <f>SUM(L3103:L3104)</f>
        <v>20449.61</v>
      </c>
    </row>
    <row r="3106" spans="5:13" ht="15" customHeight="1" thickBot="1">
      <c r="F3106" s="300" t="s">
        <v>190</v>
      </c>
      <c r="G3106" s="301" t="s">
        <v>191</v>
      </c>
      <c r="H3106" s="302"/>
      <c r="I3106" s="302"/>
      <c r="J3106" s="351"/>
      <c r="K3106" s="328">
        <v>0</v>
      </c>
      <c r="L3106" s="310">
        <f>J3106*K3106</f>
        <v>0</v>
      </c>
    </row>
    <row r="3107" spans="5:13" ht="15" customHeight="1" thickBot="1">
      <c r="F3107" s="316"/>
      <c r="G3107" s="317"/>
      <c r="H3107" s="318"/>
      <c r="I3107" s="318"/>
      <c r="J3107" s="319" t="s">
        <v>192</v>
      </c>
      <c r="K3107" s="320"/>
      <c r="L3107" s="321">
        <f>L3106</f>
        <v>0</v>
      </c>
    </row>
    <row r="3108" spans="5:13" ht="15" customHeight="1">
      <c r="F3108" s="344" t="s">
        <v>193</v>
      </c>
      <c r="G3108" s="345" t="s">
        <v>194</v>
      </c>
      <c r="H3108" s="346"/>
      <c r="I3108" s="346"/>
      <c r="J3108" s="347"/>
      <c r="K3108" s="348">
        <v>0</v>
      </c>
      <c r="L3108" s="310">
        <f>SUM(L3097:L3107)/2</f>
        <v>85474.610000000015</v>
      </c>
    </row>
    <row r="3109" spans="5:13" ht="15" customHeight="1" thickBot="1">
      <c r="F3109" s="331" t="s">
        <v>195</v>
      </c>
      <c r="G3109" s="332" t="s">
        <v>196</v>
      </c>
      <c r="H3109" s="333"/>
      <c r="I3109" s="333"/>
      <c r="J3109" s="350">
        <v>0.1</v>
      </c>
      <c r="K3109" s="335"/>
      <c r="L3109" s="330">
        <f>J3109*L3108</f>
        <v>8547.4610000000011</v>
      </c>
    </row>
    <row r="3110" spans="5:13" ht="15" customHeight="1" thickBot="1">
      <c r="F3110" s="340" t="s">
        <v>197</v>
      </c>
      <c r="G3110" s="341" t="s">
        <v>198</v>
      </c>
      <c r="H3110" s="318"/>
      <c r="I3110" s="318"/>
      <c r="J3110" s="342"/>
      <c r="K3110" s="320">
        <v>0</v>
      </c>
      <c r="L3110" s="321">
        <f>ROUNDDOWN(L3108+L3109,0)</f>
        <v>94022</v>
      </c>
    </row>
    <row r="3111" spans="5:13" ht="15" customHeight="1">
      <c r="F3111" s="298"/>
      <c r="G3111" s="298"/>
      <c r="J3111" s="343"/>
    </row>
    <row r="3112" spans="5:13" ht="15" customHeight="1" thickBot="1">
      <c r="E3112" s="356" t="s">
        <v>687</v>
      </c>
      <c r="F3112" s="295" t="s">
        <v>688</v>
      </c>
      <c r="J3112" s="343"/>
      <c r="M3112" s="299">
        <f>L3128</f>
        <v>91124</v>
      </c>
    </row>
    <row r="3113" spans="5:13" ht="15" customHeight="1" thickBot="1">
      <c r="F3113" s="340" t="s">
        <v>136</v>
      </c>
      <c r="G3113" s="341" t="s">
        <v>162</v>
      </c>
      <c r="H3113" s="352" t="s">
        <v>163</v>
      </c>
      <c r="I3113" s="352" t="s">
        <v>138</v>
      </c>
      <c r="J3113" s="353" t="s">
        <v>164</v>
      </c>
      <c r="K3113" s="341" t="s">
        <v>165</v>
      </c>
      <c r="L3113" s="354" t="s">
        <v>166</v>
      </c>
    </row>
    <row r="3114" spans="5:13" ht="15" customHeight="1">
      <c r="F3114" s="300" t="s">
        <v>167</v>
      </c>
      <c r="G3114" s="301" t="s">
        <v>168</v>
      </c>
      <c r="H3114" s="302"/>
      <c r="I3114" s="302"/>
      <c r="J3114" s="351"/>
      <c r="K3114" s="328"/>
      <c r="L3114" s="310"/>
    </row>
    <row r="3115" spans="5:13" ht="15" customHeight="1">
      <c r="F3115" s="306"/>
      <c r="G3115" s="301" t="s">
        <v>169</v>
      </c>
      <c r="H3115" s="307" t="s">
        <v>170</v>
      </c>
      <c r="I3115" s="307" t="s">
        <v>171</v>
      </c>
      <c r="J3115" s="308">
        <v>0.3</v>
      </c>
      <c r="K3115" s="309">
        <f>VLOOKUP(G3115,Upah,8,FALSE)</f>
        <v>125000</v>
      </c>
      <c r="L3115" s="310">
        <f>J3115*K3115</f>
        <v>37500</v>
      </c>
    </row>
    <row r="3116" spans="5:13" ht="15" customHeight="1">
      <c r="F3116" s="306"/>
      <c r="G3116" s="301" t="s">
        <v>308</v>
      </c>
      <c r="H3116" s="307" t="s">
        <v>217</v>
      </c>
      <c r="I3116" s="307" t="s">
        <v>171</v>
      </c>
      <c r="J3116" s="308">
        <v>0.15</v>
      </c>
      <c r="K3116" s="309">
        <f>VLOOKUP(G3116,Upah,8,FALSE)</f>
        <v>150000</v>
      </c>
      <c r="L3116" s="310">
        <f>J3116*K3116</f>
        <v>22500</v>
      </c>
    </row>
    <row r="3117" spans="5:13" ht="15" customHeight="1">
      <c r="F3117" s="306"/>
      <c r="G3117" s="301" t="s">
        <v>174</v>
      </c>
      <c r="H3117" s="307" t="s">
        <v>175</v>
      </c>
      <c r="I3117" s="307" t="s">
        <v>171</v>
      </c>
      <c r="J3117" s="308">
        <v>1.4999999999999999E-2</v>
      </c>
      <c r="K3117" s="309">
        <f>VLOOKUP(G3117,Upah,8,FALSE)</f>
        <v>165000</v>
      </c>
      <c r="L3117" s="310">
        <f>J3117*K3117</f>
        <v>2475</v>
      </c>
    </row>
    <row r="3118" spans="5:13" ht="15" customHeight="1" thickBot="1">
      <c r="F3118" s="306"/>
      <c r="G3118" s="301" t="s">
        <v>176</v>
      </c>
      <c r="H3118" s="307" t="s">
        <v>177</v>
      </c>
      <c r="I3118" s="307" t="s">
        <v>171</v>
      </c>
      <c r="J3118" s="308">
        <v>1.4999999999999999E-2</v>
      </c>
      <c r="K3118" s="309">
        <f>VLOOKUP(G3118,Upah,8,FALSE)</f>
        <v>170000</v>
      </c>
      <c r="L3118" s="310">
        <f>J3118*K3118</f>
        <v>2550</v>
      </c>
    </row>
    <row r="3119" spans="5:13" ht="15" customHeight="1" thickBot="1">
      <c r="F3119" s="316"/>
      <c r="G3119" s="317"/>
      <c r="H3119" s="318"/>
      <c r="I3119" s="318"/>
      <c r="J3119" s="319" t="s">
        <v>178</v>
      </c>
      <c r="K3119" s="320"/>
      <c r="L3119" s="321">
        <f>SUM(L3115:L3118)</f>
        <v>65025</v>
      </c>
    </row>
    <row r="3120" spans="5:13" ht="15" customHeight="1">
      <c r="F3120" s="300" t="s">
        <v>179</v>
      </c>
      <c r="G3120" s="301" t="s">
        <v>180</v>
      </c>
      <c r="H3120" s="302"/>
      <c r="I3120" s="302"/>
      <c r="J3120" s="351"/>
      <c r="K3120" s="328"/>
      <c r="L3120" s="310"/>
    </row>
    <row r="3121" spans="5:13" ht="15" customHeight="1">
      <c r="F3121" s="306"/>
      <c r="G3121" s="301" t="s">
        <v>183</v>
      </c>
      <c r="H3121" s="302"/>
      <c r="I3121" s="307" t="s">
        <v>45</v>
      </c>
      <c r="J3121" s="308">
        <v>6.24</v>
      </c>
      <c r="K3121" s="328">
        <f>VLOOKUP(G3121,Bahan,6,FALSE)</f>
        <v>1880</v>
      </c>
      <c r="L3121" s="310">
        <f>J3121*K3121</f>
        <v>11731.2</v>
      </c>
    </row>
    <row r="3122" spans="5:13" ht="15" customHeight="1" thickBot="1">
      <c r="F3122" s="306"/>
      <c r="G3122" s="301" t="s">
        <v>296</v>
      </c>
      <c r="H3122" s="302"/>
      <c r="I3122" s="307" t="s">
        <v>44</v>
      </c>
      <c r="J3122" s="308">
        <v>2.4E-2</v>
      </c>
      <c r="K3122" s="328">
        <f>VLOOKUP(G3122,Bahan,6,FALSE)</f>
        <v>253510</v>
      </c>
      <c r="L3122" s="310">
        <f>J3122*K3122</f>
        <v>6084.24</v>
      </c>
    </row>
    <row r="3123" spans="5:13" ht="15" customHeight="1" thickBot="1">
      <c r="F3123" s="316"/>
      <c r="G3123" s="317"/>
      <c r="H3123" s="318"/>
      <c r="I3123" s="318"/>
      <c r="J3123" s="319" t="s">
        <v>189</v>
      </c>
      <c r="K3123" s="320"/>
      <c r="L3123" s="321">
        <f>SUM(L3121:L3122)</f>
        <v>17815.440000000002</v>
      </c>
    </row>
    <row r="3124" spans="5:13" ht="15" customHeight="1" thickBot="1">
      <c r="F3124" s="300" t="s">
        <v>190</v>
      </c>
      <c r="G3124" s="301" t="s">
        <v>191</v>
      </c>
      <c r="H3124" s="302"/>
      <c r="I3124" s="302"/>
      <c r="J3124" s="351"/>
      <c r="K3124" s="328">
        <v>0</v>
      </c>
      <c r="L3124" s="310">
        <f>J3124*K3124</f>
        <v>0</v>
      </c>
    </row>
    <row r="3125" spans="5:13" ht="15" customHeight="1" thickBot="1">
      <c r="F3125" s="316"/>
      <c r="G3125" s="317"/>
      <c r="H3125" s="318"/>
      <c r="I3125" s="318"/>
      <c r="J3125" s="319" t="s">
        <v>192</v>
      </c>
      <c r="K3125" s="320"/>
      <c r="L3125" s="321">
        <f>L3124</f>
        <v>0</v>
      </c>
    </row>
    <row r="3126" spans="5:13" ht="15" customHeight="1">
      <c r="F3126" s="344" t="s">
        <v>193</v>
      </c>
      <c r="G3126" s="345" t="s">
        <v>194</v>
      </c>
      <c r="H3126" s="346"/>
      <c r="I3126" s="346"/>
      <c r="J3126" s="347"/>
      <c r="K3126" s="348">
        <v>0</v>
      </c>
      <c r="L3126" s="310">
        <f>SUM(L3115:L3125)/2</f>
        <v>82840.44</v>
      </c>
    </row>
    <row r="3127" spans="5:13" ht="15" customHeight="1" thickBot="1">
      <c r="F3127" s="331" t="s">
        <v>195</v>
      </c>
      <c r="G3127" s="332" t="s">
        <v>196</v>
      </c>
      <c r="H3127" s="333"/>
      <c r="I3127" s="333"/>
      <c r="J3127" s="350">
        <v>0.1</v>
      </c>
      <c r="K3127" s="335"/>
      <c r="L3127" s="330">
        <f>J3127*L3126</f>
        <v>8284.0439999999999</v>
      </c>
    </row>
    <row r="3128" spans="5:13" ht="15" customHeight="1" thickBot="1">
      <c r="F3128" s="340" t="s">
        <v>197</v>
      </c>
      <c r="G3128" s="341" t="s">
        <v>198</v>
      </c>
      <c r="H3128" s="318"/>
      <c r="I3128" s="318"/>
      <c r="J3128" s="342"/>
      <c r="K3128" s="320">
        <v>0</v>
      </c>
      <c r="L3128" s="321">
        <f>ROUNDDOWN(L3126+L3127,0)</f>
        <v>91124</v>
      </c>
    </row>
    <row r="3129" spans="5:13" ht="15" customHeight="1">
      <c r="F3129" s="298"/>
      <c r="G3129" s="298"/>
      <c r="J3129" s="343"/>
    </row>
    <row r="3130" spans="5:13" ht="15" customHeight="1" thickBot="1">
      <c r="E3130" s="356" t="s">
        <v>689</v>
      </c>
      <c r="F3130" s="295" t="s">
        <v>690</v>
      </c>
      <c r="J3130" s="343"/>
      <c r="M3130" s="299">
        <f>L3146</f>
        <v>89498</v>
      </c>
    </row>
    <row r="3131" spans="5:13" ht="15" customHeight="1" thickBot="1">
      <c r="F3131" s="340" t="s">
        <v>136</v>
      </c>
      <c r="G3131" s="341" t="s">
        <v>162</v>
      </c>
      <c r="H3131" s="352" t="s">
        <v>163</v>
      </c>
      <c r="I3131" s="352" t="s">
        <v>138</v>
      </c>
      <c r="J3131" s="353" t="s">
        <v>164</v>
      </c>
      <c r="K3131" s="341" t="s">
        <v>165</v>
      </c>
      <c r="L3131" s="354" t="s">
        <v>166</v>
      </c>
    </row>
    <row r="3132" spans="5:13" ht="15" customHeight="1">
      <c r="F3132" s="300" t="s">
        <v>167</v>
      </c>
      <c r="G3132" s="301" t="s">
        <v>168</v>
      </c>
      <c r="H3132" s="302"/>
      <c r="I3132" s="302"/>
      <c r="J3132" s="351"/>
      <c r="K3132" s="328"/>
      <c r="L3132" s="310"/>
    </row>
    <row r="3133" spans="5:13" ht="15" customHeight="1">
      <c r="F3133" s="306"/>
      <c r="G3133" s="301" t="s">
        <v>169</v>
      </c>
      <c r="H3133" s="307" t="s">
        <v>170</v>
      </c>
      <c r="I3133" s="307" t="s">
        <v>171</v>
      </c>
      <c r="J3133" s="308">
        <v>0.3</v>
      </c>
      <c r="K3133" s="309">
        <f>VLOOKUP(G3133,Upah,8,FALSE)</f>
        <v>125000</v>
      </c>
      <c r="L3133" s="310">
        <f>J3133*K3133</f>
        <v>37500</v>
      </c>
    </row>
    <row r="3134" spans="5:13" ht="15" customHeight="1">
      <c r="F3134" s="306"/>
      <c r="G3134" s="301" t="s">
        <v>308</v>
      </c>
      <c r="H3134" s="307" t="s">
        <v>217</v>
      </c>
      <c r="I3134" s="307" t="s">
        <v>171</v>
      </c>
      <c r="J3134" s="308">
        <v>0.15</v>
      </c>
      <c r="K3134" s="309">
        <f>VLOOKUP(G3134,Upah,8,FALSE)</f>
        <v>150000</v>
      </c>
      <c r="L3134" s="310">
        <f>J3134*K3134</f>
        <v>22500</v>
      </c>
    </row>
    <row r="3135" spans="5:13" ht="15" customHeight="1">
      <c r="F3135" s="306"/>
      <c r="G3135" s="301" t="s">
        <v>174</v>
      </c>
      <c r="H3135" s="307" t="s">
        <v>175</v>
      </c>
      <c r="I3135" s="307" t="s">
        <v>171</v>
      </c>
      <c r="J3135" s="308">
        <v>1.4999999999999999E-2</v>
      </c>
      <c r="K3135" s="309">
        <f>VLOOKUP(G3135,Upah,8,FALSE)</f>
        <v>165000</v>
      </c>
      <c r="L3135" s="310">
        <f>J3135*K3135</f>
        <v>2475</v>
      </c>
    </row>
    <row r="3136" spans="5:13" ht="15" customHeight="1" thickBot="1">
      <c r="F3136" s="306"/>
      <c r="G3136" s="301" t="s">
        <v>176</v>
      </c>
      <c r="H3136" s="307" t="s">
        <v>177</v>
      </c>
      <c r="I3136" s="307" t="s">
        <v>171</v>
      </c>
      <c r="J3136" s="308">
        <v>1.4999999999999999E-2</v>
      </c>
      <c r="K3136" s="309">
        <f>VLOOKUP(G3136,Upah,8,FALSE)</f>
        <v>170000</v>
      </c>
      <c r="L3136" s="310">
        <f>J3136*K3136</f>
        <v>2550</v>
      </c>
    </row>
    <row r="3137" spans="5:13" ht="15" customHeight="1" thickBot="1">
      <c r="F3137" s="316"/>
      <c r="G3137" s="317"/>
      <c r="H3137" s="318"/>
      <c r="I3137" s="318"/>
      <c r="J3137" s="319" t="s">
        <v>178</v>
      </c>
      <c r="K3137" s="320"/>
      <c r="L3137" s="321">
        <f>SUM(L3133:L3136)</f>
        <v>65025</v>
      </c>
    </row>
    <row r="3138" spans="5:13" ht="15" customHeight="1">
      <c r="F3138" s="300" t="s">
        <v>179</v>
      </c>
      <c r="G3138" s="301" t="s">
        <v>180</v>
      </c>
      <c r="H3138" s="302"/>
      <c r="I3138" s="302"/>
      <c r="J3138" s="351"/>
      <c r="K3138" s="328"/>
      <c r="L3138" s="310"/>
    </row>
    <row r="3139" spans="5:13" ht="15" customHeight="1">
      <c r="F3139" s="306"/>
      <c r="G3139" s="301" t="s">
        <v>183</v>
      </c>
      <c r="H3139" s="302"/>
      <c r="I3139" s="307" t="s">
        <v>45</v>
      </c>
      <c r="J3139" s="308">
        <v>5.1840000000000002</v>
      </c>
      <c r="K3139" s="328">
        <f>VLOOKUP(G3139,Bahan,6,FALSE)</f>
        <v>1880</v>
      </c>
      <c r="L3139" s="310">
        <f>J3139*K3139</f>
        <v>9745.92</v>
      </c>
    </row>
    <row r="3140" spans="5:13" ht="15" customHeight="1" thickBot="1">
      <c r="F3140" s="306"/>
      <c r="G3140" s="301" t="s">
        <v>296</v>
      </c>
      <c r="H3140" s="302"/>
      <c r="I3140" s="307" t="s">
        <v>44</v>
      </c>
      <c r="J3140" s="308">
        <v>2.5999999999999999E-2</v>
      </c>
      <c r="K3140" s="328">
        <f>VLOOKUP(G3140,Bahan,6,FALSE)</f>
        <v>253510</v>
      </c>
      <c r="L3140" s="310">
        <f>J3140*K3140</f>
        <v>6591.2599999999993</v>
      </c>
    </row>
    <row r="3141" spans="5:13" ht="15" customHeight="1" thickBot="1">
      <c r="F3141" s="316"/>
      <c r="G3141" s="317"/>
      <c r="H3141" s="318"/>
      <c r="I3141" s="318"/>
      <c r="J3141" s="319" t="s">
        <v>189</v>
      </c>
      <c r="K3141" s="320"/>
      <c r="L3141" s="321">
        <f>SUM(L3139:L3140)</f>
        <v>16337.18</v>
      </c>
    </row>
    <row r="3142" spans="5:13" ht="15" customHeight="1" thickBot="1">
      <c r="F3142" s="300" t="s">
        <v>190</v>
      </c>
      <c r="G3142" s="301" t="s">
        <v>191</v>
      </c>
      <c r="H3142" s="302"/>
      <c r="I3142" s="302"/>
      <c r="J3142" s="351"/>
      <c r="K3142" s="328">
        <v>0</v>
      </c>
      <c r="L3142" s="310">
        <f>J3142*K3142</f>
        <v>0</v>
      </c>
    </row>
    <row r="3143" spans="5:13" ht="15" customHeight="1" thickBot="1">
      <c r="F3143" s="316"/>
      <c r="G3143" s="317"/>
      <c r="H3143" s="318"/>
      <c r="I3143" s="318"/>
      <c r="J3143" s="319" t="s">
        <v>192</v>
      </c>
      <c r="K3143" s="320"/>
      <c r="L3143" s="321">
        <f>L3142</f>
        <v>0</v>
      </c>
    </row>
    <row r="3144" spans="5:13" ht="15" customHeight="1">
      <c r="F3144" s="344" t="s">
        <v>193</v>
      </c>
      <c r="G3144" s="345" t="s">
        <v>194</v>
      </c>
      <c r="H3144" s="346"/>
      <c r="I3144" s="346"/>
      <c r="J3144" s="347"/>
      <c r="K3144" s="348">
        <v>0</v>
      </c>
      <c r="L3144" s="310">
        <f>SUM(L3133:L3143)/2</f>
        <v>81362.180000000008</v>
      </c>
    </row>
    <row r="3145" spans="5:13" ht="15" customHeight="1" thickBot="1">
      <c r="F3145" s="331" t="s">
        <v>195</v>
      </c>
      <c r="G3145" s="332" t="s">
        <v>196</v>
      </c>
      <c r="H3145" s="333"/>
      <c r="I3145" s="333"/>
      <c r="J3145" s="350">
        <v>0.1</v>
      </c>
      <c r="K3145" s="335"/>
      <c r="L3145" s="330">
        <f>J3145*L3144</f>
        <v>8136.2180000000008</v>
      </c>
    </row>
    <row r="3146" spans="5:13" ht="15" customHeight="1" thickBot="1">
      <c r="F3146" s="340" t="s">
        <v>197</v>
      </c>
      <c r="G3146" s="341" t="s">
        <v>198</v>
      </c>
      <c r="H3146" s="318"/>
      <c r="I3146" s="318"/>
      <c r="J3146" s="342"/>
      <c r="K3146" s="320">
        <v>0</v>
      </c>
      <c r="L3146" s="321">
        <f>ROUNDDOWN(L3144+L3145,0)</f>
        <v>89498</v>
      </c>
    </row>
    <row r="3147" spans="5:13" ht="15" customHeight="1">
      <c r="F3147" s="298"/>
      <c r="G3147" s="298"/>
      <c r="J3147" s="343"/>
    </row>
    <row r="3148" spans="5:13" ht="15" customHeight="1" thickBot="1">
      <c r="E3148" s="356" t="s">
        <v>691</v>
      </c>
      <c r="F3148" s="295" t="s">
        <v>692</v>
      </c>
      <c r="J3148" s="343"/>
      <c r="M3148" s="299">
        <f>L3164</f>
        <v>88189</v>
      </c>
    </row>
    <row r="3149" spans="5:13" ht="15" customHeight="1" thickBot="1">
      <c r="F3149" s="340" t="s">
        <v>136</v>
      </c>
      <c r="G3149" s="341" t="s">
        <v>162</v>
      </c>
      <c r="H3149" s="352" t="s">
        <v>163</v>
      </c>
      <c r="I3149" s="352" t="s">
        <v>138</v>
      </c>
      <c r="J3149" s="353" t="s">
        <v>164</v>
      </c>
      <c r="K3149" s="341" t="s">
        <v>165</v>
      </c>
      <c r="L3149" s="354" t="s">
        <v>166</v>
      </c>
    </row>
    <row r="3150" spans="5:13" ht="15" customHeight="1">
      <c r="F3150" s="300" t="s">
        <v>167</v>
      </c>
      <c r="G3150" s="301" t="s">
        <v>168</v>
      </c>
      <c r="H3150" s="302"/>
      <c r="I3150" s="302"/>
      <c r="J3150" s="351"/>
      <c r="K3150" s="328"/>
      <c r="L3150" s="310"/>
    </row>
    <row r="3151" spans="5:13" ht="15" customHeight="1">
      <c r="F3151" s="306"/>
      <c r="G3151" s="301" t="s">
        <v>169</v>
      </c>
      <c r="H3151" s="307" t="s">
        <v>170</v>
      </c>
      <c r="I3151" s="307" t="s">
        <v>171</v>
      </c>
      <c r="J3151" s="308">
        <v>0.3</v>
      </c>
      <c r="K3151" s="309">
        <f>VLOOKUP(G3151,Upah,8,FALSE)</f>
        <v>125000</v>
      </c>
      <c r="L3151" s="310">
        <f>J3151*K3151</f>
        <v>37500</v>
      </c>
    </row>
    <row r="3152" spans="5:13" ht="15" customHeight="1">
      <c r="F3152" s="306"/>
      <c r="G3152" s="301" t="s">
        <v>308</v>
      </c>
      <c r="H3152" s="307" t="s">
        <v>217</v>
      </c>
      <c r="I3152" s="307" t="s">
        <v>171</v>
      </c>
      <c r="J3152" s="308">
        <v>0.15</v>
      </c>
      <c r="K3152" s="309">
        <f>VLOOKUP(G3152,Upah,8,FALSE)</f>
        <v>150000</v>
      </c>
      <c r="L3152" s="310">
        <f>J3152*K3152</f>
        <v>22500</v>
      </c>
    </row>
    <row r="3153" spans="5:13" ht="15" customHeight="1">
      <c r="F3153" s="306"/>
      <c r="G3153" s="301" t="s">
        <v>174</v>
      </c>
      <c r="H3153" s="307" t="s">
        <v>175</v>
      </c>
      <c r="I3153" s="307" t="s">
        <v>171</v>
      </c>
      <c r="J3153" s="308">
        <v>1.4999999999999999E-2</v>
      </c>
      <c r="K3153" s="309">
        <f>VLOOKUP(G3153,Upah,8,FALSE)</f>
        <v>165000</v>
      </c>
      <c r="L3153" s="310">
        <f>J3153*K3153</f>
        <v>2475</v>
      </c>
    </row>
    <row r="3154" spans="5:13" ht="15" customHeight="1" thickBot="1">
      <c r="F3154" s="306"/>
      <c r="G3154" s="301" t="s">
        <v>176</v>
      </c>
      <c r="H3154" s="307" t="s">
        <v>177</v>
      </c>
      <c r="I3154" s="307" t="s">
        <v>171</v>
      </c>
      <c r="J3154" s="308">
        <v>1.4999999999999999E-2</v>
      </c>
      <c r="K3154" s="309">
        <f>VLOOKUP(G3154,Upah,8,FALSE)</f>
        <v>170000</v>
      </c>
      <c r="L3154" s="310">
        <f>J3154*K3154</f>
        <v>2550</v>
      </c>
    </row>
    <row r="3155" spans="5:13" ht="15" customHeight="1" thickBot="1">
      <c r="F3155" s="316"/>
      <c r="G3155" s="317"/>
      <c r="H3155" s="318"/>
      <c r="I3155" s="318"/>
      <c r="J3155" s="319" t="s">
        <v>178</v>
      </c>
      <c r="K3155" s="320"/>
      <c r="L3155" s="321">
        <f>SUM(L3151:L3154)</f>
        <v>65025</v>
      </c>
    </row>
    <row r="3156" spans="5:13" ht="15" customHeight="1">
      <c r="F3156" s="300" t="s">
        <v>179</v>
      </c>
      <c r="G3156" s="301" t="s">
        <v>180</v>
      </c>
      <c r="H3156" s="302"/>
      <c r="I3156" s="302"/>
      <c r="J3156" s="351"/>
      <c r="K3156" s="328"/>
      <c r="L3156" s="310"/>
    </row>
    <row r="3157" spans="5:13" ht="15" customHeight="1">
      <c r="F3157" s="306"/>
      <c r="G3157" s="301" t="s">
        <v>183</v>
      </c>
      <c r="H3157" s="302"/>
      <c r="I3157" s="307" t="s">
        <v>45</v>
      </c>
      <c r="J3157" s="308">
        <v>4.4160000000000004</v>
      </c>
      <c r="K3157" s="328">
        <f>VLOOKUP(G3157,Bahan,6,FALSE)</f>
        <v>1880</v>
      </c>
      <c r="L3157" s="310">
        <f>J3157*K3157</f>
        <v>8302.08</v>
      </c>
    </row>
    <row r="3158" spans="5:13" ht="15" customHeight="1" thickBot="1">
      <c r="F3158" s="306"/>
      <c r="G3158" s="301" t="s">
        <v>296</v>
      </c>
      <c r="H3158" s="302"/>
      <c r="I3158" s="307" t="s">
        <v>44</v>
      </c>
      <c r="J3158" s="308">
        <v>2.7E-2</v>
      </c>
      <c r="K3158" s="328">
        <f>VLOOKUP(G3158,Bahan,6,FALSE)</f>
        <v>253510</v>
      </c>
      <c r="L3158" s="310">
        <f>J3158*K3158</f>
        <v>6844.7699999999995</v>
      </c>
    </row>
    <row r="3159" spans="5:13" ht="15" customHeight="1" thickBot="1">
      <c r="F3159" s="316"/>
      <c r="G3159" s="317"/>
      <c r="H3159" s="318"/>
      <c r="I3159" s="318"/>
      <c r="J3159" s="319" t="s">
        <v>189</v>
      </c>
      <c r="K3159" s="320"/>
      <c r="L3159" s="321">
        <f>SUM(L3157:L3158)</f>
        <v>15146.849999999999</v>
      </c>
    </row>
    <row r="3160" spans="5:13" ht="15" customHeight="1" thickBot="1">
      <c r="F3160" s="300" t="s">
        <v>190</v>
      </c>
      <c r="G3160" s="301" t="s">
        <v>191</v>
      </c>
      <c r="H3160" s="302"/>
      <c r="I3160" s="302"/>
      <c r="J3160" s="351"/>
      <c r="K3160" s="328">
        <v>0</v>
      </c>
      <c r="L3160" s="310">
        <f>J3160*K3160</f>
        <v>0</v>
      </c>
    </row>
    <row r="3161" spans="5:13" ht="15" customHeight="1" thickBot="1">
      <c r="F3161" s="316"/>
      <c r="G3161" s="317"/>
      <c r="H3161" s="318"/>
      <c r="I3161" s="318"/>
      <c r="J3161" s="319" t="s">
        <v>192</v>
      </c>
      <c r="K3161" s="320"/>
      <c r="L3161" s="321">
        <f>L3160</f>
        <v>0</v>
      </c>
    </row>
    <row r="3162" spans="5:13" ht="15" customHeight="1">
      <c r="F3162" s="344" t="s">
        <v>193</v>
      </c>
      <c r="G3162" s="345" t="s">
        <v>194</v>
      </c>
      <c r="H3162" s="346"/>
      <c r="I3162" s="346"/>
      <c r="J3162" s="347"/>
      <c r="K3162" s="348">
        <v>0</v>
      </c>
      <c r="L3162" s="310">
        <f>SUM(L3151:L3161)/2</f>
        <v>80171.849999999991</v>
      </c>
    </row>
    <row r="3163" spans="5:13" ht="15" customHeight="1" thickBot="1">
      <c r="F3163" s="331" t="s">
        <v>195</v>
      </c>
      <c r="G3163" s="332" t="s">
        <v>196</v>
      </c>
      <c r="H3163" s="333"/>
      <c r="I3163" s="333"/>
      <c r="J3163" s="350">
        <v>0.1</v>
      </c>
      <c r="K3163" s="335"/>
      <c r="L3163" s="330">
        <f>J3163*L3162</f>
        <v>8017.1849999999995</v>
      </c>
    </row>
    <row r="3164" spans="5:13" ht="15" customHeight="1" thickBot="1">
      <c r="F3164" s="340" t="s">
        <v>197</v>
      </c>
      <c r="G3164" s="341" t="s">
        <v>198</v>
      </c>
      <c r="H3164" s="318"/>
      <c r="I3164" s="318"/>
      <c r="J3164" s="342"/>
      <c r="K3164" s="320">
        <v>0</v>
      </c>
      <c r="L3164" s="321">
        <f>ROUNDDOWN(L3162+L3163,0)</f>
        <v>88189</v>
      </c>
    </row>
    <row r="3165" spans="5:13" ht="15" customHeight="1">
      <c r="F3165" s="298"/>
      <c r="G3165" s="298"/>
      <c r="J3165" s="343"/>
    </row>
    <row r="3166" spans="5:13" ht="15" customHeight="1" thickBot="1">
      <c r="E3166" s="356" t="s">
        <v>693</v>
      </c>
      <c r="F3166" s="295" t="s">
        <v>694</v>
      </c>
      <c r="J3166" s="343"/>
      <c r="M3166" s="299">
        <f>L3182</f>
        <v>87475</v>
      </c>
    </row>
    <row r="3167" spans="5:13" ht="15" customHeight="1" thickBot="1">
      <c r="F3167" s="340" t="s">
        <v>136</v>
      </c>
      <c r="G3167" s="341" t="s">
        <v>162</v>
      </c>
      <c r="H3167" s="352" t="s">
        <v>163</v>
      </c>
      <c r="I3167" s="352" t="s">
        <v>138</v>
      </c>
      <c r="J3167" s="353" t="s">
        <v>164</v>
      </c>
      <c r="K3167" s="341" t="s">
        <v>165</v>
      </c>
      <c r="L3167" s="354" t="s">
        <v>166</v>
      </c>
    </row>
    <row r="3168" spans="5:13" ht="15" customHeight="1">
      <c r="F3168" s="300" t="s">
        <v>167</v>
      </c>
      <c r="G3168" s="301" t="s">
        <v>168</v>
      </c>
      <c r="H3168" s="302"/>
      <c r="I3168" s="302"/>
      <c r="J3168" s="351"/>
      <c r="K3168" s="328"/>
      <c r="L3168" s="310"/>
    </row>
    <row r="3169" spans="5:13" ht="15" customHeight="1">
      <c r="F3169" s="306"/>
      <c r="G3169" s="301" t="s">
        <v>169</v>
      </c>
      <c r="H3169" s="307" t="s">
        <v>170</v>
      </c>
      <c r="I3169" s="307" t="s">
        <v>171</v>
      </c>
      <c r="J3169" s="308">
        <v>0.3</v>
      </c>
      <c r="K3169" s="309">
        <f>VLOOKUP(G3169,Upah,8,FALSE)</f>
        <v>125000</v>
      </c>
      <c r="L3169" s="310">
        <f>J3169*K3169</f>
        <v>37500</v>
      </c>
    </row>
    <row r="3170" spans="5:13" ht="15" customHeight="1">
      <c r="F3170" s="306"/>
      <c r="G3170" s="301" t="s">
        <v>308</v>
      </c>
      <c r="H3170" s="307" t="s">
        <v>217</v>
      </c>
      <c r="I3170" s="307" t="s">
        <v>171</v>
      </c>
      <c r="J3170" s="308">
        <v>0.15</v>
      </c>
      <c r="K3170" s="309">
        <f>VLOOKUP(G3170,Upah,8,FALSE)</f>
        <v>150000</v>
      </c>
      <c r="L3170" s="310">
        <f>J3170*K3170</f>
        <v>22500</v>
      </c>
    </row>
    <row r="3171" spans="5:13" ht="15" customHeight="1">
      <c r="F3171" s="306"/>
      <c r="G3171" s="301" t="s">
        <v>174</v>
      </c>
      <c r="H3171" s="307" t="s">
        <v>175</v>
      </c>
      <c r="I3171" s="307" t="s">
        <v>171</v>
      </c>
      <c r="J3171" s="308">
        <v>1.4999999999999999E-2</v>
      </c>
      <c r="K3171" s="309">
        <f>VLOOKUP(G3171,Upah,8,FALSE)</f>
        <v>165000</v>
      </c>
      <c r="L3171" s="310">
        <f>J3171*K3171</f>
        <v>2475</v>
      </c>
    </row>
    <row r="3172" spans="5:13" ht="15" customHeight="1" thickBot="1">
      <c r="F3172" s="306"/>
      <c r="G3172" s="301" t="s">
        <v>176</v>
      </c>
      <c r="H3172" s="307" t="s">
        <v>177</v>
      </c>
      <c r="I3172" s="307" t="s">
        <v>171</v>
      </c>
      <c r="J3172" s="308">
        <v>1.4999999999999999E-2</v>
      </c>
      <c r="K3172" s="309">
        <f>VLOOKUP(G3172,Upah,8,FALSE)</f>
        <v>170000</v>
      </c>
      <c r="L3172" s="310">
        <f>J3172*K3172</f>
        <v>2550</v>
      </c>
    </row>
    <row r="3173" spans="5:13" ht="15" customHeight="1" thickBot="1">
      <c r="F3173" s="316"/>
      <c r="G3173" s="317"/>
      <c r="H3173" s="318"/>
      <c r="I3173" s="318"/>
      <c r="J3173" s="319" t="s">
        <v>178</v>
      </c>
      <c r="K3173" s="320"/>
      <c r="L3173" s="321">
        <f>SUM(L3169:L3172)</f>
        <v>65025</v>
      </c>
    </row>
    <row r="3174" spans="5:13" ht="15" customHeight="1">
      <c r="F3174" s="300" t="s">
        <v>179</v>
      </c>
      <c r="G3174" s="301" t="s">
        <v>180</v>
      </c>
      <c r="H3174" s="302"/>
      <c r="I3174" s="302"/>
      <c r="J3174" s="351"/>
      <c r="K3174" s="328"/>
      <c r="L3174" s="310"/>
    </row>
    <row r="3175" spans="5:13" ht="15" customHeight="1">
      <c r="F3175" s="306"/>
      <c r="G3175" s="301" t="s">
        <v>183</v>
      </c>
      <c r="H3175" s="302"/>
      <c r="I3175" s="307" t="s">
        <v>45</v>
      </c>
      <c r="J3175" s="308">
        <v>3.9359999999999999</v>
      </c>
      <c r="K3175" s="328">
        <f>VLOOKUP(G3175,Bahan,6,FALSE)</f>
        <v>1880</v>
      </c>
      <c r="L3175" s="310">
        <f>J3175*K3175</f>
        <v>7399.68</v>
      </c>
    </row>
    <row r="3176" spans="5:13" ht="15" customHeight="1" thickBot="1">
      <c r="F3176" s="306"/>
      <c r="G3176" s="301" t="s">
        <v>296</v>
      </c>
      <c r="H3176" s="302"/>
      <c r="I3176" s="307" t="s">
        <v>44</v>
      </c>
      <c r="J3176" s="308">
        <v>2.8000000000000001E-2</v>
      </c>
      <c r="K3176" s="328">
        <f>VLOOKUP(G3176,Bahan,6,FALSE)</f>
        <v>253510</v>
      </c>
      <c r="L3176" s="310">
        <f>J3176*K3176</f>
        <v>7098.28</v>
      </c>
    </row>
    <row r="3177" spans="5:13" ht="15" customHeight="1" thickBot="1">
      <c r="F3177" s="316"/>
      <c r="G3177" s="317"/>
      <c r="H3177" s="318"/>
      <c r="I3177" s="318"/>
      <c r="J3177" s="319" t="s">
        <v>189</v>
      </c>
      <c r="K3177" s="320"/>
      <c r="L3177" s="321">
        <f>SUM(L3175:L3176)</f>
        <v>14497.96</v>
      </c>
    </row>
    <row r="3178" spans="5:13" ht="15" customHeight="1" thickBot="1">
      <c r="F3178" s="300" t="s">
        <v>190</v>
      </c>
      <c r="G3178" s="301" t="s">
        <v>191</v>
      </c>
      <c r="H3178" s="302"/>
      <c r="I3178" s="302"/>
      <c r="J3178" s="351"/>
      <c r="K3178" s="328">
        <v>0</v>
      </c>
      <c r="L3178" s="310">
        <f>J3178*K3178</f>
        <v>0</v>
      </c>
    </row>
    <row r="3179" spans="5:13" ht="15" customHeight="1" thickBot="1">
      <c r="F3179" s="316"/>
      <c r="G3179" s="317"/>
      <c r="H3179" s="318"/>
      <c r="I3179" s="318"/>
      <c r="J3179" s="319" t="s">
        <v>192</v>
      </c>
      <c r="K3179" s="320"/>
      <c r="L3179" s="321">
        <f>L3178</f>
        <v>0</v>
      </c>
    </row>
    <row r="3180" spans="5:13" ht="15" customHeight="1">
      <c r="F3180" s="344" t="s">
        <v>193</v>
      </c>
      <c r="G3180" s="345" t="s">
        <v>194</v>
      </c>
      <c r="H3180" s="346"/>
      <c r="I3180" s="346"/>
      <c r="J3180" s="347"/>
      <c r="K3180" s="348">
        <v>0</v>
      </c>
      <c r="L3180" s="310">
        <f>SUM(L3169:L3179)/2</f>
        <v>79522.959999999992</v>
      </c>
    </row>
    <row r="3181" spans="5:13" ht="15" customHeight="1" thickBot="1">
      <c r="F3181" s="331" t="s">
        <v>195</v>
      </c>
      <c r="G3181" s="332" t="s">
        <v>196</v>
      </c>
      <c r="H3181" s="333"/>
      <c r="I3181" s="333"/>
      <c r="J3181" s="350">
        <v>0.1</v>
      </c>
      <c r="K3181" s="335"/>
      <c r="L3181" s="330">
        <f>J3181*L3180</f>
        <v>7952.2959999999994</v>
      </c>
    </row>
    <row r="3182" spans="5:13" ht="15" customHeight="1" thickBot="1">
      <c r="F3182" s="340" t="s">
        <v>197</v>
      </c>
      <c r="G3182" s="341" t="s">
        <v>198</v>
      </c>
      <c r="H3182" s="318"/>
      <c r="I3182" s="318"/>
      <c r="J3182" s="342"/>
      <c r="K3182" s="320">
        <v>0</v>
      </c>
      <c r="L3182" s="321">
        <f>ROUNDDOWN(L3180+L3181,0)</f>
        <v>87475</v>
      </c>
    </row>
    <row r="3183" spans="5:13" ht="15" customHeight="1">
      <c r="F3183" s="298"/>
      <c r="G3183" s="298"/>
      <c r="J3183" s="343"/>
    </row>
    <row r="3184" spans="5:13" ht="15" customHeight="1" thickBot="1">
      <c r="E3184" s="356" t="s">
        <v>695</v>
      </c>
      <c r="F3184" s="295" t="s">
        <v>696</v>
      </c>
      <c r="J3184" s="343"/>
      <c r="M3184" s="299">
        <f>L3200</f>
        <v>86761</v>
      </c>
    </row>
    <row r="3185" spans="6:12" ht="15" customHeight="1" thickBot="1">
      <c r="F3185" s="340" t="s">
        <v>136</v>
      </c>
      <c r="G3185" s="341" t="s">
        <v>162</v>
      </c>
      <c r="H3185" s="352" t="s">
        <v>163</v>
      </c>
      <c r="I3185" s="352" t="s">
        <v>138</v>
      </c>
      <c r="J3185" s="353" t="s">
        <v>164</v>
      </c>
      <c r="K3185" s="341" t="s">
        <v>165</v>
      </c>
      <c r="L3185" s="354" t="s">
        <v>166</v>
      </c>
    </row>
    <row r="3186" spans="6:12" ht="15" customHeight="1">
      <c r="F3186" s="300" t="s">
        <v>167</v>
      </c>
      <c r="G3186" s="301" t="s">
        <v>168</v>
      </c>
      <c r="H3186" s="302"/>
      <c r="I3186" s="302"/>
      <c r="J3186" s="351"/>
      <c r="K3186" s="328"/>
      <c r="L3186" s="310"/>
    </row>
    <row r="3187" spans="6:12" ht="15" customHeight="1">
      <c r="F3187" s="306"/>
      <c r="G3187" s="301" t="s">
        <v>169</v>
      </c>
      <c r="H3187" s="307" t="s">
        <v>170</v>
      </c>
      <c r="I3187" s="307" t="s">
        <v>171</v>
      </c>
      <c r="J3187" s="308">
        <v>0.3</v>
      </c>
      <c r="K3187" s="309">
        <f>VLOOKUP(G3187,Upah,8,FALSE)</f>
        <v>125000</v>
      </c>
      <c r="L3187" s="310">
        <f>J3187*K3187</f>
        <v>37500</v>
      </c>
    </row>
    <row r="3188" spans="6:12" ht="15" customHeight="1">
      <c r="F3188" s="306"/>
      <c r="G3188" s="301" t="s">
        <v>308</v>
      </c>
      <c r="H3188" s="307" t="s">
        <v>217</v>
      </c>
      <c r="I3188" s="307" t="s">
        <v>171</v>
      </c>
      <c r="J3188" s="308">
        <v>0.15</v>
      </c>
      <c r="K3188" s="309">
        <f>VLOOKUP(G3188,Upah,8,FALSE)</f>
        <v>150000</v>
      </c>
      <c r="L3188" s="310">
        <f>J3188*K3188</f>
        <v>22500</v>
      </c>
    </row>
    <row r="3189" spans="6:12" ht="15" customHeight="1">
      <c r="F3189" s="306"/>
      <c r="G3189" s="301" t="s">
        <v>174</v>
      </c>
      <c r="H3189" s="307" t="s">
        <v>175</v>
      </c>
      <c r="I3189" s="307" t="s">
        <v>171</v>
      </c>
      <c r="J3189" s="308">
        <v>1.4999999999999999E-2</v>
      </c>
      <c r="K3189" s="309">
        <f>VLOOKUP(G3189,Upah,8,FALSE)</f>
        <v>165000</v>
      </c>
      <c r="L3189" s="310">
        <f>J3189*K3189</f>
        <v>2475</v>
      </c>
    </row>
    <row r="3190" spans="6:12" ht="15" customHeight="1" thickBot="1">
      <c r="F3190" s="306"/>
      <c r="G3190" s="301" t="s">
        <v>176</v>
      </c>
      <c r="H3190" s="307" t="s">
        <v>177</v>
      </c>
      <c r="I3190" s="307" t="s">
        <v>171</v>
      </c>
      <c r="J3190" s="308">
        <v>1.4999999999999999E-2</v>
      </c>
      <c r="K3190" s="309">
        <f>VLOOKUP(G3190,Upah,8,FALSE)</f>
        <v>170000</v>
      </c>
      <c r="L3190" s="310">
        <f>J3190*K3190</f>
        <v>2550</v>
      </c>
    </row>
    <row r="3191" spans="6:12" ht="15" customHeight="1" thickBot="1">
      <c r="F3191" s="316"/>
      <c r="G3191" s="317"/>
      <c r="H3191" s="318"/>
      <c r="I3191" s="318"/>
      <c r="J3191" s="319" t="s">
        <v>178</v>
      </c>
      <c r="K3191" s="320"/>
      <c r="L3191" s="321">
        <f>SUM(L3187:L3190)</f>
        <v>65025</v>
      </c>
    </row>
    <row r="3192" spans="6:12" ht="15" customHeight="1">
      <c r="F3192" s="300" t="s">
        <v>179</v>
      </c>
      <c r="G3192" s="301" t="s">
        <v>180</v>
      </c>
      <c r="H3192" s="302"/>
      <c r="I3192" s="302"/>
      <c r="J3192" s="351"/>
      <c r="K3192" s="328"/>
      <c r="L3192" s="310"/>
    </row>
    <row r="3193" spans="6:12" ht="15" customHeight="1">
      <c r="F3193" s="306"/>
      <c r="G3193" s="301" t="s">
        <v>183</v>
      </c>
      <c r="H3193" s="302"/>
      <c r="I3193" s="307" t="s">
        <v>45</v>
      </c>
      <c r="J3193" s="308">
        <v>3.456</v>
      </c>
      <c r="K3193" s="328">
        <f>VLOOKUP(G3193,Bahan,6,FALSE)</f>
        <v>1880</v>
      </c>
      <c r="L3193" s="310">
        <f>J3193*K3193</f>
        <v>6497.28</v>
      </c>
    </row>
    <row r="3194" spans="6:12" ht="15" customHeight="1" thickBot="1">
      <c r="F3194" s="306"/>
      <c r="G3194" s="301" t="s">
        <v>296</v>
      </c>
      <c r="H3194" s="302"/>
      <c r="I3194" s="307" t="s">
        <v>44</v>
      </c>
      <c r="J3194" s="308">
        <v>2.9000000000000001E-2</v>
      </c>
      <c r="K3194" s="328">
        <f>VLOOKUP(G3194,Bahan,6,FALSE)</f>
        <v>253510</v>
      </c>
      <c r="L3194" s="310">
        <f>J3194*K3194</f>
        <v>7351.79</v>
      </c>
    </row>
    <row r="3195" spans="6:12" ht="15" customHeight="1" thickBot="1">
      <c r="F3195" s="316"/>
      <c r="G3195" s="317"/>
      <c r="H3195" s="318"/>
      <c r="I3195" s="318"/>
      <c r="J3195" s="319" t="s">
        <v>189</v>
      </c>
      <c r="K3195" s="320"/>
      <c r="L3195" s="321">
        <f>SUM(L3193:L3194)</f>
        <v>13849.07</v>
      </c>
    </row>
    <row r="3196" spans="6:12" ht="15" customHeight="1" thickBot="1">
      <c r="F3196" s="300" t="s">
        <v>190</v>
      </c>
      <c r="G3196" s="301" t="s">
        <v>191</v>
      </c>
      <c r="H3196" s="302"/>
      <c r="I3196" s="302"/>
      <c r="J3196" s="351"/>
      <c r="K3196" s="328">
        <v>0</v>
      </c>
      <c r="L3196" s="310">
        <f>J3196*K3196</f>
        <v>0</v>
      </c>
    </row>
    <row r="3197" spans="6:12" ht="15" customHeight="1" thickBot="1">
      <c r="F3197" s="316"/>
      <c r="G3197" s="317"/>
      <c r="H3197" s="318"/>
      <c r="I3197" s="318"/>
      <c r="J3197" s="319" t="s">
        <v>192</v>
      </c>
      <c r="K3197" s="320"/>
      <c r="L3197" s="321">
        <f>L3196</f>
        <v>0</v>
      </c>
    </row>
    <row r="3198" spans="6:12" ht="15" customHeight="1">
      <c r="F3198" s="344" t="s">
        <v>193</v>
      </c>
      <c r="G3198" s="345" t="s">
        <v>194</v>
      </c>
      <c r="H3198" s="346"/>
      <c r="I3198" s="346"/>
      <c r="J3198" s="347"/>
      <c r="K3198" s="348">
        <v>0</v>
      </c>
      <c r="L3198" s="310">
        <f>SUM(L3187:L3197)/2</f>
        <v>78874.070000000007</v>
      </c>
    </row>
    <row r="3199" spans="6:12" ht="15" customHeight="1" thickBot="1">
      <c r="F3199" s="331" t="s">
        <v>195</v>
      </c>
      <c r="G3199" s="332" t="s">
        <v>196</v>
      </c>
      <c r="H3199" s="333"/>
      <c r="I3199" s="333"/>
      <c r="J3199" s="350">
        <v>0.1</v>
      </c>
      <c r="K3199" s="335"/>
      <c r="L3199" s="330">
        <f>J3199*L3198</f>
        <v>7887.4070000000011</v>
      </c>
    </row>
    <row r="3200" spans="6:12" ht="15" customHeight="1" thickBot="1">
      <c r="F3200" s="340" t="s">
        <v>197</v>
      </c>
      <c r="G3200" s="341" t="s">
        <v>198</v>
      </c>
      <c r="H3200" s="318"/>
      <c r="I3200" s="318"/>
      <c r="J3200" s="342"/>
      <c r="K3200" s="320">
        <v>0</v>
      </c>
      <c r="L3200" s="321">
        <f>ROUNDDOWN(L3198+L3199,0)</f>
        <v>86761</v>
      </c>
    </row>
    <row r="3201" spans="5:13" ht="15" customHeight="1">
      <c r="F3201" s="298"/>
      <c r="G3201" s="298"/>
      <c r="J3201" s="343"/>
    </row>
    <row r="3202" spans="5:13" ht="15" customHeight="1" thickBot="1">
      <c r="E3202" s="356" t="s">
        <v>697</v>
      </c>
      <c r="F3202" s="295" t="s">
        <v>698</v>
      </c>
      <c r="J3202" s="343"/>
      <c r="M3202" s="299">
        <f>L3219</f>
        <v>92127</v>
      </c>
    </row>
    <row r="3203" spans="5:13" ht="15" customHeight="1" thickBot="1">
      <c r="F3203" s="340" t="s">
        <v>136</v>
      </c>
      <c r="G3203" s="341" t="s">
        <v>162</v>
      </c>
      <c r="H3203" s="352" t="s">
        <v>163</v>
      </c>
      <c r="I3203" s="352" t="s">
        <v>138</v>
      </c>
      <c r="J3203" s="353" t="s">
        <v>164</v>
      </c>
      <c r="K3203" s="341" t="s">
        <v>165</v>
      </c>
      <c r="L3203" s="354" t="s">
        <v>166</v>
      </c>
    </row>
    <row r="3204" spans="5:13" ht="15" customHeight="1">
      <c r="F3204" s="300" t="s">
        <v>167</v>
      </c>
      <c r="G3204" s="301" t="s">
        <v>168</v>
      </c>
      <c r="H3204" s="302"/>
      <c r="I3204" s="302"/>
      <c r="J3204" s="351"/>
      <c r="K3204" s="328"/>
      <c r="L3204" s="310"/>
    </row>
    <row r="3205" spans="5:13" ht="15" customHeight="1">
      <c r="F3205" s="306"/>
      <c r="G3205" s="301" t="s">
        <v>169</v>
      </c>
      <c r="H3205" s="307" t="s">
        <v>170</v>
      </c>
      <c r="I3205" s="307" t="s">
        <v>171</v>
      </c>
      <c r="J3205" s="308">
        <v>0.36</v>
      </c>
      <c r="K3205" s="309">
        <f>VLOOKUP(G3205,Upah,8,FALSE)</f>
        <v>125000</v>
      </c>
      <c r="L3205" s="310">
        <f>J3205*K3205</f>
        <v>45000</v>
      </c>
    </row>
    <row r="3206" spans="5:13" ht="15" customHeight="1">
      <c r="F3206" s="306"/>
      <c r="G3206" s="301" t="s">
        <v>308</v>
      </c>
      <c r="H3206" s="307" t="s">
        <v>217</v>
      </c>
      <c r="I3206" s="307" t="s">
        <v>171</v>
      </c>
      <c r="J3206" s="308">
        <v>0.12</v>
      </c>
      <c r="K3206" s="309">
        <f>VLOOKUP(G3206,Upah,8,FALSE)</f>
        <v>150000</v>
      </c>
      <c r="L3206" s="310">
        <f>J3206*K3206</f>
        <v>18000</v>
      </c>
    </row>
    <row r="3207" spans="5:13" ht="15" customHeight="1">
      <c r="F3207" s="306"/>
      <c r="G3207" s="301" t="s">
        <v>174</v>
      </c>
      <c r="H3207" s="307" t="s">
        <v>175</v>
      </c>
      <c r="I3207" s="307" t="s">
        <v>171</v>
      </c>
      <c r="J3207" s="308">
        <v>1.2E-2</v>
      </c>
      <c r="K3207" s="309">
        <f>VLOOKUP(G3207,Upah,8,FALSE)</f>
        <v>165000</v>
      </c>
      <c r="L3207" s="310">
        <f>J3207*K3207</f>
        <v>1980</v>
      </c>
    </row>
    <row r="3208" spans="5:13" ht="15" customHeight="1" thickBot="1">
      <c r="F3208" s="306"/>
      <c r="G3208" s="301" t="s">
        <v>176</v>
      </c>
      <c r="H3208" s="307" t="s">
        <v>177</v>
      </c>
      <c r="I3208" s="307" t="s">
        <v>171</v>
      </c>
      <c r="J3208" s="308">
        <v>1.7999999999999999E-2</v>
      </c>
      <c r="K3208" s="309">
        <f>VLOOKUP(G3208,Upah,8,FALSE)</f>
        <v>170000</v>
      </c>
      <c r="L3208" s="310">
        <f>J3208*K3208</f>
        <v>3059.9999999999995</v>
      </c>
    </row>
    <row r="3209" spans="5:13" ht="15" customHeight="1" thickBot="1">
      <c r="F3209" s="316"/>
      <c r="G3209" s="317"/>
      <c r="H3209" s="318"/>
      <c r="I3209" s="318"/>
      <c r="J3209" s="319" t="s">
        <v>178</v>
      </c>
      <c r="K3209" s="320"/>
      <c r="L3209" s="321">
        <f>SUM(L3205:L3208)</f>
        <v>68040</v>
      </c>
    </row>
    <row r="3210" spans="5:13" ht="15" customHeight="1">
      <c r="F3210" s="300" t="s">
        <v>179</v>
      </c>
      <c r="G3210" s="301" t="s">
        <v>180</v>
      </c>
      <c r="H3210" s="302"/>
      <c r="I3210" s="302"/>
      <c r="J3210" s="351"/>
      <c r="K3210" s="328"/>
      <c r="L3210" s="310"/>
    </row>
    <row r="3211" spans="5:13" ht="15" customHeight="1">
      <c r="F3211" s="306"/>
      <c r="G3211" s="301" t="s">
        <v>183</v>
      </c>
      <c r="H3211" s="302"/>
      <c r="I3211" s="307" t="s">
        <v>45</v>
      </c>
      <c r="J3211" s="308">
        <v>5.76</v>
      </c>
      <c r="K3211" s="328">
        <f>VLOOKUP(G3211,Bahan,6,FALSE)</f>
        <v>1880</v>
      </c>
      <c r="L3211" s="310">
        <f>J3211*K3211</f>
        <v>10828.8</v>
      </c>
    </row>
    <row r="3212" spans="5:13" ht="15" customHeight="1">
      <c r="F3212" s="306"/>
      <c r="G3212" s="301" t="s">
        <v>699</v>
      </c>
      <c r="H3212" s="302"/>
      <c r="I3212" s="307" t="s">
        <v>44</v>
      </c>
      <c r="J3212" s="308">
        <v>3.0000000000000001E-3</v>
      </c>
      <c r="K3212" s="328">
        <f>VLOOKUP(G3212,Bahan,6,FALSE)</f>
        <v>529200</v>
      </c>
      <c r="L3212" s="310">
        <f>J3212*K3212</f>
        <v>1587.6000000000001</v>
      </c>
    </row>
    <row r="3213" spans="5:13" ht="15" customHeight="1" thickBot="1">
      <c r="F3213" s="306"/>
      <c r="G3213" s="301" t="s">
        <v>296</v>
      </c>
      <c r="H3213" s="302"/>
      <c r="I3213" s="307" t="s">
        <v>44</v>
      </c>
      <c r="J3213" s="308">
        <v>1.2999999999999999E-2</v>
      </c>
      <c r="K3213" s="328">
        <f>VLOOKUP(G3213,Bahan,6,FALSE)</f>
        <v>253510</v>
      </c>
      <c r="L3213" s="310">
        <f>J3213*K3213</f>
        <v>3295.6299999999997</v>
      </c>
    </row>
    <row r="3214" spans="5:13" ht="15" customHeight="1" thickBot="1">
      <c r="F3214" s="316"/>
      <c r="G3214" s="317"/>
      <c r="H3214" s="318"/>
      <c r="I3214" s="318"/>
      <c r="J3214" s="319" t="s">
        <v>189</v>
      </c>
      <c r="K3214" s="320"/>
      <c r="L3214" s="321">
        <f>SUM(L3211:L3213)</f>
        <v>15712.029999999999</v>
      </c>
    </row>
    <row r="3215" spans="5:13" ht="15" customHeight="1" thickBot="1">
      <c r="F3215" s="300" t="s">
        <v>190</v>
      </c>
      <c r="G3215" s="301" t="s">
        <v>191</v>
      </c>
      <c r="H3215" s="302"/>
      <c r="I3215" s="302"/>
      <c r="J3215" s="351"/>
      <c r="K3215" s="328">
        <v>0</v>
      </c>
      <c r="L3215" s="310">
        <f>J3215*K3215</f>
        <v>0</v>
      </c>
    </row>
    <row r="3216" spans="5:13" ht="15" customHeight="1" thickBot="1">
      <c r="F3216" s="316"/>
      <c r="G3216" s="317"/>
      <c r="H3216" s="318"/>
      <c r="I3216" s="318"/>
      <c r="J3216" s="319" t="s">
        <v>192</v>
      </c>
      <c r="K3216" s="320"/>
      <c r="L3216" s="321">
        <f>L3215</f>
        <v>0</v>
      </c>
    </row>
    <row r="3217" spans="5:13" ht="15" customHeight="1">
      <c r="F3217" s="344" t="s">
        <v>193</v>
      </c>
      <c r="G3217" s="345" t="s">
        <v>194</v>
      </c>
      <c r="H3217" s="346"/>
      <c r="I3217" s="346"/>
      <c r="J3217" s="347"/>
      <c r="K3217" s="348">
        <v>0</v>
      </c>
      <c r="L3217" s="310">
        <f>SUM(L3205:L3216)/2</f>
        <v>83752.03</v>
      </c>
    </row>
    <row r="3218" spans="5:13" ht="15" customHeight="1" thickBot="1">
      <c r="F3218" s="331" t="s">
        <v>195</v>
      </c>
      <c r="G3218" s="332" t="s">
        <v>196</v>
      </c>
      <c r="H3218" s="333"/>
      <c r="I3218" s="333"/>
      <c r="J3218" s="350">
        <v>0.1</v>
      </c>
      <c r="K3218" s="335"/>
      <c r="L3218" s="330">
        <f>J3218*L3217</f>
        <v>8375.2029999999995</v>
      </c>
    </row>
    <row r="3219" spans="5:13" ht="15" customHeight="1" thickBot="1">
      <c r="F3219" s="340" t="s">
        <v>197</v>
      </c>
      <c r="G3219" s="341" t="s">
        <v>198</v>
      </c>
      <c r="H3219" s="318"/>
      <c r="I3219" s="318"/>
      <c r="J3219" s="342"/>
      <c r="K3219" s="320">
        <v>0</v>
      </c>
      <c r="L3219" s="321">
        <f>ROUNDDOWN(L3217+L3218,0)</f>
        <v>92127</v>
      </c>
    </row>
    <row r="3220" spans="5:13" ht="15" customHeight="1">
      <c r="F3220" s="298"/>
      <c r="G3220" s="298"/>
      <c r="J3220" s="343"/>
    </row>
    <row r="3221" spans="5:13" ht="15" customHeight="1" thickBot="1">
      <c r="E3221" s="356" t="s">
        <v>700</v>
      </c>
      <c r="F3221" s="295" t="s">
        <v>701</v>
      </c>
      <c r="J3221" s="343"/>
      <c r="M3221" s="299">
        <f>L3238</f>
        <v>89535</v>
      </c>
    </row>
    <row r="3222" spans="5:13" ht="15" customHeight="1" thickBot="1">
      <c r="F3222" s="340" t="s">
        <v>136</v>
      </c>
      <c r="G3222" s="341" t="s">
        <v>162</v>
      </c>
      <c r="H3222" s="352" t="s">
        <v>163</v>
      </c>
      <c r="I3222" s="352" t="s">
        <v>138</v>
      </c>
      <c r="J3222" s="353" t="s">
        <v>164</v>
      </c>
      <c r="K3222" s="341" t="s">
        <v>165</v>
      </c>
      <c r="L3222" s="354" t="s">
        <v>166</v>
      </c>
    </row>
    <row r="3223" spans="5:13" ht="15" customHeight="1">
      <c r="F3223" s="300" t="s">
        <v>167</v>
      </c>
      <c r="G3223" s="301" t="s">
        <v>168</v>
      </c>
      <c r="H3223" s="302"/>
      <c r="I3223" s="302"/>
      <c r="J3223" s="351"/>
      <c r="K3223" s="328"/>
      <c r="L3223" s="310"/>
    </row>
    <row r="3224" spans="5:13" ht="15" customHeight="1">
      <c r="F3224" s="306"/>
      <c r="G3224" s="301" t="s">
        <v>169</v>
      </c>
      <c r="H3224" s="307" t="s">
        <v>170</v>
      </c>
      <c r="I3224" s="307" t="s">
        <v>171</v>
      </c>
      <c r="J3224" s="308">
        <v>0.36</v>
      </c>
      <c r="K3224" s="309">
        <f>VLOOKUP(G3224,Upah,8,FALSE)</f>
        <v>125000</v>
      </c>
      <c r="L3224" s="310">
        <f>J3224*K3224</f>
        <v>45000</v>
      </c>
    </row>
    <row r="3225" spans="5:13" ht="15" customHeight="1">
      <c r="F3225" s="306"/>
      <c r="G3225" s="301" t="s">
        <v>308</v>
      </c>
      <c r="H3225" s="307" t="s">
        <v>217</v>
      </c>
      <c r="I3225" s="307" t="s">
        <v>171</v>
      </c>
      <c r="J3225" s="308">
        <v>0.12</v>
      </c>
      <c r="K3225" s="309">
        <f>VLOOKUP(G3225,Upah,8,FALSE)</f>
        <v>150000</v>
      </c>
      <c r="L3225" s="310">
        <f>J3225*K3225</f>
        <v>18000</v>
      </c>
    </row>
    <row r="3226" spans="5:13" ht="15" customHeight="1">
      <c r="F3226" s="306"/>
      <c r="G3226" s="301" t="s">
        <v>174</v>
      </c>
      <c r="H3226" s="307" t="s">
        <v>175</v>
      </c>
      <c r="I3226" s="307" t="s">
        <v>171</v>
      </c>
      <c r="J3226" s="308">
        <v>1.2E-2</v>
      </c>
      <c r="K3226" s="309">
        <f>VLOOKUP(G3226,Upah,8,FALSE)</f>
        <v>165000</v>
      </c>
      <c r="L3226" s="310">
        <f>J3226*K3226</f>
        <v>1980</v>
      </c>
    </row>
    <row r="3227" spans="5:13" ht="15" customHeight="1" thickBot="1">
      <c r="F3227" s="306"/>
      <c r="G3227" s="301" t="s">
        <v>176</v>
      </c>
      <c r="H3227" s="307" t="s">
        <v>177</v>
      </c>
      <c r="I3227" s="307" t="s">
        <v>171</v>
      </c>
      <c r="J3227" s="308">
        <v>1.7999999999999999E-2</v>
      </c>
      <c r="K3227" s="309">
        <f>VLOOKUP(G3227,Upah,8,FALSE)</f>
        <v>170000</v>
      </c>
      <c r="L3227" s="310">
        <f>J3227*K3227</f>
        <v>3059.9999999999995</v>
      </c>
    </row>
    <row r="3228" spans="5:13" ht="15" customHeight="1" thickBot="1">
      <c r="F3228" s="316"/>
      <c r="G3228" s="317"/>
      <c r="H3228" s="318"/>
      <c r="I3228" s="318"/>
      <c r="J3228" s="319" t="s">
        <v>178</v>
      </c>
      <c r="K3228" s="320"/>
      <c r="L3228" s="321">
        <f>SUM(L3224:L3227)</f>
        <v>68040</v>
      </c>
    </row>
    <row r="3229" spans="5:13" ht="15" customHeight="1">
      <c r="F3229" s="300" t="s">
        <v>179</v>
      </c>
      <c r="G3229" s="301" t="s">
        <v>180</v>
      </c>
      <c r="H3229" s="302"/>
      <c r="I3229" s="302"/>
      <c r="J3229" s="351"/>
      <c r="K3229" s="328"/>
      <c r="L3229" s="310"/>
    </row>
    <row r="3230" spans="5:13" ht="15" customHeight="1">
      <c r="F3230" s="306"/>
      <c r="G3230" s="301" t="s">
        <v>183</v>
      </c>
      <c r="H3230" s="302"/>
      <c r="I3230" s="307" t="s">
        <v>45</v>
      </c>
      <c r="J3230" s="308">
        <v>3</v>
      </c>
      <c r="K3230" s="328">
        <f>VLOOKUP(G3230,Bahan,6,FALSE)</f>
        <v>1880</v>
      </c>
      <c r="L3230" s="310">
        <f>J3230*K3230</f>
        <v>5640</v>
      </c>
    </row>
    <row r="3231" spans="5:13" ht="15" customHeight="1">
      <c r="F3231" s="306"/>
      <c r="G3231" s="301" t="s">
        <v>699</v>
      </c>
      <c r="H3231" s="302"/>
      <c r="I3231" s="307" t="s">
        <v>44</v>
      </c>
      <c r="J3231" s="308">
        <v>5.0000000000000001E-3</v>
      </c>
      <c r="K3231" s="328">
        <f>VLOOKUP(G3231,Bahan,6,FALSE)</f>
        <v>529200</v>
      </c>
      <c r="L3231" s="310">
        <f>J3231*K3231</f>
        <v>2646</v>
      </c>
    </row>
    <row r="3232" spans="5:13" ht="15" customHeight="1" thickBot="1">
      <c r="F3232" s="306"/>
      <c r="G3232" s="301" t="s">
        <v>296</v>
      </c>
      <c r="H3232" s="302"/>
      <c r="I3232" s="307" t="s">
        <v>44</v>
      </c>
      <c r="J3232" s="308">
        <v>0.02</v>
      </c>
      <c r="K3232" s="328">
        <f>VLOOKUP(G3232,Bahan,6,FALSE)</f>
        <v>253510</v>
      </c>
      <c r="L3232" s="310">
        <f>J3232*K3232</f>
        <v>5070.2</v>
      </c>
    </row>
    <row r="3233" spans="5:13" ht="15" customHeight="1" thickBot="1">
      <c r="F3233" s="316"/>
      <c r="G3233" s="317"/>
      <c r="H3233" s="318"/>
      <c r="I3233" s="318"/>
      <c r="J3233" s="319" t="s">
        <v>189</v>
      </c>
      <c r="K3233" s="320"/>
      <c r="L3233" s="321">
        <f>SUM(L3230:L3232)</f>
        <v>13356.2</v>
      </c>
    </row>
    <row r="3234" spans="5:13" ht="15" customHeight="1" thickBot="1">
      <c r="F3234" s="300" t="s">
        <v>190</v>
      </c>
      <c r="G3234" s="301" t="s">
        <v>191</v>
      </c>
      <c r="H3234" s="302"/>
      <c r="I3234" s="302"/>
      <c r="J3234" s="351"/>
      <c r="K3234" s="328">
        <v>0</v>
      </c>
      <c r="L3234" s="310">
        <f>J3234*K3234</f>
        <v>0</v>
      </c>
    </row>
    <row r="3235" spans="5:13" ht="15" customHeight="1" thickBot="1">
      <c r="F3235" s="316"/>
      <c r="G3235" s="317"/>
      <c r="H3235" s="318"/>
      <c r="I3235" s="318"/>
      <c r="J3235" s="319" t="s">
        <v>192</v>
      </c>
      <c r="K3235" s="320"/>
      <c r="L3235" s="321">
        <f>L3234</f>
        <v>0</v>
      </c>
    </row>
    <row r="3236" spans="5:13" ht="15" customHeight="1">
      <c r="F3236" s="344" t="s">
        <v>193</v>
      </c>
      <c r="G3236" s="345" t="s">
        <v>194</v>
      </c>
      <c r="H3236" s="346"/>
      <c r="I3236" s="346"/>
      <c r="J3236" s="347"/>
      <c r="K3236" s="348">
        <v>0</v>
      </c>
      <c r="L3236" s="310">
        <f>SUM(L3223:L3235)/2</f>
        <v>81396.200000000012</v>
      </c>
    </row>
    <row r="3237" spans="5:13" ht="15" customHeight="1" thickBot="1">
      <c r="F3237" s="331" t="s">
        <v>195</v>
      </c>
      <c r="G3237" s="332" t="s">
        <v>196</v>
      </c>
      <c r="H3237" s="333"/>
      <c r="I3237" s="333"/>
      <c r="J3237" s="350">
        <v>0.1</v>
      </c>
      <c r="K3237" s="335"/>
      <c r="L3237" s="330">
        <f>J3237*L3236</f>
        <v>8139.6200000000017</v>
      </c>
    </row>
    <row r="3238" spans="5:13" ht="15" customHeight="1" thickBot="1">
      <c r="F3238" s="340" t="s">
        <v>197</v>
      </c>
      <c r="G3238" s="341" t="s">
        <v>198</v>
      </c>
      <c r="H3238" s="318"/>
      <c r="I3238" s="318"/>
      <c r="J3238" s="342"/>
      <c r="K3238" s="320">
        <v>0</v>
      </c>
      <c r="L3238" s="321">
        <f>ROUNDDOWN(L3236+L3237,0)</f>
        <v>89535</v>
      </c>
    </row>
    <row r="3239" spans="5:13" ht="15" customHeight="1">
      <c r="F3239" s="298"/>
      <c r="G3239" s="298"/>
      <c r="J3239" s="343"/>
    </row>
    <row r="3240" spans="5:13" ht="15" customHeight="1" thickBot="1">
      <c r="E3240" s="356" t="s">
        <v>702</v>
      </c>
      <c r="F3240" s="295" t="s">
        <v>703</v>
      </c>
      <c r="J3240" s="343"/>
      <c r="M3240" s="299">
        <f>L3257</f>
        <v>82611</v>
      </c>
    </row>
    <row r="3241" spans="5:13" ht="15" customHeight="1" thickBot="1">
      <c r="F3241" s="340" t="s">
        <v>136</v>
      </c>
      <c r="G3241" s="341" t="s">
        <v>162</v>
      </c>
      <c r="H3241" s="352" t="s">
        <v>163</v>
      </c>
      <c r="I3241" s="352" t="s">
        <v>138</v>
      </c>
      <c r="J3241" s="353" t="s">
        <v>164</v>
      </c>
      <c r="K3241" s="341" t="s">
        <v>165</v>
      </c>
      <c r="L3241" s="354" t="s">
        <v>166</v>
      </c>
    </row>
    <row r="3242" spans="5:13" ht="15" customHeight="1">
      <c r="F3242" s="300" t="s">
        <v>167</v>
      </c>
      <c r="G3242" s="301" t="s">
        <v>168</v>
      </c>
      <c r="H3242" s="302"/>
      <c r="I3242" s="302"/>
      <c r="J3242" s="351"/>
      <c r="K3242" s="309"/>
      <c r="L3242" s="310"/>
    </row>
    <row r="3243" spans="5:13" ht="15" customHeight="1">
      <c r="F3243" s="306"/>
      <c r="G3243" s="301" t="s">
        <v>169</v>
      </c>
      <c r="H3243" s="307" t="s">
        <v>170</v>
      </c>
      <c r="I3243" s="307" t="s">
        <v>171</v>
      </c>
      <c r="J3243" s="308">
        <v>0.36</v>
      </c>
      <c r="K3243" s="309">
        <f>VLOOKUP(G3243,Upah,8,FALSE)</f>
        <v>125000</v>
      </c>
      <c r="L3243" s="310">
        <f>J3243*K3243</f>
        <v>45000</v>
      </c>
    </row>
    <row r="3244" spans="5:13" ht="15" customHeight="1">
      <c r="F3244" s="306"/>
      <c r="G3244" s="301" t="s">
        <v>308</v>
      </c>
      <c r="H3244" s="307" t="s">
        <v>217</v>
      </c>
      <c r="I3244" s="307" t="s">
        <v>171</v>
      </c>
      <c r="J3244" s="308">
        <v>0.12</v>
      </c>
      <c r="K3244" s="309">
        <f>VLOOKUP(G3244,Upah,8,FALSE)</f>
        <v>150000</v>
      </c>
      <c r="L3244" s="310">
        <f>J3244*K3244</f>
        <v>18000</v>
      </c>
    </row>
    <row r="3245" spans="5:13" ht="15" customHeight="1">
      <c r="F3245" s="306"/>
      <c r="G3245" s="301" t="s">
        <v>174</v>
      </c>
      <c r="H3245" s="307" t="s">
        <v>175</v>
      </c>
      <c r="I3245" s="307" t="s">
        <v>171</v>
      </c>
      <c r="J3245" s="308">
        <v>1.2E-2</v>
      </c>
      <c r="K3245" s="309">
        <f>VLOOKUP(G3245,Upah,8,FALSE)</f>
        <v>165000</v>
      </c>
      <c r="L3245" s="310">
        <f>J3245*K3245</f>
        <v>1980</v>
      </c>
    </row>
    <row r="3246" spans="5:13" ht="15" customHeight="1" thickBot="1">
      <c r="F3246" s="306"/>
      <c r="G3246" s="301" t="s">
        <v>176</v>
      </c>
      <c r="H3246" s="307" t="s">
        <v>177</v>
      </c>
      <c r="I3246" s="307" t="s">
        <v>171</v>
      </c>
      <c r="J3246" s="308">
        <v>1.7999999999999999E-2</v>
      </c>
      <c r="K3246" s="309">
        <f>VLOOKUP(G3246,Upah,8,FALSE)</f>
        <v>170000</v>
      </c>
      <c r="L3246" s="310">
        <f>J3246*K3246</f>
        <v>3059.9999999999995</v>
      </c>
    </row>
    <row r="3247" spans="5:13" ht="15" customHeight="1" thickBot="1">
      <c r="F3247" s="316"/>
      <c r="G3247" s="317"/>
      <c r="H3247" s="318"/>
      <c r="I3247" s="318"/>
      <c r="J3247" s="319" t="s">
        <v>178</v>
      </c>
      <c r="K3247" s="320"/>
      <c r="L3247" s="321">
        <f>SUM(L3243:L3246)</f>
        <v>68040</v>
      </c>
    </row>
    <row r="3248" spans="5:13" ht="15" customHeight="1">
      <c r="F3248" s="300" t="s">
        <v>179</v>
      </c>
      <c r="G3248" s="301" t="s">
        <v>180</v>
      </c>
      <c r="H3248" s="302"/>
      <c r="I3248" s="302"/>
      <c r="J3248" s="351"/>
      <c r="K3248" s="328"/>
      <c r="L3248" s="310"/>
    </row>
    <row r="3249" spans="5:13" ht="15" customHeight="1">
      <c r="F3249" s="306"/>
      <c r="G3249" s="301" t="s">
        <v>183</v>
      </c>
      <c r="H3249" s="302"/>
      <c r="I3249" s="307" t="s">
        <v>44</v>
      </c>
      <c r="J3249" s="308">
        <v>8.9999999999999993E-3</v>
      </c>
      <c r="K3249" s="328">
        <f>VLOOKUP(G3249,Bahan,6,FALSE)</f>
        <v>1880</v>
      </c>
      <c r="L3249" s="310">
        <f>J3249*K3249</f>
        <v>16.919999999999998</v>
      </c>
    </row>
    <row r="3250" spans="5:13" ht="15" customHeight="1">
      <c r="F3250" s="306"/>
      <c r="G3250" s="301" t="s">
        <v>699</v>
      </c>
      <c r="H3250" s="302"/>
      <c r="I3250" s="307" t="s">
        <v>44</v>
      </c>
      <c r="J3250" s="308">
        <v>8.9999999999999993E-3</v>
      </c>
      <c r="K3250" s="328">
        <f>VLOOKUP(G3250,Bahan,6,FALSE)</f>
        <v>529200</v>
      </c>
      <c r="L3250" s="310">
        <f>J3250*K3250</f>
        <v>4762.7999999999993</v>
      </c>
    </row>
    <row r="3251" spans="5:13" ht="15" customHeight="1" thickBot="1">
      <c r="F3251" s="306"/>
      <c r="G3251" s="301" t="s">
        <v>296</v>
      </c>
      <c r="H3251" s="302"/>
      <c r="I3251" s="307" t="s">
        <v>44</v>
      </c>
      <c r="J3251" s="308">
        <v>8.9999999999999993E-3</v>
      </c>
      <c r="K3251" s="328">
        <f>VLOOKUP(G3251,Bahan,6,FALSE)</f>
        <v>253510</v>
      </c>
      <c r="L3251" s="310">
        <f>J3251*K3251</f>
        <v>2281.5899999999997</v>
      </c>
    </row>
    <row r="3252" spans="5:13" ht="15" customHeight="1" thickBot="1">
      <c r="F3252" s="316"/>
      <c r="G3252" s="317"/>
      <c r="H3252" s="318"/>
      <c r="I3252" s="318"/>
      <c r="J3252" s="319" t="s">
        <v>189</v>
      </c>
      <c r="K3252" s="320"/>
      <c r="L3252" s="321">
        <f>SUM(L3249:L3251)</f>
        <v>7061.3099999999995</v>
      </c>
    </row>
    <row r="3253" spans="5:13" ht="15" customHeight="1" thickBot="1">
      <c r="F3253" s="300" t="s">
        <v>190</v>
      </c>
      <c r="G3253" s="301" t="s">
        <v>191</v>
      </c>
      <c r="H3253" s="302"/>
      <c r="I3253" s="302"/>
      <c r="J3253" s="351"/>
      <c r="K3253" s="328">
        <v>0</v>
      </c>
      <c r="L3253" s="310">
        <f>J3253*K3253</f>
        <v>0</v>
      </c>
    </row>
    <row r="3254" spans="5:13" ht="15" customHeight="1" thickBot="1">
      <c r="F3254" s="316"/>
      <c r="G3254" s="317"/>
      <c r="H3254" s="318"/>
      <c r="I3254" s="318"/>
      <c r="J3254" s="319" t="s">
        <v>192</v>
      </c>
      <c r="K3254" s="320"/>
      <c r="L3254" s="321">
        <f>L3253</f>
        <v>0</v>
      </c>
    </row>
    <row r="3255" spans="5:13" ht="15" customHeight="1">
      <c r="F3255" s="344" t="s">
        <v>193</v>
      </c>
      <c r="G3255" s="345" t="s">
        <v>194</v>
      </c>
      <c r="H3255" s="346"/>
      <c r="I3255" s="346"/>
      <c r="J3255" s="347"/>
      <c r="K3255" s="348">
        <v>0</v>
      </c>
      <c r="L3255" s="310">
        <f>SUM(L3242:L3254)/2</f>
        <v>75101.31</v>
      </c>
    </row>
    <row r="3256" spans="5:13" ht="15" customHeight="1" thickBot="1">
      <c r="F3256" s="331" t="s">
        <v>195</v>
      </c>
      <c r="G3256" s="332" t="s">
        <v>196</v>
      </c>
      <c r="H3256" s="333"/>
      <c r="I3256" s="333"/>
      <c r="J3256" s="350">
        <v>0.1</v>
      </c>
      <c r="K3256" s="335"/>
      <c r="L3256" s="330">
        <f>J3256*L3255</f>
        <v>7510.1310000000003</v>
      </c>
    </row>
    <row r="3257" spans="5:13" ht="15" customHeight="1" thickBot="1">
      <c r="F3257" s="340" t="s">
        <v>197</v>
      </c>
      <c r="G3257" s="341" t="s">
        <v>198</v>
      </c>
      <c r="H3257" s="318"/>
      <c r="I3257" s="318"/>
      <c r="J3257" s="342"/>
      <c r="K3257" s="320">
        <v>0</v>
      </c>
      <c r="L3257" s="321">
        <f>ROUNDDOWN(L3255+L3256,0)</f>
        <v>82611</v>
      </c>
    </row>
    <row r="3258" spans="5:13" ht="15" customHeight="1">
      <c r="F3258" s="298"/>
      <c r="G3258" s="298"/>
      <c r="J3258" s="343"/>
    </row>
    <row r="3259" spans="5:13" ht="15" customHeight="1" thickBot="1">
      <c r="E3259" s="356" t="s">
        <v>704</v>
      </c>
      <c r="F3259" s="298" t="s">
        <v>705</v>
      </c>
      <c r="J3259" s="343"/>
      <c r="M3259" s="299">
        <f>L3276</f>
        <v>83116</v>
      </c>
    </row>
    <row r="3260" spans="5:13" ht="15" customHeight="1" thickBot="1">
      <c r="F3260" s="340" t="s">
        <v>136</v>
      </c>
      <c r="G3260" s="341" t="s">
        <v>162</v>
      </c>
      <c r="H3260" s="352" t="s">
        <v>163</v>
      </c>
      <c r="I3260" s="352" t="s">
        <v>138</v>
      </c>
      <c r="J3260" s="353" t="s">
        <v>164</v>
      </c>
      <c r="K3260" s="341" t="s">
        <v>165</v>
      </c>
      <c r="L3260" s="354" t="s">
        <v>166</v>
      </c>
    </row>
    <row r="3261" spans="5:13" ht="15" customHeight="1">
      <c r="F3261" s="300" t="s">
        <v>167</v>
      </c>
      <c r="G3261" s="301" t="s">
        <v>168</v>
      </c>
      <c r="H3261" s="302"/>
      <c r="I3261" s="302"/>
      <c r="J3261" s="351"/>
      <c r="K3261" s="328"/>
      <c r="L3261" s="310"/>
    </row>
    <row r="3262" spans="5:13" ht="15" customHeight="1">
      <c r="F3262" s="306"/>
      <c r="G3262" s="301" t="s">
        <v>169</v>
      </c>
      <c r="H3262" s="307" t="s">
        <v>170</v>
      </c>
      <c r="I3262" s="307" t="s">
        <v>171</v>
      </c>
      <c r="J3262" s="308">
        <v>0.36</v>
      </c>
      <c r="K3262" s="309">
        <f>VLOOKUP(G3262,Upah,8,FALSE)</f>
        <v>125000</v>
      </c>
      <c r="L3262" s="310">
        <f>J3262*K3262</f>
        <v>45000</v>
      </c>
    </row>
    <row r="3263" spans="5:13" ht="15" customHeight="1">
      <c r="F3263" s="306"/>
      <c r="G3263" s="301" t="s">
        <v>308</v>
      </c>
      <c r="H3263" s="307" t="s">
        <v>217</v>
      </c>
      <c r="I3263" s="307" t="s">
        <v>171</v>
      </c>
      <c r="J3263" s="308">
        <v>0.12</v>
      </c>
      <c r="K3263" s="309">
        <f>VLOOKUP(G3263,Upah,8,FALSE)</f>
        <v>150000</v>
      </c>
      <c r="L3263" s="310">
        <f>J3263*K3263</f>
        <v>18000</v>
      </c>
    </row>
    <row r="3264" spans="5:13" ht="15" customHeight="1">
      <c r="F3264" s="306"/>
      <c r="G3264" s="301" t="s">
        <v>174</v>
      </c>
      <c r="H3264" s="307" t="s">
        <v>175</v>
      </c>
      <c r="I3264" s="307" t="s">
        <v>171</v>
      </c>
      <c r="J3264" s="308">
        <v>1.2E-2</v>
      </c>
      <c r="K3264" s="309">
        <f>VLOOKUP(G3264,Upah,8,FALSE)</f>
        <v>165000</v>
      </c>
      <c r="L3264" s="310">
        <f>J3264*K3264</f>
        <v>1980</v>
      </c>
    </row>
    <row r="3265" spans="5:13" ht="15" customHeight="1" thickBot="1">
      <c r="F3265" s="306"/>
      <c r="G3265" s="301" t="s">
        <v>176</v>
      </c>
      <c r="H3265" s="307" t="s">
        <v>177</v>
      </c>
      <c r="I3265" s="307" t="s">
        <v>171</v>
      </c>
      <c r="J3265" s="308">
        <v>1.7999999999999999E-2</v>
      </c>
      <c r="K3265" s="309">
        <f>VLOOKUP(G3265,Upah,8,FALSE)</f>
        <v>170000</v>
      </c>
      <c r="L3265" s="310">
        <f>J3265*K3265</f>
        <v>3059.9999999999995</v>
      </c>
    </row>
    <row r="3266" spans="5:13" ht="15" customHeight="1" thickBot="1">
      <c r="F3266" s="316"/>
      <c r="G3266" s="317"/>
      <c r="H3266" s="318"/>
      <c r="I3266" s="318"/>
      <c r="J3266" s="319" t="s">
        <v>178</v>
      </c>
      <c r="K3266" s="320"/>
      <c r="L3266" s="321">
        <f>SUM(L3262:L3265)</f>
        <v>68040</v>
      </c>
    </row>
    <row r="3267" spans="5:13" ht="15" customHeight="1">
      <c r="F3267" s="300" t="s">
        <v>179</v>
      </c>
      <c r="G3267" s="301" t="s">
        <v>180</v>
      </c>
      <c r="H3267" s="302"/>
      <c r="I3267" s="302"/>
      <c r="J3267" s="351"/>
      <c r="K3267" s="328"/>
      <c r="L3267" s="310"/>
    </row>
    <row r="3268" spans="5:13" ht="15" customHeight="1">
      <c r="F3268" s="306"/>
      <c r="G3268" s="301" t="s">
        <v>183</v>
      </c>
      <c r="H3268" s="302"/>
      <c r="I3268" s="307" t="s">
        <v>44</v>
      </c>
      <c r="J3268" s="308">
        <v>7.0000000000000001E-3</v>
      </c>
      <c r="K3268" s="328">
        <f>VLOOKUP(G3268,Bahan,6,FALSE)</f>
        <v>1880</v>
      </c>
      <c r="L3268" s="310">
        <f>J3268*K3268</f>
        <v>13.16</v>
      </c>
    </row>
    <row r="3269" spans="5:13" ht="15" customHeight="1">
      <c r="F3269" s="306"/>
      <c r="G3269" s="301" t="s">
        <v>699</v>
      </c>
      <c r="H3269" s="302"/>
      <c r="I3269" s="307" t="s">
        <v>44</v>
      </c>
      <c r="J3269" s="308">
        <v>7.0000000000000001E-3</v>
      </c>
      <c r="K3269" s="328">
        <f>VLOOKUP(G3269,Bahan,6,FALSE)</f>
        <v>529200</v>
      </c>
      <c r="L3269" s="310">
        <f>J3269*K3269</f>
        <v>3704.4</v>
      </c>
    </row>
    <row r="3270" spans="5:13" ht="15" customHeight="1" thickBot="1">
      <c r="F3270" s="306"/>
      <c r="G3270" s="301" t="s">
        <v>296</v>
      </c>
      <c r="H3270" s="302"/>
      <c r="I3270" s="307" t="s">
        <v>44</v>
      </c>
      <c r="J3270" s="308">
        <v>1.4999999999999999E-2</v>
      </c>
      <c r="K3270" s="328">
        <f>VLOOKUP(G3270,Bahan,6,FALSE)</f>
        <v>253510</v>
      </c>
      <c r="L3270" s="310">
        <f>J3270*K3270</f>
        <v>3802.6499999999996</v>
      </c>
    </row>
    <row r="3271" spans="5:13" ht="15" customHeight="1" thickBot="1">
      <c r="F3271" s="316"/>
      <c r="G3271" s="317"/>
      <c r="H3271" s="318"/>
      <c r="I3271" s="318"/>
      <c r="J3271" s="319" t="s">
        <v>189</v>
      </c>
      <c r="K3271" s="320"/>
      <c r="L3271" s="321">
        <f>SUM(L3268:L3270)</f>
        <v>7520.2099999999991</v>
      </c>
    </row>
    <row r="3272" spans="5:13" ht="15" customHeight="1" thickBot="1">
      <c r="F3272" s="300" t="s">
        <v>190</v>
      </c>
      <c r="G3272" s="301" t="s">
        <v>191</v>
      </c>
      <c r="H3272" s="302"/>
      <c r="I3272" s="302"/>
      <c r="J3272" s="351"/>
      <c r="K3272" s="328">
        <v>0</v>
      </c>
      <c r="L3272" s="310">
        <f>J3272*K3272</f>
        <v>0</v>
      </c>
    </row>
    <row r="3273" spans="5:13" ht="15" customHeight="1" thickBot="1">
      <c r="F3273" s="316"/>
      <c r="G3273" s="317"/>
      <c r="H3273" s="318"/>
      <c r="I3273" s="318"/>
      <c r="J3273" s="319" t="s">
        <v>192</v>
      </c>
      <c r="K3273" s="320"/>
      <c r="L3273" s="321">
        <f>L3272</f>
        <v>0</v>
      </c>
    </row>
    <row r="3274" spans="5:13" ht="15" customHeight="1">
      <c r="F3274" s="344" t="s">
        <v>193</v>
      </c>
      <c r="G3274" s="345" t="s">
        <v>194</v>
      </c>
      <c r="H3274" s="346"/>
      <c r="I3274" s="346"/>
      <c r="J3274" s="347"/>
      <c r="K3274" s="348">
        <v>0</v>
      </c>
      <c r="L3274" s="310">
        <f>SUM(L3262:L3273)/2</f>
        <v>75560.209999999992</v>
      </c>
    </row>
    <row r="3275" spans="5:13" ht="15" customHeight="1" thickBot="1">
      <c r="F3275" s="331" t="s">
        <v>195</v>
      </c>
      <c r="G3275" s="332" t="s">
        <v>196</v>
      </c>
      <c r="H3275" s="333"/>
      <c r="I3275" s="333"/>
      <c r="J3275" s="350">
        <v>0.1</v>
      </c>
      <c r="K3275" s="335"/>
      <c r="L3275" s="330">
        <f>J3275*L3274</f>
        <v>7556.0209999999997</v>
      </c>
    </row>
    <row r="3276" spans="5:13" ht="15" customHeight="1" thickBot="1">
      <c r="F3276" s="340" t="s">
        <v>197</v>
      </c>
      <c r="G3276" s="341" t="s">
        <v>198</v>
      </c>
      <c r="H3276" s="318"/>
      <c r="I3276" s="318"/>
      <c r="J3276" s="342"/>
      <c r="K3276" s="320">
        <v>0</v>
      </c>
      <c r="L3276" s="321">
        <f>ROUNDDOWN(L3274+L3275,0)</f>
        <v>83116</v>
      </c>
    </row>
    <row r="3277" spans="5:13" ht="15" customHeight="1">
      <c r="F3277" s="298"/>
      <c r="G3277" s="298"/>
      <c r="J3277" s="343"/>
    </row>
    <row r="3278" spans="5:13" ht="15" customHeight="1" thickBot="1">
      <c r="E3278" s="356" t="s">
        <v>706</v>
      </c>
      <c r="F3278" s="295" t="s">
        <v>707</v>
      </c>
      <c r="J3278" s="343"/>
      <c r="M3278" s="299">
        <f>L3294</f>
        <v>131464</v>
      </c>
    </row>
    <row r="3279" spans="5:13" ht="15" customHeight="1" thickBot="1">
      <c r="F3279" s="340" t="s">
        <v>136</v>
      </c>
      <c r="G3279" s="341" t="s">
        <v>162</v>
      </c>
      <c r="H3279" s="352" t="s">
        <v>163</v>
      </c>
      <c r="I3279" s="352" t="s">
        <v>138</v>
      </c>
      <c r="J3279" s="353" t="s">
        <v>164</v>
      </c>
      <c r="K3279" s="341" t="s">
        <v>165</v>
      </c>
      <c r="L3279" s="354" t="s">
        <v>166</v>
      </c>
    </row>
    <row r="3280" spans="5:13" ht="15" customHeight="1">
      <c r="F3280" s="300" t="s">
        <v>167</v>
      </c>
      <c r="G3280" s="301" t="s">
        <v>168</v>
      </c>
      <c r="H3280" s="302"/>
      <c r="I3280" s="302"/>
      <c r="J3280" s="351"/>
      <c r="K3280" s="328"/>
      <c r="L3280" s="310"/>
    </row>
    <row r="3281" spans="5:13" ht="15" customHeight="1">
      <c r="F3281" s="306"/>
      <c r="G3281" s="301" t="s">
        <v>169</v>
      </c>
      <c r="H3281" s="307" t="s">
        <v>170</v>
      </c>
      <c r="I3281" s="307" t="s">
        <v>171</v>
      </c>
      <c r="J3281" s="308">
        <v>0.4</v>
      </c>
      <c r="K3281" s="309">
        <f>VLOOKUP(G3281,Upah,8,FALSE)</f>
        <v>125000</v>
      </c>
      <c r="L3281" s="310">
        <f>J3281*K3281</f>
        <v>50000</v>
      </c>
    </row>
    <row r="3282" spans="5:13" ht="15" customHeight="1">
      <c r="F3282" s="306"/>
      <c r="G3282" s="301" t="s">
        <v>308</v>
      </c>
      <c r="H3282" s="307" t="s">
        <v>217</v>
      </c>
      <c r="I3282" s="307" t="s">
        <v>171</v>
      </c>
      <c r="J3282" s="308">
        <v>0.2</v>
      </c>
      <c r="K3282" s="309">
        <f>VLOOKUP(G3282,Upah,8,FALSE)</f>
        <v>150000</v>
      </c>
      <c r="L3282" s="310">
        <f>J3282*K3282</f>
        <v>30000</v>
      </c>
    </row>
    <row r="3283" spans="5:13" ht="15" customHeight="1">
      <c r="F3283" s="306"/>
      <c r="G3283" s="301" t="s">
        <v>174</v>
      </c>
      <c r="H3283" s="307" t="s">
        <v>175</v>
      </c>
      <c r="I3283" s="307" t="s">
        <v>171</v>
      </c>
      <c r="J3283" s="308">
        <v>0.02</v>
      </c>
      <c r="K3283" s="309">
        <f>VLOOKUP(G3283,Upah,8,FALSE)</f>
        <v>165000</v>
      </c>
      <c r="L3283" s="310">
        <f>J3283*K3283</f>
        <v>3300</v>
      </c>
    </row>
    <row r="3284" spans="5:13" ht="15" customHeight="1" thickBot="1">
      <c r="F3284" s="306"/>
      <c r="G3284" s="301" t="s">
        <v>176</v>
      </c>
      <c r="H3284" s="307" t="s">
        <v>177</v>
      </c>
      <c r="I3284" s="307" t="s">
        <v>171</v>
      </c>
      <c r="J3284" s="308">
        <v>2.1999999999999999E-2</v>
      </c>
      <c r="K3284" s="309">
        <f>VLOOKUP(G3284,Upah,8,FALSE)</f>
        <v>170000</v>
      </c>
      <c r="L3284" s="310">
        <f>J3284*K3284</f>
        <v>3740</v>
      </c>
    </row>
    <row r="3285" spans="5:13" ht="15" customHeight="1" thickBot="1">
      <c r="F3285" s="316"/>
      <c r="G3285" s="317"/>
      <c r="H3285" s="318"/>
      <c r="I3285" s="318"/>
      <c r="J3285" s="319" t="s">
        <v>178</v>
      </c>
      <c r="K3285" s="320"/>
      <c r="L3285" s="321">
        <f>SUM(L3281:L3284)</f>
        <v>87040</v>
      </c>
    </row>
    <row r="3286" spans="5:13" ht="15" customHeight="1">
      <c r="F3286" s="300" t="s">
        <v>179</v>
      </c>
      <c r="G3286" s="301" t="s">
        <v>180</v>
      </c>
      <c r="H3286" s="302"/>
      <c r="I3286" s="302"/>
      <c r="J3286" s="351"/>
      <c r="K3286" s="328"/>
      <c r="L3286" s="310"/>
    </row>
    <row r="3287" spans="5:13" ht="15" customHeight="1">
      <c r="F3287" s="306"/>
      <c r="G3287" s="301" t="s">
        <v>183</v>
      </c>
      <c r="H3287" s="302"/>
      <c r="I3287" s="307" t="s">
        <v>45</v>
      </c>
      <c r="J3287" s="308">
        <v>13.632</v>
      </c>
      <c r="K3287" s="328">
        <f>VLOOKUP(G3287,Bahan,6,FALSE)</f>
        <v>1880</v>
      </c>
      <c r="L3287" s="310">
        <f>J3287*K3287</f>
        <v>25628.16</v>
      </c>
    </row>
    <row r="3288" spans="5:13" ht="15" customHeight="1" thickBot="1">
      <c r="F3288" s="306"/>
      <c r="G3288" s="301" t="s">
        <v>296</v>
      </c>
      <c r="H3288" s="302"/>
      <c r="I3288" s="307" t="s">
        <v>44</v>
      </c>
      <c r="J3288" s="308">
        <v>2.7E-2</v>
      </c>
      <c r="K3288" s="328">
        <f>VLOOKUP(G3288,Bahan,6,FALSE)</f>
        <v>253510</v>
      </c>
      <c r="L3288" s="310">
        <f>J3288*K3288</f>
        <v>6844.7699999999995</v>
      </c>
    </row>
    <row r="3289" spans="5:13" ht="15" customHeight="1" thickBot="1">
      <c r="F3289" s="316"/>
      <c r="G3289" s="317"/>
      <c r="H3289" s="318"/>
      <c r="I3289" s="318"/>
      <c r="J3289" s="319" t="s">
        <v>189</v>
      </c>
      <c r="K3289" s="320"/>
      <c r="L3289" s="321">
        <f>SUM(L3287:L3288)</f>
        <v>32472.93</v>
      </c>
    </row>
    <row r="3290" spans="5:13" ht="15" customHeight="1" thickBot="1">
      <c r="F3290" s="300" t="s">
        <v>190</v>
      </c>
      <c r="G3290" s="301" t="s">
        <v>191</v>
      </c>
      <c r="H3290" s="302"/>
      <c r="I3290" s="302"/>
      <c r="J3290" s="351"/>
      <c r="K3290" s="328">
        <v>0</v>
      </c>
      <c r="L3290" s="310">
        <f>J3290*K3290</f>
        <v>0</v>
      </c>
    </row>
    <row r="3291" spans="5:13" ht="15" customHeight="1" thickBot="1">
      <c r="F3291" s="316"/>
      <c r="G3291" s="317"/>
      <c r="H3291" s="318"/>
      <c r="I3291" s="318"/>
      <c r="J3291" s="319" t="s">
        <v>192</v>
      </c>
      <c r="K3291" s="320"/>
      <c r="L3291" s="321">
        <f>L3290</f>
        <v>0</v>
      </c>
    </row>
    <row r="3292" spans="5:13" ht="15" customHeight="1">
      <c r="F3292" s="344" t="s">
        <v>193</v>
      </c>
      <c r="G3292" s="345" t="s">
        <v>194</v>
      </c>
      <c r="H3292" s="346"/>
      <c r="I3292" s="346"/>
      <c r="J3292" s="347"/>
      <c r="K3292" s="348">
        <v>0</v>
      </c>
      <c r="L3292" s="310">
        <f>SUM(L3281:L3291)/2</f>
        <v>119512.93</v>
      </c>
    </row>
    <row r="3293" spans="5:13" ht="15" customHeight="1" thickBot="1">
      <c r="F3293" s="331" t="s">
        <v>195</v>
      </c>
      <c r="G3293" s="332" t="s">
        <v>196</v>
      </c>
      <c r="H3293" s="333"/>
      <c r="I3293" s="333"/>
      <c r="J3293" s="350">
        <v>0.1</v>
      </c>
      <c r="K3293" s="335"/>
      <c r="L3293" s="330">
        <f>J3293*L3292</f>
        <v>11951.293</v>
      </c>
    </row>
    <row r="3294" spans="5:13" ht="15" customHeight="1" thickBot="1">
      <c r="F3294" s="340" t="s">
        <v>197</v>
      </c>
      <c r="G3294" s="341" t="s">
        <v>198</v>
      </c>
      <c r="H3294" s="318"/>
      <c r="I3294" s="318"/>
      <c r="J3294" s="342"/>
      <c r="K3294" s="320">
        <v>0</v>
      </c>
      <c r="L3294" s="321">
        <f>ROUNDDOWN(L3292+L3293,0)</f>
        <v>131464</v>
      </c>
    </row>
    <row r="3295" spans="5:13" ht="15" customHeight="1">
      <c r="F3295" s="298"/>
      <c r="G3295" s="298"/>
      <c r="J3295" s="343"/>
    </row>
    <row r="3296" spans="5:13" ht="15" customHeight="1" thickBot="1">
      <c r="E3296" s="356" t="s">
        <v>708</v>
      </c>
      <c r="F3296" s="295" t="s">
        <v>709</v>
      </c>
      <c r="J3296" s="343"/>
      <c r="M3296" s="299">
        <f>L3312</f>
        <v>104896</v>
      </c>
    </row>
    <row r="3297" spans="6:12" ht="15" customHeight="1" thickBot="1">
      <c r="F3297" s="340" t="s">
        <v>136</v>
      </c>
      <c r="G3297" s="341" t="s">
        <v>162</v>
      </c>
      <c r="H3297" s="352" t="s">
        <v>163</v>
      </c>
      <c r="I3297" s="352" t="s">
        <v>138</v>
      </c>
      <c r="J3297" s="353" t="s">
        <v>164</v>
      </c>
      <c r="K3297" s="341" t="s">
        <v>165</v>
      </c>
      <c r="L3297" s="354" t="s">
        <v>166</v>
      </c>
    </row>
    <row r="3298" spans="6:12" ht="15" customHeight="1">
      <c r="F3298" s="300" t="s">
        <v>167</v>
      </c>
      <c r="G3298" s="301" t="s">
        <v>168</v>
      </c>
      <c r="H3298" s="302"/>
      <c r="I3298" s="302"/>
      <c r="J3298" s="351"/>
      <c r="K3298" s="328"/>
      <c r="L3298" s="310"/>
    </row>
    <row r="3299" spans="6:12" ht="15" customHeight="1">
      <c r="F3299" s="306"/>
      <c r="G3299" s="301" t="s">
        <v>169</v>
      </c>
      <c r="H3299" s="307" t="s">
        <v>170</v>
      </c>
      <c r="I3299" s="307" t="s">
        <v>171</v>
      </c>
      <c r="J3299" s="308">
        <v>0.26</v>
      </c>
      <c r="K3299" s="309">
        <f>VLOOKUP(G3299,Upah,8,FALSE)</f>
        <v>125000</v>
      </c>
      <c r="L3299" s="310">
        <f>J3299*K3299</f>
        <v>32500</v>
      </c>
    </row>
    <row r="3300" spans="6:12" ht="15" customHeight="1">
      <c r="F3300" s="306"/>
      <c r="G3300" s="301" t="s">
        <v>308</v>
      </c>
      <c r="H3300" s="307" t="s">
        <v>217</v>
      </c>
      <c r="I3300" s="307" t="s">
        <v>171</v>
      </c>
      <c r="J3300" s="308">
        <v>0.2</v>
      </c>
      <c r="K3300" s="309">
        <f>VLOOKUP(G3300,Upah,8,FALSE)</f>
        <v>150000</v>
      </c>
      <c r="L3300" s="310">
        <f>J3300*K3300</f>
        <v>30000</v>
      </c>
    </row>
    <row r="3301" spans="6:12" ht="15" customHeight="1">
      <c r="F3301" s="306"/>
      <c r="G3301" s="301" t="s">
        <v>174</v>
      </c>
      <c r="H3301" s="307" t="s">
        <v>175</v>
      </c>
      <c r="I3301" s="307" t="s">
        <v>171</v>
      </c>
      <c r="J3301" s="308">
        <v>0.02</v>
      </c>
      <c r="K3301" s="309">
        <f>VLOOKUP(G3301,Upah,8,FALSE)</f>
        <v>165000</v>
      </c>
      <c r="L3301" s="310">
        <f>J3301*K3301</f>
        <v>3300</v>
      </c>
    </row>
    <row r="3302" spans="6:12" ht="15" customHeight="1" thickBot="1">
      <c r="F3302" s="306"/>
      <c r="G3302" s="301" t="s">
        <v>176</v>
      </c>
      <c r="H3302" s="307" t="s">
        <v>177</v>
      </c>
      <c r="I3302" s="307" t="s">
        <v>171</v>
      </c>
      <c r="J3302" s="308">
        <v>1.2999999999999999E-2</v>
      </c>
      <c r="K3302" s="309">
        <f>VLOOKUP(G3302,Upah,8,FALSE)</f>
        <v>170000</v>
      </c>
      <c r="L3302" s="310">
        <f>J3302*K3302</f>
        <v>2210</v>
      </c>
    </row>
    <row r="3303" spans="6:12" ht="15" customHeight="1" thickBot="1">
      <c r="F3303" s="316"/>
      <c r="G3303" s="317"/>
      <c r="H3303" s="318"/>
      <c r="I3303" s="318"/>
      <c r="J3303" s="319" t="s">
        <v>178</v>
      </c>
      <c r="K3303" s="320"/>
      <c r="L3303" s="321">
        <f>SUM(L3299:L3302)</f>
        <v>68010</v>
      </c>
    </row>
    <row r="3304" spans="6:12" ht="15" customHeight="1">
      <c r="F3304" s="300" t="s">
        <v>179</v>
      </c>
      <c r="G3304" s="301" t="s">
        <v>180</v>
      </c>
      <c r="H3304" s="302"/>
      <c r="I3304" s="302"/>
      <c r="J3304" s="351"/>
      <c r="K3304" s="328"/>
      <c r="L3304" s="310"/>
    </row>
    <row r="3305" spans="6:12" ht="15" customHeight="1">
      <c r="F3305" s="306"/>
      <c r="G3305" s="301" t="s">
        <v>183</v>
      </c>
      <c r="H3305" s="302"/>
      <c r="I3305" s="307" t="s">
        <v>45</v>
      </c>
      <c r="J3305" s="308">
        <v>10.368</v>
      </c>
      <c r="K3305" s="328">
        <f>VLOOKUP(G3305,Bahan,6,FALSE)</f>
        <v>1880</v>
      </c>
      <c r="L3305" s="310">
        <f>J3305*K3305</f>
        <v>19491.84</v>
      </c>
    </row>
    <row r="3306" spans="6:12" ht="15" customHeight="1" thickBot="1">
      <c r="F3306" s="306"/>
      <c r="G3306" s="301" t="s">
        <v>296</v>
      </c>
      <c r="H3306" s="302"/>
      <c r="I3306" s="307" t="s">
        <v>44</v>
      </c>
      <c r="J3306" s="308">
        <v>3.1E-2</v>
      </c>
      <c r="K3306" s="328">
        <f>VLOOKUP(G3306,Bahan,6,FALSE)</f>
        <v>253510</v>
      </c>
      <c r="L3306" s="310">
        <f>J3306*K3306</f>
        <v>7858.8099999999995</v>
      </c>
    </row>
    <row r="3307" spans="6:12" ht="15" customHeight="1" thickBot="1">
      <c r="F3307" s="316"/>
      <c r="G3307" s="317"/>
      <c r="H3307" s="318"/>
      <c r="I3307" s="318"/>
      <c r="J3307" s="319" t="s">
        <v>189</v>
      </c>
      <c r="K3307" s="320"/>
      <c r="L3307" s="321">
        <f>SUM(L3305:L3306)</f>
        <v>27350.65</v>
      </c>
    </row>
    <row r="3308" spans="6:12" ht="15" customHeight="1" thickBot="1">
      <c r="F3308" s="300" t="s">
        <v>190</v>
      </c>
      <c r="G3308" s="301" t="s">
        <v>191</v>
      </c>
      <c r="H3308" s="302"/>
      <c r="I3308" s="302"/>
      <c r="J3308" s="351"/>
      <c r="K3308" s="328">
        <v>0</v>
      </c>
      <c r="L3308" s="310">
        <f>J3308*K3308</f>
        <v>0</v>
      </c>
    </row>
    <row r="3309" spans="6:12" ht="15" customHeight="1" thickBot="1">
      <c r="F3309" s="316"/>
      <c r="G3309" s="317"/>
      <c r="H3309" s="318"/>
      <c r="I3309" s="318"/>
      <c r="J3309" s="319" t="s">
        <v>192</v>
      </c>
      <c r="K3309" s="320"/>
      <c r="L3309" s="321">
        <f>L3308</f>
        <v>0</v>
      </c>
    </row>
    <row r="3310" spans="6:12" ht="15" customHeight="1">
      <c r="F3310" s="344" t="s">
        <v>193</v>
      </c>
      <c r="G3310" s="345" t="s">
        <v>194</v>
      </c>
      <c r="H3310" s="346"/>
      <c r="I3310" s="346"/>
      <c r="J3310" s="347"/>
      <c r="K3310" s="348">
        <v>0</v>
      </c>
      <c r="L3310" s="310">
        <f>SUM(L3299:L3309)/2</f>
        <v>95360.65</v>
      </c>
    </row>
    <row r="3311" spans="6:12" ht="15" customHeight="1" thickBot="1">
      <c r="F3311" s="331" t="s">
        <v>195</v>
      </c>
      <c r="G3311" s="332" t="s">
        <v>196</v>
      </c>
      <c r="H3311" s="333"/>
      <c r="I3311" s="333"/>
      <c r="J3311" s="350">
        <v>0.1</v>
      </c>
      <c r="K3311" s="335"/>
      <c r="L3311" s="330">
        <f>J3311*L3310</f>
        <v>9536.0650000000005</v>
      </c>
    </row>
    <row r="3312" spans="6:12" ht="15" customHeight="1" thickBot="1">
      <c r="F3312" s="340" t="s">
        <v>197</v>
      </c>
      <c r="G3312" s="341" t="s">
        <v>198</v>
      </c>
      <c r="H3312" s="318"/>
      <c r="I3312" s="318"/>
      <c r="J3312" s="342"/>
      <c r="K3312" s="320">
        <v>0</v>
      </c>
      <c r="L3312" s="321">
        <f>ROUNDDOWN(L3310+L3311,0)</f>
        <v>104896</v>
      </c>
    </row>
    <row r="3313" spans="5:13" ht="15" customHeight="1">
      <c r="F3313" s="298"/>
      <c r="G3313" s="298"/>
      <c r="J3313" s="343"/>
    </row>
    <row r="3314" spans="5:13" ht="15" customHeight="1" thickBot="1">
      <c r="E3314" s="356" t="s">
        <v>710</v>
      </c>
      <c r="F3314" s="295" t="s">
        <v>711</v>
      </c>
      <c r="J3314" s="343"/>
      <c r="M3314" s="299">
        <f>L3330</f>
        <v>121873</v>
      </c>
    </row>
    <row r="3315" spans="5:13" ht="15" customHeight="1" thickBot="1">
      <c r="F3315" s="340" t="s">
        <v>136</v>
      </c>
      <c r="G3315" s="341" t="s">
        <v>162</v>
      </c>
      <c r="H3315" s="352" t="s">
        <v>163</v>
      </c>
      <c r="I3315" s="352" t="s">
        <v>138</v>
      </c>
      <c r="J3315" s="353" t="s">
        <v>164</v>
      </c>
      <c r="K3315" s="341" t="s">
        <v>165</v>
      </c>
      <c r="L3315" s="354" t="s">
        <v>166</v>
      </c>
    </row>
    <row r="3316" spans="5:13" ht="15" customHeight="1">
      <c r="F3316" s="300" t="s">
        <v>167</v>
      </c>
      <c r="G3316" s="301" t="s">
        <v>168</v>
      </c>
      <c r="H3316" s="302"/>
      <c r="I3316" s="302"/>
      <c r="J3316" s="351"/>
      <c r="K3316" s="328"/>
      <c r="L3316" s="310"/>
    </row>
    <row r="3317" spans="5:13" ht="15" customHeight="1">
      <c r="F3317" s="306"/>
      <c r="G3317" s="301" t="s">
        <v>169</v>
      </c>
      <c r="H3317" s="307" t="s">
        <v>170</v>
      </c>
      <c r="I3317" s="307" t="s">
        <v>171</v>
      </c>
      <c r="J3317" s="308">
        <v>0.4</v>
      </c>
      <c r="K3317" s="309">
        <f>VLOOKUP(G3317,Upah,8,FALSE)</f>
        <v>125000</v>
      </c>
      <c r="L3317" s="310">
        <f>J3317*K3317</f>
        <v>50000</v>
      </c>
    </row>
    <row r="3318" spans="5:13" ht="15" customHeight="1">
      <c r="F3318" s="306"/>
      <c r="G3318" s="301" t="s">
        <v>308</v>
      </c>
      <c r="H3318" s="307" t="s">
        <v>217</v>
      </c>
      <c r="I3318" s="307" t="s">
        <v>171</v>
      </c>
      <c r="J3318" s="308">
        <v>0.2</v>
      </c>
      <c r="K3318" s="309">
        <f>VLOOKUP(G3318,Upah,8,FALSE)</f>
        <v>150000</v>
      </c>
      <c r="L3318" s="310">
        <f>J3318*K3318</f>
        <v>30000</v>
      </c>
    </row>
    <row r="3319" spans="5:13" ht="15" customHeight="1">
      <c r="F3319" s="306"/>
      <c r="G3319" s="301" t="s">
        <v>174</v>
      </c>
      <c r="H3319" s="307" t="s">
        <v>175</v>
      </c>
      <c r="I3319" s="307" t="s">
        <v>171</v>
      </c>
      <c r="J3319" s="308">
        <v>0.02</v>
      </c>
      <c r="K3319" s="309">
        <f>VLOOKUP(G3319,Upah,8,FALSE)</f>
        <v>165000</v>
      </c>
      <c r="L3319" s="310">
        <f>J3319*K3319</f>
        <v>3300</v>
      </c>
    </row>
    <row r="3320" spans="5:13" ht="15" customHeight="1" thickBot="1">
      <c r="F3320" s="306"/>
      <c r="G3320" s="301" t="s">
        <v>176</v>
      </c>
      <c r="H3320" s="307" t="s">
        <v>177</v>
      </c>
      <c r="I3320" s="307" t="s">
        <v>171</v>
      </c>
      <c r="J3320" s="308">
        <v>2.1999999999999999E-2</v>
      </c>
      <c r="K3320" s="309">
        <f>VLOOKUP(G3320,Upah,8,FALSE)</f>
        <v>170000</v>
      </c>
      <c r="L3320" s="310">
        <f>J3320*K3320</f>
        <v>3740</v>
      </c>
    </row>
    <row r="3321" spans="5:13" ht="15" customHeight="1" thickBot="1">
      <c r="F3321" s="316"/>
      <c r="G3321" s="317"/>
      <c r="H3321" s="318"/>
      <c r="I3321" s="318"/>
      <c r="J3321" s="319" t="s">
        <v>178</v>
      </c>
      <c r="K3321" s="320"/>
      <c r="L3321" s="321">
        <f>SUM(L3317:L3320)</f>
        <v>87040</v>
      </c>
    </row>
    <row r="3322" spans="5:13" ht="15" customHeight="1">
      <c r="F3322" s="300" t="s">
        <v>179</v>
      </c>
      <c r="G3322" s="301" t="s">
        <v>180</v>
      </c>
      <c r="H3322" s="302"/>
      <c r="I3322" s="302"/>
      <c r="J3322" s="351"/>
      <c r="K3322" s="328"/>
      <c r="L3322" s="310"/>
    </row>
    <row r="3323" spans="5:13" ht="15" customHeight="1">
      <c r="F3323" s="306"/>
      <c r="G3323" s="301" t="s">
        <v>183</v>
      </c>
      <c r="H3323" s="302"/>
      <c r="I3323" s="307" t="s">
        <v>45</v>
      </c>
      <c r="J3323" s="308">
        <v>8.32</v>
      </c>
      <c r="K3323" s="328">
        <f>VLOOKUP(G3323,Bahan,6,FALSE)</f>
        <v>1880</v>
      </c>
      <c r="L3323" s="310">
        <f>J3323*K3323</f>
        <v>15641.6</v>
      </c>
    </row>
    <row r="3324" spans="5:13" ht="15" customHeight="1" thickBot="1">
      <c r="F3324" s="306"/>
      <c r="G3324" s="301" t="s">
        <v>296</v>
      </c>
      <c r="H3324" s="302"/>
      <c r="I3324" s="307" t="s">
        <v>44</v>
      </c>
      <c r="J3324" s="308">
        <v>3.2000000000000001E-2</v>
      </c>
      <c r="K3324" s="328">
        <f>VLOOKUP(G3324,Bahan,6,FALSE)</f>
        <v>253510</v>
      </c>
      <c r="L3324" s="310">
        <f>J3324*K3324</f>
        <v>8112.3200000000006</v>
      </c>
    </row>
    <row r="3325" spans="5:13" ht="15" customHeight="1" thickBot="1">
      <c r="F3325" s="316"/>
      <c r="G3325" s="317"/>
      <c r="H3325" s="318"/>
      <c r="I3325" s="318"/>
      <c r="J3325" s="319" t="s">
        <v>189</v>
      </c>
      <c r="K3325" s="320"/>
      <c r="L3325" s="321">
        <f>SUM(L3323:L3324)</f>
        <v>23753.920000000002</v>
      </c>
    </row>
    <row r="3326" spans="5:13" ht="15" customHeight="1" thickBot="1">
      <c r="F3326" s="300" t="s">
        <v>190</v>
      </c>
      <c r="G3326" s="301" t="s">
        <v>191</v>
      </c>
      <c r="H3326" s="302"/>
      <c r="I3326" s="302"/>
      <c r="J3326" s="351"/>
      <c r="K3326" s="328">
        <v>0</v>
      </c>
      <c r="L3326" s="310">
        <f>J3326*K3326</f>
        <v>0</v>
      </c>
    </row>
    <row r="3327" spans="5:13" ht="15" customHeight="1" thickBot="1">
      <c r="F3327" s="316"/>
      <c r="G3327" s="317"/>
      <c r="H3327" s="318"/>
      <c r="I3327" s="318"/>
      <c r="J3327" s="319" t="s">
        <v>192</v>
      </c>
      <c r="K3327" s="320"/>
      <c r="L3327" s="321">
        <f>L3326</f>
        <v>0</v>
      </c>
    </row>
    <row r="3328" spans="5:13" ht="15" customHeight="1">
      <c r="F3328" s="344" t="s">
        <v>193</v>
      </c>
      <c r="G3328" s="345" t="s">
        <v>194</v>
      </c>
      <c r="H3328" s="346"/>
      <c r="I3328" s="346"/>
      <c r="J3328" s="347"/>
      <c r="K3328" s="348">
        <v>0</v>
      </c>
      <c r="L3328" s="310">
        <f>SUM(L3317:L3327)/2</f>
        <v>110793.92000000001</v>
      </c>
    </row>
    <row r="3329" spans="5:13" ht="15" customHeight="1" thickBot="1">
      <c r="F3329" s="331" t="s">
        <v>195</v>
      </c>
      <c r="G3329" s="332" t="s">
        <v>196</v>
      </c>
      <c r="H3329" s="333"/>
      <c r="I3329" s="333"/>
      <c r="J3329" s="350">
        <v>0.1</v>
      </c>
      <c r="K3329" s="335"/>
      <c r="L3329" s="330">
        <f>J3329*L3328</f>
        <v>11079.392000000002</v>
      </c>
    </row>
    <row r="3330" spans="5:13" ht="15" customHeight="1" thickBot="1">
      <c r="F3330" s="340" t="s">
        <v>197</v>
      </c>
      <c r="G3330" s="341" t="s">
        <v>198</v>
      </c>
      <c r="H3330" s="318"/>
      <c r="I3330" s="318"/>
      <c r="J3330" s="342"/>
      <c r="K3330" s="320">
        <v>0</v>
      </c>
      <c r="L3330" s="321">
        <f>ROUNDDOWN(L3328+L3329,0)</f>
        <v>121873</v>
      </c>
    </row>
    <row r="3331" spans="5:13" ht="15" customHeight="1">
      <c r="F3331" s="298"/>
      <c r="G3331" s="298"/>
      <c r="J3331" s="343"/>
    </row>
    <row r="3332" spans="5:13" ht="15" customHeight="1" thickBot="1">
      <c r="E3332" s="356" t="s">
        <v>712</v>
      </c>
      <c r="F3332" s="295" t="s">
        <v>713</v>
      </c>
      <c r="J3332" s="343"/>
      <c r="M3332" s="299">
        <f>L3348</f>
        <v>119798</v>
      </c>
    </row>
    <row r="3333" spans="5:13" ht="15" customHeight="1" thickBot="1">
      <c r="F3333" s="340" t="s">
        <v>136</v>
      </c>
      <c r="G3333" s="341" t="s">
        <v>162</v>
      </c>
      <c r="H3333" s="352" t="s">
        <v>163</v>
      </c>
      <c r="I3333" s="352" t="s">
        <v>138</v>
      </c>
      <c r="J3333" s="353" t="s">
        <v>164</v>
      </c>
      <c r="K3333" s="341" t="s">
        <v>165</v>
      </c>
      <c r="L3333" s="354" t="s">
        <v>166</v>
      </c>
    </row>
    <row r="3334" spans="5:13" ht="15" customHeight="1">
      <c r="F3334" s="344" t="s">
        <v>167</v>
      </c>
      <c r="G3334" s="345" t="s">
        <v>168</v>
      </c>
      <c r="H3334" s="346"/>
      <c r="I3334" s="346"/>
      <c r="J3334" s="347"/>
      <c r="K3334" s="348"/>
      <c r="L3334" s="349"/>
    </row>
    <row r="3335" spans="5:13" ht="15" customHeight="1">
      <c r="F3335" s="306"/>
      <c r="G3335" s="301" t="s">
        <v>169</v>
      </c>
      <c r="H3335" s="307" t="s">
        <v>170</v>
      </c>
      <c r="I3335" s="307" t="s">
        <v>171</v>
      </c>
      <c r="J3335" s="308">
        <v>0.4</v>
      </c>
      <c r="K3335" s="309">
        <f>VLOOKUP(G3335,Upah,8,FALSE)</f>
        <v>125000</v>
      </c>
      <c r="L3335" s="310">
        <f>J3335*K3335</f>
        <v>50000</v>
      </c>
    </row>
    <row r="3336" spans="5:13" ht="15" customHeight="1">
      <c r="F3336" s="306"/>
      <c r="G3336" s="301" t="s">
        <v>308</v>
      </c>
      <c r="H3336" s="307" t="s">
        <v>217</v>
      </c>
      <c r="I3336" s="307" t="s">
        <v>171</v>
      </c>
      <c r="J3336" s="308">
        <v>0.2</v>
      </c>
      <c r="K3336" s="309">
        <f>VLOOKUP(G3336,Upah,8,FALSE)</f>
        <v>150000</v>
      </c>
      <c r="L3336" s="310">
        <f>J3336*K3336</f>
        <v>30000</v>
      </c>
    </row>
    <row r="3337" spans="5:13" ht="15" customHeight="1">
      <c r="F3337" s="306"/>
      <c r="G3337" s="301" t="s">
        <v>174</v>
      </c>
      <c r="H3337" s="307" t="s">
        <v>175</v>
      </c>
      <c r="I3337" s="307" t="s">
        <v>171</v>
      </c>
      <c r="J3337" s="308">
        <v>0.02</v>
      </c>
      <c r="K3337" s="309">
        <f>VLOOKUP(G3337,Upah,8,FALSE)</f>
        <v>165000</v>
      </c>
      <c r="L3337" s="310">
        <f>J3337*K3337</f>
        <v>3300</v>
      </c>
    </row>
    <row r="3338" spans="5:13" ht="15" customHeight="1" thickBot="1">
      <c r="F3338" s="306"/>
      <c r="G3338" s="301" t="s">
        <v>176</v>
      </c>
      <c r="H3338" s="307" t="s">
        <v>177</v>
      </c>
      <c r="I3338" s="307" t="s">
        <v>171</v>
      </c>
      <c r="J3338" s="308">
        <v>2.1999999999999999E-2</v>
      </c>
      <c r="K3338" s="309">
        <f>VLOOKUP(G3338,Upah,8,FALSE)</f>
        <v>170000</v>
      </c>
      <c r="L3338" s="310">
        <f>J3338*K3338</f>
        <v>3740</v>
      </c>
    </row>
    <row r="3339" spans="5:13" ht="15" customHeight="1" thickBot="1">
      <c r="F3339" s="316"/>
      <c r="G3339" s="317"/>
      <c r="H3339" s="318"/>
      <c r="I3339" s="318"/>
      <c r="J3339" s="319" t="s">
        <v>178</v>
      </c>
      <c r="K3339" s="320"/>
      <c r="L3339" s="321">
        <f>SUM(L3335:L3338)</f>
        <v>87040</v>
      </c>
    </row>
    <row r="3340" spans="5:13" ht="15" customHeight="1">
      <c r="F3340" s="300" t="s">
        <v>179</v>
      </c>
      <c r="G3340" s="301" t="s">
        <v>180</v>
      </c>
      <c r="H3340" s="302"/>
      <c r="I3340" s="302"/>
      <c r="J3340" s="351"/>
      <c r="K3340" s="328"/>
      <c r="L3340" s="310"/>
    </row>
    <row r="3341" spans="5:13" ht="15" customHeight="1">
      <c r="F3341" s="306"/>
      <c r="G3341" s="301" t="s">
        <v>183</v>
      </c>
      <c r="H3341" s="302"/>
      <c r="I3341" s="307" t="s">
        <v>45</v>
      </c>
      <c r="J3341" s="308">
        <v>6.9119999999999999</v>
      </c>
      <c r="K3341" s="328">
        <f>VLOOKUP(G3341,Bahan,6,FALSE)</f>
        <v>1880</v>
      </c>
      <c r="L3341" s="310">
        <f>J3341*K3341</f>
        <v>12994.56</v>
      </c>
    </row>
    <row r="3342" spans="5:13" ht="15" customHeight="1" thickBot="1">
      <c r="F3342" s="306"/>
      <c r="G3342" s="301" t="s">
        <v>296</v>
      </c>
      <c r="H3342" s="302"/>
      <c r="I3342" s="307" t="s">
        <v>44</v>
      </c>
      <c r="J3342" s="308">
        <v>3.5000000000000003E-2</v>
      </c>
      <c r="K3342" s="328">
        <f>VLOOKUP(G3342,Bahan,6,FALSE)</f>
        <v>253510</v>
      </c>
      <c r="L3342" s="310">
        <f>J3342*K3342</f>
        <v>8872.85</v>
      </c>
    </row>
    <row r="3343" spans="5:13" ht="15" customHeight="1" thickBot="1">
      <c r="F3343" s="316"/>
      <c r="G3343" s="317"/>
      <c r="H3343" s="318"/>
      <c r="I3343" s="318"/>
      <c r="J3343" s="319" t="s">
        <v>189</v>
      </c>
      <c r="K3343" s="320"/>
      <c r="L3343" s="321">
        <f>SUM(L3341:L3342)</f>
        <v>21867.41</v>
      </c>
    </row>
    <row r="3344" spans="5:13" ht="15" customHeight="1" thickBot="1">
      <c r="F3344" s="300" t="s">
        <v>190</v>
      </c>
      <c r="G3344" s="301" t="s">
        <v>191</v>
      </c>
      <c r="H3344" s="302"/>
      <c r="I3344" s="302"/>
      <c r="J3344" s="351"/>
      <c r="K3344" s="328">
        <v>0</v>
      </c>
      <c r="L3344" s="310">
        <f>J3344*K3344</f>
        <v>0</v>
      </c>
    </row>
    <row r="3345" spans="5:13" ht="15" customHeight="1" thickBot="1">
      <c r="F3345" s="316"/>
      <c r="G3345" s="317"/>
      <c r="H3345" s="318"/>
      <c r="I3345" s="318"/>
      <c r="J3345" s="319" t="s">
        <v>192</v>
      </c>
      <c r="K3345" s="320"/>
      <c r="L3345" s="321">
        <f>L3344</f>
        <v>0</v>
      </c>
    </row>
    <row r="3346" spans="5:13" ht="15" customHeight="1">
      <c r="F3346" s="344" t="s">
        <v>193</v>
      </c>
      <c r="G3346" s="345" t="s">
        <v>194</v>
      </c>
      <c r="H3346" s="346"/>
      <c r="I3346" s="346"/>
      <c r="J3346" s="347"/>
      <c r="K3346" s="348">
        <v>0</v>
      </c>
      <c r="L3346" s="310">
        <f>SUM(L3335:L3345)/2</f>
        <v>108907.41</v>
      </c>
    </row>
    <row r="3347" spans="5:13" ht="15" customHeight="1" thickBot="1">
      <c r="F3347" s="331" t="s">
        <v>195</v>
      </c>
      <c r="G3347" s="332" t="s">
        <v>196</v>
      </c>
      <c r="H3347" s="333"/>
      <c r="I3347" s="333"/>
      <c r="J3347" s="350">
        <v>0.1</v>
      </c>
      <c r="K3347" s="335"/>
      <c r="L3347" s="330">
        <f>J3347*L3346</f>
        <v>10890.741000000002</v>
      </c>
    </row>
    <row r="3348" spans="5:13" ht="15" customHeight="1" thickBot="1">
      <c r="F3348" s="340" t="s">
        <v>197</v>
      </c>
      <c r="G3348" s="341" t="s">
        <v>198</v>
      </c>
      <c r="H3348" s="318"/>
      <c r="I3348" s="318"/>
      <c r="J3348" s="342"/>
      <c r="K3348" s="320">
        <v>0</v>
      </c>
      <c r="L3348" s="321">
        <f>ROUNDDOWN(L3346+L3347,0)</f>
        <v>119798</v>
      </c>
    </row>
    <row r="3349" spans="5:13" ht="15" customHeight="1">
      <c r="F3349" s="298"/>
      <c r="G3349" s="298"/>
      <c r="J3349" s="343"/>
    </row>
    <row r="3350" spans="5:13" ht="15" customHeight="1" thickBot="1">
      <c r="E3350" s="356" t="s">
        <v>714</v>
      </c>
      <c r="F3350" s="295" t="s">
        <v>715</v>
      </c>
      <c r="J3350" s="343"/>
      <c r="M3350" s="299">
        <f>L3366</f>
        <v>117959</v>
      </c>
    </row>
    <row r="3351" spans="5:13" ht="15" customHeight="1" thickBot="1">
      <c r="F3351" s="340" t="s">
        <v>136</v>
      </c>
      <c r="G3351" s="341" t="s">
        <v>162</v>
      </c>
      <c r="H3351" s="352" t="s">
        <v>163</v>
      </c>
      <c r="I3351" s="352" t="s">
        <v>138</v>
      </c>
      <c r="J3351" s="353" t="s">
        <v>164</v>
      </c>
      <c r="K3351" s="341" t="s">
        <v>165</v>
      </c>
      <c r="L3351" s="354" t="s">
        <v>166</v>
      </c>
    </row>
    <row r="3352" spans="5:13" ht="15" customHeight="1">
      <c r="F3352" s="344" t="s">
        <v>167</v>
      </c>
      <c r="G3352" s="345" t="s">
        <v>168</v>
      </c>
      <c r="H3352" s="346"/>
      <c r="I3352" s="346"/>
      <c r="J3352" s="347"/>
      <c r="K3352" s="348"/>
      <c r="L3352" s="349"/>
    </row>
    <row r="3353" spans="5:13" ht="15" customHeight="1">
      <c r="F3353" s="306"/>
      <c r="G3353" s="301" t="s">
        <v>169</v>
      </c>
      <c r="H3353" s="307" t="s">
        <v>170</v>
      </c>
      <c r="I3353" s="307" t="s">
        <v>171</v>
      </c>
      <c r="J3353" s="308">
        <v>0.4</v>
      </c>
      <c r="K3353" s="309">
        <f>VLOOKUP(G3353,Upah,8,FALSE)</f>
        <v>125000</v>
      </c>
      <c r="L3353" s="310">
        <f>J3353*K3353</f>
        <v>50000</v>
      </c>
    </row>
    <row r="3354" spans="5:13" ht="15" customHeight="1">
      <c r="F3354" s="306"/>
      <c r="G3354" s="301" t="s">
        <v>308</v>
      </c>
      <c r="H3354" s="307" t="s">
        <v>217</v>
      </c>
      <c r="I3354" s="307" t="s">
        <v>171</v>
      </c>
      <c r="J3354" s="308">
        <v>0.2</v>
      </c>
      <c r="K3354" s="309">
        <f>VLOOKUP(G3354,Upah,8,FALSE)</f>
        <v>150000</v>
      </c>
      <c r="L3354" s="310">
        <f>J3354*K3354</f>
        <v>30000</v>
      </c>
    </row>
    <row r="3355" spans="5:13" ht="15" customHeight="1">
      <c r="F3355" s="306"/>
      <c r="G3355" s="301" t="s">
        <v>174</v>
      </c>
      <c r="H3355" s="307" t="s">
        <v>175</v>
      </c>
      <c r="I3355" s="307" t="s">
        <v>171</v>
      </c>
      <c r="J3355" s="308">
        <v>0.02</v>
      </c>
      <c r="K3355" s="309">
        <f>VLOOKUP(G3355,Upah,8,FALSE)</f>
        <v>165000</v>
      </c>
      <c r="L3355" s="310">
        <f>J3355*K3355</f>
        <v>3300</v>
      </c>
    </row>
    <row r="3356" spans="5:13" ht="15" customHeight="1" thickBot="1">
      <c r="F3356" s="306"/>
      <c r="G3356" s="301" t="s">
        <v>176</v>
      </c>
      <c r="H3356" s="307" t="s">
        <v>177</v>
      </c>
      <c r="I3356" s="307" t="s">
        <v>171</v>
      </c>
      <c r="J3356" s="308">
        <v>2.1999999999999999E-2</v>
      </c>
      <c r="K3356" s="309">
        <f>VLOOKUP(G3356,Upah,8,FALSE)</f>
        <v>170000</v>
      </c>
      <c r="L3356" s="310">
        <f>J3356*K3356</f>
        <v>3740</v>
      </c>
    </row>
    <row r="3357" spans="5:13" ht="15" customHeight="1" thickBot="1">
      <c r="F3357" s="316"/>
      <c r="G3357" s="317"/>
      <c r="H3357" s="318"/>
      <c r="I3357" s="318"/>
      <c r="J3357" s="319" t="s">
        <v>178</v>
      </c>
      <c r="K3357" s="320"/>
      <c r="L3357" s="321">
        <f>SUM(L3353:L3356)</f>
        <v>87040</v>
      </c>
    </row>
    <row r="3358" spans="5:13" ht="15" customHeight="1">
      <c r="F3358" s="300" t="s">
        <v>179</v>
      </c>
      <c r="G3358" s="301" t="s">
        <v>180</v>
      </c>
      <c r="H3358" s="302"/>
      <c r="I3358" s="302"/>
      <c r="J3358" s="351"/>
      <c r="K3358" s="328"/>
      <c r="L3358" s="310"/>
    </row>
    <row r="3359" spans="5:13" ht="15" customHeight="1">
      <c r="F3359" s="306"/>
      <c r="G3359" s="301" t="s">
        <v>183</v>
      </c>
      <c r="H3359" s="302"/>
      <c r="I3359" s="307" t="s">
        <v>45</v>
      </c>
      <c r="J3359" s="308">
        <v>5.8879999999999999</v>
      </c>
      <c r="K3359" s="328">
        <f>VLOOKUP(G3359,Bahan,6,FALSE)</f>
        <v>1880</v>
      </c>
      <c r="L3359" s="310">
        <f>J3359*K3359</f>
        <v>11069.44</v>
      </c>
    </row>
    <row r="3360" spans="5:13" ht="15" customHeight="1" thickBot="1">
      <c r="F3360" s="306"/>
      <c r="G3360" s="301" t="s">
        <v>296</v>
      </c>
      <c r="H3360" s="302"/>
      <c r="I3360" s="307" t="s">
        <v>44</v>
      </c>
      <c r="J3360" s="308">
        <v>3.5999999999999997E-2</v>
      </c>
      <c r="K3360" s="328">
        <f>VLOOKUP(G3360,Bahan,6,FALSE)</f>
        <v>253510</v>
      </c>
      <c r="L3360" s="310">
        <f>J3360*K3360</f>
        <v>9126.3599999999988</v>
      </c>
    </row>
    <row r="3361" spans="5:13" ht="15" customHeight="1" thickBot="1">
      <c r="F3361" s="316"/>
      <c r="G3361" s="317"/>
      <c r="H3361" s="318"/>
      <c r="I3361" s="318"/>
      <c r="J3361" s="319" t="s">
        <v>189</v>
      </c>
      <c r="K3361" s="320"/>
      <c r="L3361" s="321">
        <f>SUM(L3359:L3360)</f>
        <v>20195.8</v>
      </c>
    </row>
    <row r="3362" spans="5:13" ht="15" customHeight="1" thickBot="1">
      <c r="F3362" s="300" t="s">
        <v>190</v>
      </c>
      <c r="G3362" s="301" t="s">
        <v>191</v>
      </c>
      <c r="H3362" s="302"/>
      <c r="I3362" s="302"/>
      <c r="J3362" s="351"/>
      <c r="K3362" s="328">
        <v>0</v>
      </c>
      <c r="L3362" s="310">
        <f>J3362*K3362</f>
        <v>0</v>
      </c>
    </row>
    <row r="3363" spans="5:13" ht="15" customHeight="1" thickBot="1">
      <c r="F3363" s="316"/>
      <c r="G3363" s="317"/>
      <c r="H3363" s="318"/>
      <c r="I3363" s="318"/>
      <c r="J3363" s="319" t="s">
        <v>192</v>
      </c>
      <c r="K3363" s="320"/>
      <c r="L3363" s="321">
        <f>L3362</f>
        <v>0</v>
      </c>
    </row>
    <row r="3364" spans="5:13" ht="15" customHeight="1">
      <c r="F3364" s="344" t="s">
        <v>193</v>
      </c>
      <c r="G3364" s="345" t="s">
        <v>194</v>
      </c>
      <c r="H3364" s="346"/>
      <c r="I3364" s="346"/>
      <c r="J3364" s="347"/>
      <c r="K3364" s="348">
        <v>0</v>
      </c>
      <c r="L3364" s="310">
        <f>SUM(L3353:L3363)/2</f>
        <v>107235.79999999999</v>
      </c>
    </row>
    <row r="3365" spans="5:13" ht="15" customHeight="1" thickBot="1">
      <c r="F3365" s="331" t="s">
        <v>195</v>
      </c>
      <c r="G3365" s="332" t="s">
        <v>196</v>
      </c>
      <c r="H3365" s="333"/>
      <c r="I3365" s="333"/>
      <c r="J3365" s="350">
        <v>0.1</v>
      </c>
      <c r="K3365" s="335"/>
      <c r="L3365" s="330">
        <f>J3365*L3364</f>
        <v>10723.58</v>
      </c>
    </row>
    <row r="3366" spans="5:13" ht="15" customHeight="1" thickBot="1">
      <c r="F3366" s="340" t="s">
        <v>197</v>
      </c>
      <c r="G3366" s="341" t="s">
        <v>198</v>
      </c>
      <c r="H3366" s="318"/>
      <c r="I3366" s="318"/>
      <c r="J3366" s="342"/>
      <c r="K3366" s="320">
        <v>0</v>
      </c>
      <c r="L3366" s="321">
        <f>ROUNDDOWN(L3364+L3365,0)</f>
        <v>117959</v>
      </c>
    </row>
    <row r="3367" spans="5:13" ht="15" customHeight="1">
      <c r="F3367" s="298"/>
      <c r="G3367" s="298"/>
      <c r="J3367" s="343"/>
    </row>
    <row r="3368" spans="5:13" ht="15" customHeight="1" thickBot="1">
      <c r="E3368" s="356" t="s">
        <v>716</v>
      </c>
      <c r="F3368" s="295" t="s">
        <v>717</v>
      </c>
      <c r="J3368" s="343"/>
      <c r="M3368" s="299">
        <f>L3385</f>
        <v>115184</v>
      </c>
    </row>
    <row r="3369" spans="5:13" ht="15" customHeight="1" thickBot="1">
      <c r="F3369" s="340" t="s">
        <v>136</v>
      </c>
      <c r="G3369" s="341" t="s">
        <v>162</v>
      </c>
      <c r="H3369" s="352" t="s">
        <v>163</v>
      </c>
      <c r="I3369" s="352" t="s">
        <v>138</v>
      </c>
      <c r="J3369" s="353" t="s">
        <v>164</v>
      </c>
      <c r="K3369" s="341" t="s">
        <v>165</v>
      </c>
      <c r="L3369" s="354" t="s">
        <v>166</v>
      </c>
    </row>
    <row r="3370" spans="5:13" ht="15" customHeight="1">
      <c r="F3370" s="344" t="s">
        <v>167</v>
      </c>
      <c r="G3370" s="345" t="s">
        <v>168</v>
      </c>
      <c r="H3370" s="346"/>
      <c r="I3370" s="346"/>
      <c r="J3370" s="347"/>
      <c r="K3370" s="348"/>
      <c r="L3370" s="349"/>
    </row>
    <row r="3371" spans="5:13" ht="15" customHeight="1">
      <c r="F3371" s="306"/>
      <c r="G3371" s="301" t="s">
        <v>169</v>
      </c>
      <c r="H3371" s="307" t="s">
        <v>170</v>
      </c>
      <c r="I3371" s="307" t="s">
        <v>171</v>
      </c>
      <c r="J3371" s="308">
        <v>0.44</v>
      </c>
      <c r="K3371" s="309">
        <f>VLOOKUP(G3371,Upah,8,FALSE)</f>
        <v>125000</v>
      </c>
      <c r="L3371" s="310">
        <f>J3371*K3371</f>
        <v>55000</v>
      </c>
    </row>
    <row r="3372" spans="5:13" ht="15" customHeight="1">
      <c r="F3372" s="306"/>
      <c r="G3372" s="301" t="s">
        <v>308</v>
      </c>
      <c r="H3372" s="307" t="s">
        <v>217</v>
      </c>
      <c r="I3372" s="307" t="s">
        <v>171</v>
      </c>
      <c r="J3372" s="308">
        <v>0.22</v>
      </c>
      <c r="K3372" s="309">
        <f>VLOOKUP(G3372,Upah,8,FALSE)</f>
        <v>150000</v>
      </c>
      <c r="L3372" s="310">
        <f>J3372*K3372</f>
        <v>33000</v>
      </c>
    </row>
    <row r="3373" spans="5:13" ht="15" customHeight="1">
      <c r="F3373" s="306"/>
      <c r="G3373" s="301" t="s">
        <v>174</v>
      </c>
      <c r="H3373" s="307" t="s">
        <v>175</v>
      </c>
      <c r="I3373" s="307" t="s">
        <v>171</v>
      </c>
      <c r="J3373" s="308">
        <v>2.1999999999999999E-2</v>
      </c>
      <c r="K3373" s="309">
        <f>VLOOKUP(G3373,Upah,8,FALSE)</f>
        <v>165000</v>
      </c>
      <c r="L3373" s="310">
        <f>J3373*K3373</f>
        <v>3630</v>
      </c>
    </row>
    <row r="3374" spans="5:13" ht="15" customHeight="1" thickBot="1">
      <c r="F3374" s="306"/>
      <c r="G3374" s="301" t="s">
        <v>176</v>
      </c>
      <c r="H3374" s="307" t="s">
        <v>177</v>
      </c>
      <c r="I3374" s="307" t="s">
        <v>171</v>
      </c>
      <c r="J3374" s="308">
        <v>2.1999999999999999E-2</v>
      </c>
      <c r="K3374" s="309">
        <f>VLOOKUP(G3374,Upah,8,FALSE)</f>
        <v>170000</v>
      </c>
      <c r="L3374" s="310">
        <f>J3374*K3374</f>
        <v>3740</v>
      </c>
    </row>
    <row r="3375" spans="5:13" ht="15" customHeight="1" thickBot="1">
      <c r="F3375" s="316"/>
      <c r="G3375" s="317"/>
      <c r="H3375" s="318"/>
      <c r="I3375" s="318"/>
      <c r="J3375" s="319" t="s">
        <v>178</v>
      </c>
      <c r="K3375" s="320"/>
      <c r="L3375" s="321">
        <f>SUM(L3371:L3374)</f>
        <v>95370</v>
      </c>
    </row>
    <row r="3376" spans="5:13" ht="15" customHeight="1">
      <c r="F3376" s="300" t="s">
        <v>179</v>
      </c>
      <c r="G3376" s="301" t="s">
        <v>180</v>
      </c>
      <c r="H3376" s="302"/>
      <c r="I3376" s="302"/>
      <c r="J3376" s="351"/>
      <c r="K3376" s="328"/>
      <c r="L3376" s="310"/>
    </row>
    <row r="3377" spans="5:13" ht="15" customHeight="1">
      <c r="F3377" s="306"/>
      <c r="G3377" s="301" t="s">
        <v>183</v>
      </c>
      <c r="H3377" s="302"/>
      <c r="I3377" s="307" t="s">
        <v>44</v>
      </c>
      <c r="J3377" s="308">
        <v>8.9999999999999993E-3</v>
      </c>
      <c r="K3377" s="328">
        <f>VLOOKUP(G3377,Bahan,6,FALSE)</f>
        <v>1880</v>
      </c>
      <c r="L3377" s="310">
        <f>J3377*K3377</f>
        <v>16.919999999999998</v>
      </c>
    </row>
    <row r="3378" spans="5:13" ht="15" customHeight="1">
      <c r="F3378" s="306"/>
      <c r="G3378" s="301" t="s">
        <v>699</v>
      </c>
      <c r="H3378" s="302"/>
      <c r="I3378" s="307" t="s">
        <v>44</v>
      </c>
      <c r="J3378" s="308">
        <v>8.9999999999999993E-3</v>
      </c>
      <c r="K3378" s="328">
        <f>VLOOKUP(G3378,Bahan,6,FALSE)</f>
        <v>529200</v>
      </c>
      <c r="L3378" s="310">
        <f>J3378*K3378</f>
        <v>4762.7999999999993</v>
      </c>
    </row>
    <row r="3379" spans="5:13" ht="15" customHeight="1" thickBot="1">
      <c r="F3379" s="306"/>
      <c r="G3379" s="301" t="s">
        <v>296</v>
      </c>
      <c r="H3379" s="302"/>
      <c r="I3379" s="307" t="s">
        <v>44</v>
      </c>
      <c r="J3379" s="308">
        <v>1.7999999999999999E-2</v>
      </c>
      <c r="K3379" s="328">
        <f>VLOOKUP(G3379,Bahan,6,FALSE)</f>
        <v>253510</v>
      </c>
      <c r="L3379" s="310">
        <f>J3379*K3379</f>
        <v>4563.1799999999994</v>
      </c>
    </row>
    <row r="3380" spans="5:13" ht="15" customHeight="1" thickBot="1">
      <c r="F3380" s="316"/>
      <c r="G3380" s="317"/>
      <c r="H3380" s="318"/>
      <c r="I3380" s="318"/>
      <c r="J3380" s="319" t="s">
        <v>189</v>
      </c>
      <c r="K3380" s="320"/>
      <c r="L3380" s="321">
        <f>SUM(L3377:L3379)</f>
        <v>9342.8999999999978</v>
      </c>
    </row>
    <row r="3381" spans="5:13" ht="15" customHeight="1" thickBot="1">
      <c r="F3381" s="300" t="s">
        <v>190</v>
      </c>
      <c r="G3381" s="301" t="s">
        <v>191</v>
      </c>
      <c r="H3381" s="302"/>
      <c r="I3381" s="302"/>
      <c r="J3381" s="351"/>
      <c r="K3381" s="328">
        <v>0</v>
      </c>
      <c r="L3381" s="310">
        <f>J3381*K3381</f>
        <v>0</v>
      </c>
    </row>
    <row r="3382" spans="5:13" ht="15" customHeight="1" thickBot="1">
      <c r="F3382" s="316"/>
      <c r="G3382" s="317"/>
      <c r="H3382" s="318"/>
      <c r="I3382" s="318"/>
      <c r="J3382" s="319" t="s">
        <v>192</v>
      </c>
      <c r="K3382" s="320"/>
      <c r="L3382" s="321">
        <f>L3381</f>
        <v>0</v>
      </c>
    </row>
    <row r="3383" spans="5:13" ht="15" customHeight="1">
      <c r="F3383" s="344" t="s">
        <v>193</v>
      </c>
      <c r="G3383" s="345" t="s">
        <v>194</v>
      </c>
      <c r="H3383" s="346"/>
      <c r="I3383" s="346"/>
      <c r="J3383" s="347"/>
      <c r="K3383" s="348">
        <v>0</v>
      </c>
      <c r="L3383" s="310">
        <f>SUM(L3371:L3382)/2</f>
        <v>104712.9</v>
      </c>
    </row>
    <row r="3384" spans="5:13" ht="15" customHeight="1" thickBot="1">
      <c r="F3384" s="331" t="s">
        <v>195</v>
      </c>
      <c r="G3384" s="332" t="s">
        <v>196</v>
      </c>
      <c r="H3384" s="333"/>
      <c r="I3384" s="333"/>
      <c r="J3384" s="350">
        <v>0.1</v>
      </c>
      <c r="K3384" s="335"/>
      <c r="L3384" s="330">
        <f>J3384*L3383</f>
        <v>10471.290000000001</v>
      </c>
    </row>
    <row r="3385" spans="5:13" ht="15" customHeight="1" thickBot="1">
      <c r="F3385" s="340" t="s">
        <v>197</v>
      </c>
      <c r="G3385" s="341" t="s">
        <v>198</v>
      </c>
      <c r="H3385" s="318"/>
      <c r="I3385" s="318"/>
      <c r="J3385" s="342"/>
      <c r="K3385" s="320">
        <v>0</v>
      </c>
      <c r="L3385" s="321">
        <f>ROUNDDOWN(L3383+L3384,0)</f>
        <v>115184</v>
      </c>
    </row>
    <row r="3386" spans="5:13" ht="15" customHeight="1">
      <c r="F3386" s="298"/>
      <c r="G3386" s="298"/>
      <c r="J3386" s="343"/>
    </row>
    <row r="3387" spans="5:13" ht="15" customHeight="1" thickBot="1">
      <c r="E3387" s="356" t="s">
        <v>718</v>
      </c>
      <c r="F3387" s="295" t="s">
        <v>719</v>
      </c>
      <c r="J3387" s="343"/>
      <c r="M3387" s="299">
        <f>L3403</f>
        <v>53918</v>
      </c>
    </row>
    <row r="3388" spans="5:13" ht="15" customHeight="1" thickBot="1">
      <c r="F3388" s="340" t="s">
        <v>136</v>
      </c>
      <c r="G3388" s="341" t="s">
        <v>162</v>
      </c>
      <c r="H3388" s="352" t="s">
        <v>163</v>
      </c>
      <c r="I3388" s="352" t="s">
        <v>138</v>
      </c>
      <c r="J3388" s="353" t="s">
        <v>164</v>
      </c>
      <c r="K3388" s="341" t="s">
        <v>165</v>
      </c>
      <c r="L3388" s="354" t="s">
        <v>166</v>
      </c>
    </row>
    <row r="3389" spans="5:13" ht="15" customHeight="1">
      <c r="F3389" s="344" t="s">
        <v>167</v>
      </c>
      <c r="G3389" s="345" t="s">
        <v>168</v>
      </c>
      <c r="H3389" s="346"/>
      <c r="I3389" s="346"/>
      <c r="J3389" s="347"/>
      <c r="K3389" s="348"/>
      <c r="L3389" s="349"/>
    </row>
    <row r="3390" spans="5:13" ht="15" customHeight="1">
      <c r="F3390" s="306"/>
      <c r="G3390" s="301" t="s">
        <v>169</v>
      </c>
      <c r="H3390" s="307" t="s">
        <v>170</v>
      </c>
      <c r="I3390" s="307" t="s">
        <v>171</v>
      </c>
      <c r="J3390" s="308">
        <v>0.15</v>
      </c>
      <c r="K3390" s="309">
        <f>VLOOKUP(G3390,Upah,8,FALSE)</f>
        <v>125000</v>
      </c>
      <c r="L3390" s="310">
        <f>J3390*K3390</f>
        <v>18750</v>
      </c>
    </row>
    <row r="3391" spans="5:13" ht="15" customHeight="1">
      <c r="F3391" s="306"/>
      <c r="G3391" s="301" t="s">
        <v>308</v>
      </c>
      <c r="H3391" s="307" t="s">
        <v>217</v>
      </c>
      <c r="I3391" s="307" t="s">
        <v>171</v>
      </c>
      <c r="J3391" s="308">
        <v>7.4999999999999997E-2</v>
      </c>
      <c r="K3391" s="309">
        <f>VLOOKUP(G3391,Upah,8,FALSE)</f>
        <v>150000</v>
      </c>
      <c r="L3391" s="310">
        <f>J3391*K3391</f>
        <v>11250</v>
      </c>
    </row>
    <row r="3392" spans="5:13" ht="15" customHeight="1">
      <c r="F3392" s="306"/>
      <c r="G3392" s="301" t="s">
        <v>174</v>
      </c>
      <c r="H3392" s="307" t="s">
        <v>175</v>
      </c>
      <c r="I3392" s="307" t="s">
        <v>171</v>
      </c>
      <c r="J3392" s="308">
        <v>8.0000000000000002E-3</v>
      </c>
      <c r="K3392" s="309">
        <f>VLOOKUP(G3392,Upah,8,FALSE)</f>
        <v>165000</v>
      </c>
      <c r="L3392" s="310">
        <f>J3392*K3392</f>
        <v>1320</v>
      </c>
    </row>
    <row r="3393" spans="5:13" ht="15" customHeight="1" thickBot="1">
      <c r="F3393" s="306"/>
      <c r="G3393" s="301" t="s">
        <v>176</v>
      </c>
      <c r="H3393" s="307" t="s">
        <v>177</v>
      </c>
      <c r="I3393" s="307" t="s">
        <v>171</v>
      </c>
      <c r="J3393" s="308">
        <v>8.0000000000000002E-3</v>
      </c>
      <c r="K3393" s="309">
        <f>VLOOKUP(G3393,Upah,8,FALSE)</f>
        <v>170000</v>
      </c>
      <c r="L3393" s="310">
        <f>J3393*K3393</f>
        <v>1360</v>
      </c>
    </row>
    <row r="3394" spans="5:13" ht="15" customHeight="1" thickBot="1">
      <c r="F3394" s="316"/>
      <c r="G3394" s="317"/>
      <c r="H3394" s="318"/>
      <c r="I3394" s="318"/>
      <c r="J3394" s="319" t="s">
        <v>178</v>
      </c>
      <c r="K3394" s="320"/>
      <c r="L3394" s="321">
        <f>SUM(L3390:L3393)</f>
        <v>32680</v>
      </c>
    </row>
    <row r="3395" spans="5:13" ht="15" customHeight="1">
      <c r="F3395" s="300" t="s">
        <v>179</v>
      </c>
      <c r="G3395" s="301" t="s">
        <v>180</v>
      </c>
      <c r="H3395" s="302"/>
      <c r="I3395" s="302"/>
      <c r="J3395" s="351"/>
      <c r="K3395" s="328"/>
      <c r="L3395" s="310"/>
    </row>
    <row r="3396" spans="5:13" ht="15" customHeight="1">
      <c r="F3396" s="306"/>
      <c r="G3396" s="301" t="s">
        <v>183</v>
      </c>
      <c r="H3396" s="302"/>
      <c r="I3396" s="307" t="s">
        <v>45</v>
      </c>
      <c r="J3396" s="308">
        <v>5.1840000000000002</v>
      </c>
      <c r="K3396" s="328">
        <f>VLOOKUP(G3396,Bahan,6,FALSE)</f>
        <v>1880</v>
      </c>
      <c r="L3396" s="310">
        <f>J3396*K3396</f>
        <v>9745.92</v>
      </c>
    </row>
    <row r="3397" spans="5:13" ht="15" customHeight="1" thickBot="1">
      <c r="F3397" s="306"/>
      <c r="G3397" s="301" t="s">
        <v>296</v>
      </c>
      <c r="H3397" s="302"/>
      <c r="I3397" s="307" t="s">
        <v>44</v>
      </c>
      <c r="J3397" s="308">
        <v>2.5999999999999999E-2</v>
      </c>
      <c r="K3397" s="328">
        <f>VLOOKUP(G3397,Bahan,6,FALSE)</f>
        <v>253510</v>
      </c>
      <c r="L3397" s="310">
        <f>J3397*K3397</f>
        <v>6591.2599999999993</v>
      </c>
    </row>
    <row r="3398" spans="5:13" ht="15" customHeight="1" thickBot="1">
      <c r="F3398" s="316"/>
      <c r="G3398" s="317"/>
      <c r="H3398" s="318"/>
      <c r="I3398" s="318"/>
      <c r="J3398" s="319" t="s">
        <v>189</v>
      </c>
      <c r="K3398" s="320"/>
      <c r="L3398" s="321">
        <f>SUM(L3396:L3397)</f>
        <v>16337.18</v>
      </c>
    </row>
    <row r="3399" spans="5:13" ht="15" customHeight="1" thickBot="1">
      <c r="F3399" s="300" t="s">
        <v>190</v>
      </c>
      <c r="G3399" s="301" t="s">
        <v>191</v>
      </c>
      <c r="H3399" s="302"/>
      <c r="I3399" s="302"/>
      <c r="J3399" s="351"/>
      <c r="K3399" s="328">
        <v>0</v>
      </c>
      <c r="L3399" s="310">
        <f>J3399*K3399</f>
        <v>0</v>
      </c>
    </row>
    <row r="3400" spans="5:13" ht="15" customHeight="1" thickBot="1">
      <c r="F3400" s="316"/>
      <c r="G3400" s="317"/>
      <c r="H3400" s="318"/>
      <c r="I3400" s="318"/>
      <c r="J3400" s="319" t="s">
        <v>192</v>
      </c>
      <c r="K3400" s="320"/>
      <c r="L3400" s="321">
        <f>L3399</f>
        <v>0</v>
      </c>
    </row>
    <row r="3401" spans="5:13" ht="15" customHeight="1">
      <c r="F3401" s="344" t="s">
        <v>193</v>
      </c>
      <c r="G3401" s="345" t="s">
        <v>194</v>
      </c>
      <c r="H3401" s="346"/>
      <c r="I3401" s="346"/>
      <c r="J3401" s="347"/>
      <c r="K3401" s="348">
        <v>0</v>
      </c>
      <c r="L3401" s="310">
        <f>SUM(L3390:L3400)/2</f>
        <v>49017.179999999993</v>
      </c>
    </row>
    <row r="3402" spans="5:13" ht="15" customHeight="1" thickBot="1">
      <c r="F3402" s="331" t="s">
        <v>195</v>
      </c>
      <c r="G3402" s="332" t="s">
        <v>196</v>
      </c>
      <c r="H3402" s="333"/>
      <c r="I3402" s="333"/>
      <c r="J3402" s="350">
        <v>0.1</v>
      </c>
      <c r="K3402" s="335"/>
      <c r="L3402" s="330">
        <f>J3402*L3401</f>
        <v>4901.7179999999998</v>
      </c>
    </row>
    <row r="3403" spans="5:13" ht="15" customHeight="1" thickBot="1">
      <c r="F3403" s="340" t="s">
        <v>197</v>
      </c>
      <c r="G3403" s="341" t="s">
        <v>198</v>
      </c>
      <c r="H3403" s="318"/>
      <c r="I3403" s="318"/>
      <c r="J3403" s="342"/>
      <c r="K3403" s="320">
        <v>0</v>
      </c>
      <c r="L3403" s="321">
        <f>ROUNDDOWN(L3401+L3402,0)</f>
        <v>53918</v>
      </c>
    </row>
    <row r="3404" spans="5:13" ht="15" customHeight="1">
      <c r="F3404" s="298"/>
      <c r="G3404" s="298"/>
      <c r="J3404" s="343"/>
    </row>
    <row r="3405" spans="5:13" ht="15" customHeight="1" thickBot="1">
      <c r="E3405" s="356" t="s">
        <v>720</v>
      </c>
      <c r="F3405" s="295" t="s">
        <v>721</v>
      </c>
      <c r="J3405" s="343"/>
      <c r="M3405" s="299">
        <f>L3421</f>
        <v>89667</v>
      </c>
    </row>
    <row r="3406" spans="5:13" ht="15" customHeight="1" thickBot="1">
      <c r="F3406" s="340" t="s">
        <v>136</v>
      </c>
      <c r="G3406" s="341" t="s">
        <v>162</v>
      </c>
      <c r="H3406" s="352" t="s">
        <v>163</v>
      </c>
      <c r="I3406" s="352" t="s">
        <v>138</v>
      </c>
      <c r="J3406" s="353" t="s">
        <v>164</v>
      </c>
      <c r="K3406" s="341" t="s">
        <v>165</v>
      </c>
      <c r="L3406" s="354" t="s">
        <v>166</v>
      </c>
    </row>
    <row r="3407" spans="5:13" ht="15" customHeight="1">
      <c r="F3407" s="300" t="s">
        <v>167</v>
      </c>
      <c r="G3407" s="301" t="s">
        <v>168</v>
      </c>
      <c r="H3407" s="302"/>
      <c r="I3407" s="302"/>
      <c r="J3407" s="351"/>
      <c r="K3407" s="328"/>
      <c r="L3407" s="310"/>
    </row>
    <row r="3408" spans="5:13" ht="15" customHeight="1">
      <c r="F3408" s="306"/>
      <c r="G3408" s="301" t="s">
        <v>169</v>
      </c>
      <c r="H3408" s="307" t="s">
        <v>170</v>
      </c>
      <c r="I3408" s="307" t="s">
        <v>171</v>
      </c>
      <c r="J3408" s="308">
        <v>0.08</v>
      </c>
      <c r="K3408" s="309">
        <f>VLOOKUP(G3408,Upah,8,FALSE)</f>
        <v>125000</v>
      </c>
      <c r="L3408" s="310">
        <f>J3408*K3408</f>
        <v>10000</v>
      </c>
    </row>
    <row r="3409" spans="5:13" ht="15" customHeight="1">
      <c r="F3409" s="306"/>
      <c r="G3409" s="301" t="s">
        <v>308</v>
      </c>
      <c r="H3409" s="307" t="s">
        <v>217</v>
      </c>
      <c r="I3409" s="307" t="s">
        <v>171</v>
      </c>
      <c r="J3409" s="308">
        <v>0.4</v>
      </c>
      <c r="K3409" s="309">
        <f>VLOOKUP(G3409,Upah,8,FALSE)</f>
        <v>150000</v>
      </c>
      <c r="L3409" s="310">
        <f>J3409*K3409</f>
        <v>60000</v>
      </c>
    </row>
    <row r="3410" spans="5:13" ht="15" customHeight="1">
      <c r="F3410" s="306"/>
      <c r="G3410" s="301" t="s">
        <v>174</v>
      </c>
      <c r="H3410" s="307" t="s">
        <v>175</v>
      </c>
      <c r="I3410" s="307" t="s">
        <v>171</v>
      </c>
      <c r="J3410" s="308">
        <v>0.04</v>
      </c>
      <c r="K3410" s="309">
        <f>VLOOKUP(G3410,Upah,8,FALSE)</f>
        <v>165000</v>
      </c>
      <c r="L3410" s="310">
        <f>J3410*K3410</f>
        <v>6600</v>
      </c>
    </row>
    <row r="3411" spans="5:13" ht="15" customHeight="1" thickBot="1">
      <c r="F3411" s="306"/>
      <c r="G3411" s="301" t="s">
        <v>176</v>
      </c>
      <c r="H3411" s="307" t="s">
        <v>177</v>
      </c>
      <c r="I3411" s="307" t="s">
        <v>171</v>
      </c>
      <c r="J3411" s="308">
        <v>4.0000000000000001E-3</v>
      </c>
      <c r="K3411" s="309">
        <f>VLOOKUP(G3411,Upah,8,FALSE)</f>
        <v>170000</v>
      </c>
      <c r="L3411" s="310">
        <f>J3411*K3411</f>
        <v>680</v>
      </c>
    </row>
    <row r="3412" spans="5:13" ht="15" customHeight="1" thickBot="1">
      <c r="F3412" s="316"/>
      <c r="G3412" s="317"/>
      <c r="H3412" s="318"/>
      <c r="I3412" s="318"/>
      <c r="J3412" s="319" t="s">
        <v>178</v>
      </c>
      <c r="K3412" s="320"/>
      <c r="L3412" s="321">
        <f>SUM(L3408:L3411)</f>
        <v>77280</v>
      </c>
    </row>
    <row r="3413" spans="5:13" ht="15" customHeight="1">
      <c r="F3413" s="300" t="s">
        <v>179</v>
      </c>
      <c r="G3413" s="301" t="s">
        <v>180</v>
      </c>
      <c r="H3413" s="302"/>
      <c r="I3413" s="302"/>
      <c r="J3413" s="351"/>
      <c r="K3413" s="328"/>
      <c r="L3413" s="310"/>
    </row>
    <row r="3414" spans="5:13" ht="15" customHeight="1">
      <c r="F3414" s="306"/>
      <c r="G3414" s="301" t="s">
        <v>183</v>
      </c>
      <c r="H3414" s="302"/>
      <c r="I3414" s="307" t="s">
        <v>45</v>
      </c>
      <c r="J3414" s="308">
        <v>0.5</v>
      </c>
      <c r="K3414" s="328">
        <f>VLOOKUP(G3414,Bahan,6,FALSE)</f>
        <v>1880</v>
      </c>
      <c r="L3414" s="310">
        <f>J3414*K3414</f>
        <v>940</v>
      </c>
    </row>
    <row r="3415" spans="5:13" ht="15" customHeight="1" thickBot="1">
      <c r="F3415" s="306"/>
      <c r="G3415" s="301" t="s">
        <v>296</v>
      </c>
      <c r="H3415" s="302"/>
      <c r="I3415" s="307" t="s">
        <v>44</v>
      </c>
      <c r="J3415" s="308">
        <v>1.2999999999999999E-2</v>
      </c>
      <c r="K3415" s="328">
        <f>VLOOKUP(G3415,Bahan,6,FALSE)</f>
        <v>253510</v>
      </c>
      <c r="L3415" s="310">
        <f>J3415*K3415</f>
        <v>3295.6299999999997</v>
      </c>
    </row>
    <row r="3416" spans="5:13" ht="15" customHeight="1" thickBot="1">
      <c r="F3416" s="316"/>
      <c r="G3416" s="317"/>
      <c r="H3416" s="318"/>
      <c r="I3416" s="318"/>
      <c r="J3416" s="319" t="s">
        <v>189</v>
      </c>
      <c r="K3416" s="320"/>
      <c r="L3416" s="321">
        <f>SUM(L3414:L3415)</f>
        <v>4235.6299999999992</v>
      </c>
    </row>
    <row r="3417" spans="5:13" ht="15" customHeight="1" thickBot="1">
      <c r="F3417" s="300" t="s">
        <v>190</v>
      </c>
      <c r="G3417" s="301" t="s">
        <v>191</v>
      </c>
      <c r="H3417" s="302"/>
      <c r="I3417" s="302"/>
      <c r="J3417" s="351"/>
      <c r="K3417" s="328">
        <v>0</v>
      </c>
      <c r="L3417" s="310">
        <f>J3417*K3417</f>
        <v>0</v>
      </c>
    </row>
    <row r="3418" spans="5:13" ht="15" customHeight="1" thickBot="1">
      <c r="F3418" s="316"/>
      <c r="G3418" s="317"/>
      <c r="H3418" s="318"/>
      <c r="I3418" s="318"/>
      <c r="J3418" s="319" t="s">
        <v>192</v>
      </c>
      <c r="K3418" s="320"/>
      <c r="L3418" s="321">
        <f>L3417</f>
        <v>0</v>
      </c>
    </row>
    <row r="3419" spans="5:13" ht="15" customHeight="1">
      <c r="F3419" s="344" t="s">
        <v>193</v>
      </c>
      <c r="G3419" s="345" t="s">
        <v>194</v>
      </c>
      <c r="H3419" s="346"/>
      <c r="I3419" s="346"/>
      <c r="J3419" s="347"/>
      <c r="K3419" s="348">
        <v>0</v>
      </c>
      <c r="L3419" s="310">
        <f>SUM(L3408:L3418)/2</f>
        <v>81515.63</v>
      </c>
    </row>
    <row r="3420" spans="5:13" ht="15" customHeight="1" thickBot="1">
      <c r="F3420" s="331" t="s">
        <v>195</v>
      </c>
      <c r="G3420" s="332" t="s">
        <v>196</v>
      </c>
      <c r="H3420" s="333"/>
      <c r="I3420" s="333"/>
      <c r="J3420" s="350">
        <v>0.1</v>
      </c>
      <c r="K3420" s="335"/>
      <c r="L3420" s="330">
        <f>J3420*L3419</f>
        <v>8151.563000000001</v>
      </c>
    </row>
    <row r="3421" spans="5:13" ht="15" customHeight="1" thickBot="1">
      <c r="F3421" s="340" t="s">
        <v>197</v>
      </c>
      <c r="G3421" s="341" t="s">
        <v>198</v>
      </c>
      <c r="H3421" s="318"/>
      <c r="I3421" s="318"/>
      <c r="J3421" s="342"/>
      <c r="K3421" s="320">
        <v>0</v>
      </c>
      <c r="L3421" s="321">
        <f>ROUNDDOWN(L3419+L3420,0)</f>
        <v>89667</v>
      </c>
    </row>
    <row r="3422" spans="5:13" ht="15" customHeight="1">
      <c r="F3422" s="298"/>
      <c r="G3422" s="298"/>
      <c r="J3422" s="343"/>
    </row>
    <row r="3423" spans="5:13" ht="15" customHeight="1" thickBot="1">
      <c r="E3423" s="356" t="s">
        <v>722</v>
      </c>
      <c r="F3423" s="295" t="s">
        <v>723</v>
      </c>
      <c r="J3423" s="343"/>
      <c r="M3423" s="299">
        <f>L3439</f>
        <v>437530</v>
      </c>
    </row>
    <row r="3424" spans="5:13" ht="15" customHeight="1" thickBot="1">
      <c r="F3424" s="340" t="s">
        <v>136</v>
      </c>
      <c r="G3424" s="341" t="s">
        <v>162</v>
      </c>
      <c r="H3424" s="352" t="s">
        <v>163</v>
      </c>
      <c r="I3424" s="352" t="s">
        <v>138</v>
      </c>
      <c r="J3424" s="353" t="s">
        <v>164</v>
      </c>
      <c r="K3424" s="341" t="s">
        <v>165</v>
      </c>
      <c r="L3424" s="354" t="s">
        <v>166</v>
      </c>
    </row>
    <row r="3425" spans="6:12" ht="15" customHeight="1">
      <c r="F3425" s="300" t="s">
        <v>167</v>
      </c>
      <c r="G3425" s="301" t="s">
        <v>168</v>
      </c>
      <c r="H3425" s="302"/>
      <c r="I3425" s="302"/>
      <c r="J3425" s="351"/>
      <c r="K3425" s="328"/>
      <c r="L3425" s="310"/>
    </row>
    <row r="3426" spans="6:12" ht="15" customHeight="1">
      <c r="F3426" s="306"/>
      <c r="G3426" s="301" t="s">
        <v>169</v>
      </c>
      <c r="H3426" s="307" t="s">
        <v>170</v>
      </c>
      <c r="I3426" s="307" t="s">
        <v>171</v>
      </c>
      <c r="J3426" s="308">
        <v>0.45</v>
      </c>
      <c r="K3426" s="309">
        <f>VLOOKUP(G3426,Upah,8,FALSE)</f>
        <v>125000</v>
      </c>
      <c r="L3426" s="310">
        <f>J3426*K3426</f>
        <v>56250</v>
      </c>
    </row>
    <row r="3427" spans="6:12" ht="15" customHeight="1">
      <c r="F3427" s="306"/>
      <c r="G3427" s="301" t="s">
        <v>308</v>
      </c>
      <c r="H3427" s="307" t="s">
        <v>217</v>
      </c>
      <c r="I3427" s="307" t="s">
        <v>171</v>
      </c>
      <c r="J3427" s="308">
        <v>0.22500000000000001</v>
      </c>
      <c r="K3427" s="309">
        <f>VLOOKUP(G3427,Upah,8,FALSE)</f>
        <v>150000</v>
      </c>
      <c r="L3427" s="310">
        <f>J3427*K3427</f>
        <v>33750</v>
      </c>
    </row>
    <row r="3428" spans="6:12" ht="15" customHeight="1">
      <c r="F3428" s="306"/>
      <c r="G3428" s="301" t="s">
        <v>174</v>
      </c>
      <c r="H3428" s="307" t="s">
        <v>175</v>
      </c>
      <c r="I3428" s="307" t="s">
        <v>171</v>
      </c>
      <c r="J3428" s="308">
        <v>2.3E-2</v>
      </c>
      <c r="K3428" s="309">
        <f>VLOOKUP(G3428,Upah,8,FALSE)</f>
        <v>165000</v>
      </c>
      <c r="L3428" s="310">
        <f>J3428*K3428</f>
        <v>3795</v>
      </c>
    </row>
    <row r="3429" spans="6:12" ht="15" customHeight="1" thickBot="1">
      <c r="F3429" s="306"/>
      <c r="G3429" s="301" t="s">
        <v>176</v>
      </c>
      <c r="H3429" s="307" t="s">
        <v>177</v>
      </c>
      <c r="I3429" s="307" t="s">
        <v>171</v>
      </c>
      <c r="J3429" s="308">
        <v>2.3E-2</v>
      </c>
      <c r="K3429" s="309">
        <f>VLOOKUP(G3429,Upah,8,FALSE)</f>
        <v>170000</v>
      </c>
      <c r="L3429" s="310">
        <f>J3429*K3429</f>
        <v>3910</v>
      </c>
    </row>
    <row r="3430" spans="6:12" ht="15" customHeight="1" thickBot="1">
      <c r="F3430" s="316"/>
      <c r="G3430" s="317"/>
      <c r="H3430" s="318"/>
      <c r="I3430" s="318"/>
      <c r="J3430" s="319" t="s">
        <v>178</v>
      </c>
      <c r="K3430" s="320"/>
      <c r="L3430" s="321">
        <f>SUM(L3426:L3429)</f>
        <v>97705</v>
      </c>
    </row>
    <row r="3431" spans="6:12" ht="15" customHeight="1">
      <c r="F3431" s="300" t="s">
        <v>179</v>
      </c>
      <c r="G3431" s="301" t="s">
        <v>180</v>
      </c>
      <c r="H3431" s="302"/>
      <c r="I3431" s="302"/>
      <c r="J3431" s="351"/>
      <c r="K3431" s="328"/>
      <c r="L3431" s="310"/>
    </row>
    <row r="3432" spans="6:12" ht="15" customHeight="1">
      <c r="F3432" s="306"/>
      <c r="G3432" s="301" t="s">
        <v>183</v>
      </c>
      <c r="H3432" s="302"/>
      <c r="I3432" s="307" t="s">
        <v>45</v>
      </c>
      <c r="J3432" s="308">
        <v>10</v>
      </c>
      <c r="K3432" s="328">
        <f>VLOOKUP(G3432,Bahan,6,FALSE)</f>
        <v>1880</v>
      </c>
      <c r="L3432" s="310">
        <f>J3432*K3432</f>
        <v>18800</v>
      </c>
    </row>
    <row r="3433" spans="6:12" ht="15" customHeight="1" thickBot="1">
      <c r="F3433" s="306"/>
      <c r="G3433" s="301" t="s">
        <v>724</v>
      </c>
      <c r="H3433" s="302"/>
      <c r="I3433" s="307" t="s">
        <v>45</v>
      </c>
      <c r="J3433" s="308">
        <v>15</v>
      </c>
      <c r="K3433" s="328">
        <f>VLOOKUP(G3433,Bahan,6,FALSE)</f>
        <v>18750</v>
      </c>
      <c r="L3433" s="310">
        <f>J3433*K3433</f>
        <v>281250</v>
      </c>
    </row>
    <row r="3434" spans="6:12" ht="15" customHeight="1" thickBot="1">
      <c r="F3434" s="316"/>
      <c r="G3434" s="317"/>
      <c r="H3434" s="318"/>
      <c r="I3434" s="318"/>
      <c r="J3434" s="319" t="s">
        <v>189</v>
      </c>
      <c r="K3434" s="320"/>
      <c r="L3434" s="321">
        <f>SUM(L3432:L3433)</f>
        <v>300050</v>
      </c>
    </row>
    <row r="3435" spans="6:12" ht="15" customHeight="1" thickBot="1">
      <c r="F3435" s="300" t="s">
        <v>190</v>
      </c>
      <c r="G3435" s="301" t="s">
        <v>191</v>
      </c>
      <c r="H3435" s="302"/>
      <c r="I3435" s="302"/>
      <c r="J3435" s="351"/>
      <c r="K3435" s="328">
        <v>0</v>
      </c>
      <c r="L3435" s="310">
        <f>J3435*K3435</f>
        <v>0</v>
      </c>
    </row>
    <row r="3436" spans="6:12" ht="15" customHeight="1" thickBot="1">
      <c r="F3436" s="316"/>
      <c r="G3436" s="317"/>
      <c r="H3436" s="318"/>
      <c r="I3436" s="318"/>
      <c r="J3436" s="319" t="s">
        <v>192</v>
      </c>
      <c r="K3436" s="320"/>
      <c r="L3436" s="321">
        <f>L3435</f>
        <v>0</v>
      </c>
    </row>
    <row r="3437" spans="6:12" ht="15" customHeight="1">
      <c r="F3437" s="344" t="s">
        <v>193</v>
      </c>
      <c r="G3437" s="345" t="s">
        <v>194</v>
      </c>
      <c r="H3437" s="346"/>
      <c r="I3437" s="346"/>
      <c r="J3437" s="347"/>
      <c r="K3437" s="348">
        <v>0</v>
      </c>
      <c r="L3437" s="310">
        <f>SUM(L3426:L3436)/2</f>
        <v>397755</v>
      </c>
    </row>
    <row r="3438" spans="6:12" ht="15" customHeight="1" thickBot="1">
      <c r="F3438" s="331" t="s">
        <v>195</v>
      </c>
      <c r="G3438" s="332" t="s">
        <v>196</v>
      </c>
      <c r="H3438" s="333"/>
      <c r="I3438" s="333"/>
      <c r="J3438" s="350">
        <v>0.1</v>
      </c>
      <c r="K3438" s="335"/>
      <c r="L3438" s="330">
        <f>J3438*L3437</f>
        <v>39775.5</v>
      </c>
    </row>
    <row r="3439" spans="6:12" ht="15" customHeight="1" thickBot="1">
      <c r="F3439" s="340" t="s">
        <v>197</v>
      </c>
      <c r="G3439" s="341" t="s">
        <v>198</v>
      </c>
      <c r="H3439" s="318"/>
      <c r="I3439" s="318"/>
      <c r="J3439" s="342"/>
      <c r="K3439" s="320">
        <v>0</v>
      </c>
      <c r="L3439" s="321">
        <f>ROUNDDOWN(L3437+L3438,0)</f>
        <v>437530</v>
      </c>
    </row>
    <row r="3440" spans="6:12" ht="15" customHeight="1">
      <c r="F3440" s="298"/>
      <c r="G3440" s="298"/>
      <c r="J3440" s="343"/>
    </row>
    <row r="3441" spans="5:13" ht="15" customHeight="1" thickBot="1">
      <c r="E3441" s="356" t="s">
        <v>725</v>
      </c>
      <c r="F3441" s="295" t="s">
        <v>726</v>
      </c>
      <c r="J3441" s="343"/>
      <c r="M3441" s="299">
        <f>L3457</f>
        <v>176170</v>
      </c>
    </row>
    <row r="3442" spans="5:13" ht="15" customHeight="1" thickBot="1">
      <c r="F3442" s="340" t="s">
        <v>136</v>
      </c>
      <c r="G3442" s="341" t="s">
        <v>162</v>
      </c>
      <c r="H3442" s="352" t="s">
        <v>163</v>
      </c>
      <c r="I3442" s="352" t="s">
        <v>138</v>
      </c>
      <c r="J3442" s="353" t="s">
        <v>164</v>
      </c>
      <c r="K3442" s="341" t="s">
        <v>165</v>
      </c>
      <c r="L3442" s="354" t="s">
        <v>166</v>
      </c>
    </row>
    <row r="3443" spans="5:13" ht="15" customHeight="1">
      <c r="F3443" s="300" t="s">
        <v>167</v>
      </c>
      <c r="G3443" s="301" t="s">
        <v>168</v>
      </c>
      <c r="H3443" s="302"/>
      <c r="I3443" s="302"/>
      <c r="J3443" s="351"/>
      <c r="K3443" s="328"/>
      <c r="L3443" s="310"/>
    </row>
    <row r="3444" spans="5:13" ht="15" customHeight="1">
      <c r="F3444" s="306"/>
      <c r="G3444" s="301" t="s">
        <v>169</v>
      </c>
      <c r="H3444" s="307" t="s">
        <v>170</v>
      </c>
      <c r="I3444" s="307" t="s">
        <v>171</v>
      </c>
      <c r="J3444" s="308">
        <v>0.45</v>
      </c>
      <c r="K3444" s="309">
        <f>VLOOKUP(G3444,Upah,8,FALSE)</f>
        <v>125000</v>
      </c>
      <c r="L3444" s="310">
        <f>J3444*K3444</f>
        <v>56250</v>
      </c>
    </row>
    <row r="3445" spans="5:13" ht="15" customHeight="1">
      <c r="F3445" s="306"/>
      <c r="G3445" s="301" t="s">
        <v>308</v>
      </c>
      <c r="H3445" s="307" t="s">
        <v>217</v>
      </c>
      <c r="I3445" s="307" t="s">
        <v>171</v>
      </c>
      <c r="J3445" s="308">
        <v>0.22500000000000001</v>
      </c>
      <c r="K3445" s="309">
        <f>VLOOKUP(G3445,Upah,8,FALSE)</f>
        <v>150000</v>
      </c>
      <c r="L3445" s="310">
        <f>J3445*K3445</f>
        <v>33750</v>
      </c>
    </row>
    <row r="3446" spans="5:13" ht="15" customHeight="1">
      <c r="F3446" s="306"/>
      <c r="G3446" s="301" t="s">
        <v>174</v>
      </c>
      <c r="H3446" s="307" t="s">
        <v>175</v>
      </c>
      <c r="I3446" s="307" t="s">
        <v>171</v>
      </c>
      <c r="J3446" s="308">
        <v>2.3E-2</v>
      </c>
      <c r="K3446" s="309">
        <f>VLOOKUP(G3446,Upah,8,FALSE)</f>
        <v>165000</v>
      </c>
      <c r="L3446" s="310">
        <f>J3446*K3446</f>
        <v>3795</v>
      </c>
    </row>
    <row r="3447" spans="5:13" ht="15" customHeight="1" thickBot="1">
      <c r="F3447" s="306"/>
      <c r="G3447" s="301" t="s">
        <v>176</v>
      </c>
      <c r="H3447" s="307" t="s">
        <v>177</v>
      </c>
      <c r="I3447" s="307" t="s">
        <v>171</v>
      </c>
      <c r="J3447" s="308">
        <v>2.3E-2</v>
      </c>
      <c r="K3447" s="309">
        <f>VLOOKUP(G3447,Upah,8,FALSE)</f>
        <v>170000</v>
      </c>
      <c r="L3447" s="310">
        <f>J3447*K3447</f>
        <v>3910</v>
      </c>
    </row>
    <row r="3448" spans="5:13" ht="15" customHeight="1" thickBot="1">
      <c r="F3448" s="316"/>
      <c r="G3448" s="317"/>
      <c r="H3448" s="318"/>
      <c r="I3448" s="318"/>
      <c r="J3448" s="319" t="s">
        <v>178</v>
      </c>
      <c r="K3448" s="320"/>
      <c r="L3448" s="321">
        <f>SUM(L3444:L3447)</f>
        <v>97705</v>
      </c>
    </row>
    <row r="3449" spans="5:13" ht="15" customHeight="1">
      <c r="F3449" s="300" t="s">
        <v>179</v>
      </c>
      <c r="G3449" s="301" t="s">
        <v>180</v>
      </c>
      <c r="H3449" s="302"/>
      <c r="I3449" s="302"/>
      <c r="J3449" s="351"/>
      <c r="K3449" s="328"/>
      <c r="L3449" s="310"/>
    </row>
    <row r="3450" spans="5:13" ht="15" customHeight="1">
      <c r="F3450" s="306"/>
      <c r="G3450" s="301" t="s">
        <v>183</v>
      </c>
      <c r="H3450" s="302"/>
      <c r="I3450" s="307" t="s">
        <v>45</v>
      </c>
      <c r="J3450" s="308">
        <v>10</v>
      </c>
      <c r="K3450" s="328">
        <f>VLOOKUP(G3450,Bahan,6,FALSE)</f>
        <v>1880</v>
      </c>
      <c r="L3450" s="310">
        <f>J3450*K3450</f>
        <v>18800</v>
      </c>
    </row>
    <row r="3451" spans="5:13" ht="15" customHeight="1" thickBot="1">
      <c r="F3451" s="306"/>
      <c r="G3451" s="301" t="s">
        <v>727</v>
      </c>
      <c r="H3451" s="302"/>
      <c r="I3451" s="307" t="s">
        <v>45</v>
      </c>
      <c r="J3451" s="308">
        <v>15</v>
      </c>
      <c r="K3451" s="328">
        <f>VLOOKUP(G3451,Bahan,6,FALSE)</f>
        <v>2910</v>
      </c>
      <c r="L3451" s="310">
        <f>J3451*K3451</f>
        <v>43650</v>
      </c>
    </row>
    <row r="3452" spans="5:13" ht="15" customHeight="1" thickBot="1">
      <c r="F3452" s="316"/>
      <c r="G3452" s="317"/>
      <c r="H3452" s="318"/>
      <c r="I3452" s="318"/>
      <c r="J3452" s="319" t="s">
        <v>189</v>
      </c>
      <c r="K3452" s="320"/>
      <c r="L3452" s="321">
        <f>SUM(L3450:L3451)</f>
        <v>62450</v>
      </c>
    </row>
    <row r="3453" spans="5:13" ht="15" customHeight="1" thickBot="1">
      <c r="F3453" s="300" t="s">
        <v>190</v>
      </c>
      <c r="G3453" s="301" t="s">
        <v>191</v>
      </c>
      <c r="H3453" s="302"/>
      <c r="I3453" s="302"/>
      <c r="J3453" s="351"/>
      <c r="K3453" s="328">
        <v>0</v>
      </c>
      <c r="L3453" s="310">
        <f>J3453*K3453</f>
        <v>0</v>
      </c>
    </row>
    <row r="3454" spans="5:13" ht="15" customHeight="1" thickBot="1">
      <c r="F3454" s="316"/>
      <c r="G3454" s="317"/>
      <c r="H3454" s="318"/>
      <c r="I3454" s="318"/>
      <c r="J3454" s="319" t="s">
        <v>192</v>
      </c>
      <c r="K3454" s="320"/>
      <c r="L3454" s="321">
        <f>L3453</f>
        <v>0</v>
      </c>
    </row>
    <row r="3455" spans="5:13" ht="15" customHeight="1">
      <c r="F3455" s="344" t="s">
        <v>193</v>
      </c>
      <c r="G3455" s="345" t="s">
        <v>194</v>
      </c>
      <c r="H3455" s="346"/>
      <c r="I3455" s="346"/>
      <c r="J3455" s="347"/>
      <c r="K3455" s="348">
        <v>0</v>
      </c>
      <c r="L3455" s="310">
        <f>SUM(L3444:L3454)/2</f>
        <v>160155</v>
      </c>
    </row>
    <row r="3456" spans="5:13" ht="15" customHeight="1" thickBot="1">
      <c r="F3456" s="331" t="s">
        <v>195</v>
      </c>
      <c r="G3456" s="332" t="s">
        <v>196</v>
      </c>
      <c r="H3456" s="333"/>
      <c r="I3456" s="333"/>
      <c r="J3456" s="350">
        <v>0.1</v>
      </c>
      <c r="K3456" s="335"/>
      <c r="L3456" s="330">
        <f>J3456*L3455</f>
        <v>16015.5</v>
      </c>
    </row>
    <row r="3457" spans="5:13" ht="15" customHeight="1" thickBot="1">
      <c r="F3457" s="340" t="s">
        <v>197</v>
      </c>
      <c r="G3457" s="341" t="s">
        <v>198</v>
      </c>
      <c r="H3457" s="318"/>
      <c r="I3457" s="318"/>
      <c r="J3457" s="342"/>
      <c r="K3457" s="320">
        <v>0</v>
      </c>
      <c r="L3457" s="321">
        <f>ROUNDDOWN(L3455+L3456,0)</f>
        <v>176170</v>
      </c>
    </row>
    <row r="3458" spans="5:13" ht="15" customHeight="1">
      <c r="F3458" s="298"/>
      <c r="G3458" s="298"/>
      <c r="J3458" s="343"/>
    </row>
    <row r="3459" spans="5:13" ht="15" customHeight="1" thickBot="1">
      <c r="E3459" s="356" t="s">
        <v>728</v>
      </c>
      <c r="F3459" s="295" t="s">
        <v>729</v>
      </c>
      <c r="J3459" s="343"/>
      <c r="M3459" s="299">
        <f>L3475</f>
        <v>72976</v>
      </c>
    </row>
    <row r="3460" spans="5:13" ht="15" customHeight="1" thickBot="1">
      <c r="F3460" s="340" t="s">
        <v>136</v>
      </c>
      <c r="G3460" s="341" t="s">
        <v>162</v>
      </c>
      <c r="H3460" s="352" t="s">
        <v>163</v>
      </c>
      <c r="I3460" s="352" t="s">
        <v>138</v>
      </c>
      <c r="J3460" s="353" t="s">
        <v>164</v>
      </c>
      <c r="K3460" s="341" t="s">
        <v>165</v>
      </c>
      <c r="L3460" s="354" t="s">
        <v>166</v>
      </c>
    </row>
    <row r="3461" spans="5:13" ht="15" customHeight="1">
      <c r="F3461" s="300" t="s">
        <v>167</v>
      </c>
      <c r="G3461" s="301" t="s">
        <v>168</v>
      </c>
      <c r="H3461" s="302"/>
      <c r="I3461" s="302"/>
      <c r="J3461" s="351"/>
      <c r="K3461" s="328"/>
      <c r="L3461" s="310"/>
    </row>
    <row r="3462" spans="5:13" ht="15" customHeight="1">
      <c r="F3462" s="306"/>
      <c r="G3462" s="301" t="s">
        <v>169</v>
      </c>
      <c r="H3462" s="307" t="s">
        <v>170</v>
      </c>
      <c r="I3462" s="307" t="s">
        <v>171</v>
      </c>
      <c r="J3462" s="308">
        <v>0.3</v>
      </c>
      <c r="K3462" s="309">
        <f>VLOOKUP(G3462,Upah,8,FALSE)</f>
        <v>125000</v>
      </c>
      <c r="L3462" s="310">
        <f>J3462*K3462</f>
        <v>37500</v>
      </c>
    </row>
    <row r="3463" spans="5:13" ht="15" customHeight="1">
      <c r="F3463" s="306"/>
      <c r="G3463" s="301" t="s">
        <v>308</v>
      </c>
      <c r="H3463" s="307" t="s">
        <v>217</v>
      </c>
      <c r="I3463" s="307" t="s">
        <v>171</v>
      </c>
      <c r="J3463" s="308">
        <v>0.1</v>
      </c>
      <c r="K3463" s="309">
        <f>VLOOKUP(G3463,Upah,8,FALSE)</f>
        <v>150000</v>
      </c>
      <c r="L3463" s="310">
        <f>J3463*K3463</f>
        <v>15000</v>
      </c>
    </row>
    <row r="3464" spans="5:13" ht="15" customHeight="1">
      <c r="F3464" s="306"/>
      <c r="G3464" s="301" t="s">
        <v>174</v>
      </c>
      <c r="H3464" s="307" t="s">
        <v>175</v>
      </c>
      <c r="I3464" s="307" t="s">
        <v>171</v>
      </c>
      <c r="J3464" s="308">
        <v>0.01</v>
      </c>
      <c r="K3464" s="309">
        <f>VLOOKUP(G3464,Upah,8,FALSE)</f>
        <v>165000</v>
      </c>
      <c r="L3464" s="310">
        <f>J3464*K3464</f>
        <v>1650</v>
      </c>
    </row>
    <row r="3465" spans="5:13" ht="15" customHeight="1" thickBot="1">
      <c r="F3465" s="306"/>
      <c r="G3465" s="301" t="s">
        <v>176</v>
      </c>
      <c r="H3465" s="307" t="s">
        <v>177</v>
      </c>
      <c r="I3465" s="307" t="s">
        <v>171</v>
      </c>
      <c r="J3465" s="308">
        <v>1.4999999999999999E-2</v>
      </c>
      <c r="K3465" s="309">
        <f>VLOOKUP(G3465,Upah,8,FALSE)</f>
        <v>170000</v>
      </c>
      <c r="L3465" s="310">
        <f>J3465*K3465</f>
        <v>2550</v>
      </c>
    </row>
    <row r="3466" spans="5:13" ht="15" customHeight="1" thickBot="1">
      <c r="F3466" s="316"/>
      <c r="G3466" s="317"/>
      <c r="H3466" s="318"/>
      <c r="I3466" s="318"/>
      <c r="J3466" s="319" t="s">
        <v>178</v>
      </c>
      <c r="K3466" s="320"/>
      <c r="L3466" s="321">
        <f>SUM(L3462:L3465)</f>
        <v>56700</v>
      </c>
    </row>
    <row r="3467" spans="5:13" ht="15" customHeight="1">
      <c r="F3467" s="300" t="s">
        <v>179</v>
      </c>
      <c r="G3467" s="301" t="s">
        <v>180</v>
      </c>
      <c r="H3467" s="302"/>
      <c r="I3467" s="302"/>
      <c r="J3467" s="351"/>
      <c r="K3467" s="328"/>
      <c r="L3467" s="310"/>
    </row>
    <row r="3468" spans="5:13" ht="15" customHeight="1">
      <c r="F3468" s="306"/>
      <c r="G3468" s="301" t="s">
        <v>183</v>
      </c>
      <c r="H3468" s="302"/>
      <c r="I3468" s="307" t="s">
        <v>45</v>
      </c>
      <c r="J3468" s="308">
        <v>4.32</v>
      </c>
      <c r="K3468" s="328">
        <f>VLOOKUP(G3468,Bahan,6,FALSE)</f>
        <v>1880</v>
      </c>
      <c r="L3468" s="310">
        <f>J3468*K3468</f>
        <v>8121.6</v>
      </c>
    </row>
    <row r="3469" spans="5:13" ht="15" customHeight="1" thickBot="1">
      <c r="F3469" s="306"/>
      <c r="G3469" s="301" t="s">
        <v>296</v>
      </c>
      <c r="H3469" s="302"/>
      <c r="I3469" s="307" t="s">
        <v>44</v>
      </c>
      <c r="J3469" s="308">
        <v>6.0000000000000001E-3</v>
      </c>
      <c r="K3469" s="328">
        <f>VLOOKUP(G3469,Bahan,6,FALSE)</f>
        <v>253510</v>
      </c>
      <c r="L3469" s="310">
        <f>J3469*K3469</f>
        <v>1521.06</v>
      </c>
    </row>
    <row r="3470" spans="5:13" ht="15" customHeight="1" thickBot="1">
      <c r="F3470" s="316"/>
      <c r="G3470" s="317"/>
      <c r="H3470" s="318"/>
      <c r="I3470" s="318"/>
      <c r="J3470" s="319" t="s">
        <v>189</v>
      </c>
      <c r="K3470" s="320"/>
      <c r="L3470" s="321">
        <f>SUM(L3468:L3469)</f>
        <v>9642.66</v>
      </c>
    </row>
    <row r="3471" spans="5:13" ht="15" customHeight="1" thickBot="1">
      <c r="F3471" s="300" t="s">
        <v>190</v>
      </c>
      <c r="G3471" s="301" t="s">
        <v>191</v>
      </c>
      <c r="H3471" s="302"/>
      <c r="I3471" s="302"/>
      <c r="J3471" s="351"/>
      <c r="K3471" s="328">
        <v>0</v>
      </c>
      <c r="L3471" s="310">
        <f>J3471*K3471</f>
        <v>0</v>
      </c>
    </row>
    <row r="3472" spans="5:13" ht="15" customHeight="1" thickBot="1">
      <c r="F3472" s="316"/>
      <c r="G3472" s="317"/>
      <c r="H3472" s="318"/>
      <c r="I3472" s="318"/>
      <c r="J3472" s="319" t="s">
        <v>192</v>
      </c>
      <c r="K3472" s="320"/>
      <c r="L3472" s="321">
        <f>L3471</f>
        <v>0</v>
      </c>
    </row>
    <row r="3473" spans="5:13" ht="15" customHeight="1">
      <c r="F3473" s="344" t="s">
        <v>193</v>
      </c>
      <c r="G3473" s="345" t="s">
        <v>194</v>
      </c>
      <c r="H3473" s="346"/>
      <c r="I3473" s="346"/>
      <c r="J3473" s="347"/>
      <c r="K3473" s="348">
        <v>0</v>
      </c>
      <c r="L3473" s="310">
        <f>SUM(L3462:L3472)/2</f>
        <v>66342.66</v>
      </c>
    </row>
    <row r="3474" spans="5:13" ht="15" customHeight="1" thickBot="1">
      <c r="F3474" s="331" t="s">
        <v>195</v>
      </c>
      <c r="G3474" s="332" t="s">
        <v>196</v>
      </c>
      <c r="H3474" s="333"/>
      <c r="I3474" s="333"/>
      <c r="J3474" s="350">
        <v>0.1</v>
      </c>
      <c r="K3474" s="335"/>
      <c r="L3474" s="330">
        <f>J3474*L3473</f>
        <v>6634.2660000000005</v>
      </c>
    </row>
    <row r="3475" spans="5:13" ht="15" customHeight="1" thickBot="1">
      <c r="F3475" s="340" t="s">
        <v>197</v>
      </c>
      <c r="G3475" s="341" t="s">
        <v>198</v>
      </c>
      <c r="H3475" s="318"/>
      <c r="I3475" s="318"/>
      <c r="J3475" s="342"/>
      <c r="K3475" s="320">
        <v>0</v>
      </c>
      <c r="L3475" s="321">
        <f>ROUNDDOWN(L3473+L3474,0)</f>
        <v>72976</v>
      </c>
    </row>
    <row r="3476" spans="5:13" ht="15" customHeight="1">
      <c r="F3476" s="298"/>
      <c r="G3476" s="298"/>
      <c r="J3476" s="343"/>
    </row>
    <row r="3477" spans="5:13" ht="15" customHeight="1" thickBot="1">
      <c r="E3477" s="297" t="s">
        <v>730</v>
      </c>
      <c r="F3477" s="298" t="s">
        <v>731</v>
      </c>
      <c r="J3477" s="343"/>
      <c r="M3477" s="299">
        <f>L3492</f>
        <v>42375</v>
      </c>
    </row>
    <row r="3478" spans="5:13" ht="15" customHeight="1" thickBot="1">
      <c r="F3478" s="340" t="s">
        <v>136</v>
      </c>
      <c r="G3478" s="341" t="s">
        <v>162</v>
      </c>
      <c r="H3478" s="352" t="s">
        <v>163</v>
      </c>
      <c r="I3478" s="352" t="s">
        <v>138</v>
      </c>
      <c r="J3478" s="353" t="s">
        <v>164</v>
      </c>
      <c r="K3478" s="341" t="s">
        <v>165</v>
      </c>
      <c r="L3478" s="354" t="s">
        <v>166</v>
      </c>
    </row>
    <row r="3479" spans="5:13" ht="15" customHeight="1">
      <c r="F3479" s="300" t="s">
        <v>167</v>
      </c>
      <c r="G3479" s="301" t="s">
        <v>168</v>
      </c>
      <c r="H3479" s="302"/>
      <c r="I3479" s="302"/>
      <c r="J3479" s="351"/>
      <c r="K3479" s="328"/>
      <c r="L3479" s="310"/>
    </row>
    <row r="3480" spans="5:13" ht="15" customHeight="1">
      <c r="F3480" s="306"/>
      <c r="G3480" s="301" t="s">
        <v>169</v>
      </c>
      <c r="H3480" s="307" t="s">
        <v>170</v>
      </c>
      <c r="I3480" s="307" t="s">
        <v>171</v>
      </c>
      <c r="J3480" s="308">
        <v>0.15</v>
      </c>
      <c r="K3480" s="309">
        <f>VLOOKUP(G3480,Upah,8,FALSE)</f>
        <v>125000</v>
      </c>
      <c r="L3480" s="310">
        <f>J3480*K3480</f>
        <v>18750</v>
      </c>
    </row>
    <row r="3481" spans="5:13" ht="15" customHeight="1">
      <c r="F3481" s="306"/>
      <c r="G3481" s="301" t="s">
        <v>308</v>
      </c>
      <c r="H3481" s="307" t="s">
        <v>217</v>
      </c>
      <c r="I3481" s="307" t="s">
        <v>171</v>
      </c>
      <c r="J3481" s="308">
        <v>7.4999999999999997E-2</v>
      </c>
      <c r="K3481" s="309">
        <f>VLOOKUP(G3481,Upah,8,FALSE)</f>
        <v>150000</v>
      </c>
      <c r="L3481" s="310">
        <f>J3481*K3481</f>
        <v>11250</v>
      </c>
    </row>
    <row r="3482" spans="5:13" ht="15" customHeight="1">
      <c r="F3482" s="306"/>
      <c r="G3482" s="301" t="s">
        <v>174</v>
      </c>
      <c r="H3482" s="307" t="s">
        <v>175</v>
      </c>
      <c r="I3482" s="307" t="s">
        <v>171</v>
      </c>
      <c r="J3482" s="308">
        <v>8.0000000000000002E-3</v>
      </c>
      <c r="K3482" s="309">
        <f>VLOOKUP(G3482,Upah,8,FALSE)</f>
        <v>165000</v>
      </c>
      <c r="L3482" s="310">
        <f>J3482*K3482</f>
        <v>1320</v>
      </c>
    </row>
    <row r="3483" spans="5:13" ht="15" customHeight="1" thickBot="1">
      <c r="F3483" s="306"/>
      <c r="G3483" s="301" t="s">
        <v>176</v>
      </c>
      <c r="H3483" s="307" t="s">
        <v>177</v>
      </c>
      <c r="I3483" s="307" t="s">
        <v>171</v>
      </c>
      <c r="J3483" s="308">
        <v>8.0000000000000002E-3</v>
      </c>
      <c r="K3483" s="309">
        <f>VLOOKUP(G3483,Upah,8,FALSE)</f>
        <v>170000</v>
      </c>
      <c r="L3483" s="310">
        <f>J3483*K3483</f>
        <v>1360</v>
      </c>
    </row>
    <row r="3484" spans="5:13" ht="15" customHeight="1" thickBot="1">
      <c r="F3484" s="316"/>
      <c r="G3484" s="317"/>
      <c r="H3484" s="318"/>
      <c r="I3484" s="318"/>
      <c r="J3484" s="319" t="s">
        <v>178</v>
      </c>
      <c r="K3484" s="320"/>
      <c r="L3484" s="321">
        <f>SUM(L3480:L3483)</f>
        <v>32680</v>
      </c>
    </row>
    <row r="3485" spans="5:13" ht="15" customHeight="1">
      <c r="F3485" s="300" t="s">
        <v>179</v>
      </c>
      <c r="G3485" s="301" t="s">
        <v>180</v>
      </c>
      <c r="H3485" s="302"/>
      <c r="I3485" s="302"/>
      <c r="J3485" s="351"/>
      <c r="K3485" s="328"/>
      <c r="L3485" s="310"/>
    </row>
    <row r="3486" spans="5:13" ht="15" customHeight="1" thickBot="1">
      <c r="F3486" s="306"/>
      <c r="G3486" s="301" t="s">
        <v>183</v>
      </c>
      <c r="H3486" s="302"/>
      <c r="I3486" s="307" t="s">
        <v>45</v>
      </c>
      <c r="J3486" s="308">
        <v>3.1080000000000001</v>
      </c>
      <c r="K3486" s="328">
        <f>VLOOKUP(G3486,Bahan,6,FALSE)</f>
        <v>1880</v>
      </c>
      <c r="L3486" s="310">
        <f>J3486*K3486</f>
        <v>5843.04</v>
      </c>
    </row>
    <row r="3487" spans="5:13" ht="15" customHeight="1" thickBot="1">
      <c r="F3487" s="316"/>
      <c r="G3487" s="317"/>
      <c r="H3487" s="318"/>
      <c r="I3487" s="318"/>
      <c r="J3487" s="319" t="s">
        <v>189</v>
      </c>
      <c r="K3487" s="320"/>
      <c r="L3487" s="321">
        <f>SUM(L3486)</f>
        <v>5843.04</v>
      </c>
    </row>
    <row r="3488" spans="5:13" ht="15" customHeight="1" thickBot="1">
      <c r="F3488" s="300" t="s">
        <v>190</v>
      </c>
      <c r="G3488" s="301" t="s">
        <v>191</v>
      </c>
      <c r="H3488" s="302"/>
      <c r="I3488" s="302"/>
      <c r="J3488" s="351"/>
      <c r="K3488" s="328">
        <v>0</v>
      </c>
      <c r="L3488" s="310">
        <f>J3488*K3488</f>
        <v>0</v>
      </c>
    </row>
    <row r="3489" spans="5:13" ht="15" customHeight="1" thickBot="1">
      <c r="F3489" s="316"/>
      <c r="G3489" s="317"/>
      <c r="H3489" s="318"/>
      <c r="I3489" s="318"/>
      <c r="J3489" s="319" t="s">
        <v>192</v>
      </c>
      <c r="K3489" s="320"/>
      <c r="L3489" s="321">
        <f>L3488</f>
        <v>0</v>
      </c>
    </row>
    <row r="3490" spans="5:13" ht="15" customHeight="1">
      <c r="F3490" s="344" t="s">
        <v>193</v>
      </c>
      <c r="G3490" s="345" t="s">
        <v>194</v>
      </c>
      <c r="H3490" s="346"/>
      <c r="I3490" s="346"/>
      <c r="J3490" s="347"/>
      <c r="K3490" s="348">
        <v>0</v>
      </c>
      <c r="L3490" s="310">
        <f>SUM(L3479:L3489)/2</f>
        <v>38523.039999999994</v>
      </c>
    </row>
    <row r="3491" spans="5:13" ht="15" customHeight="1" thickBot="1">
      <c r="F3491" s="331" t="s">
        <v>195</v>
      </c>
      <c r="G3491" s="332" t="s">
        <v>196</v>
      </c>
      <c r="H3491" s="333"/>
      <c r="I3491" s="333"/>
      <c r="J3491" s="350">
        <v>0.1</v>
      </c>
      <c r="K3491" s="335"/>
      <c r="L3491" s="330">
        <f>J3491*L3490</f>
        <v>3852.3039999999996</v>
      </c>
    </row>
    <row r="3492" spans="5:13" ht="15" customHeight="1" thickBot="1">
      <c r="F3492" s="340" t="s">
        <v>197</v>
      </c>
      <c r="G3492" s="341" t="s">
        <v>198</v>
      </c>
      <c r="H3492" s="318"/>
      <c r="I3492" s="318"/>
      <c r="J3492" s="342"/>
      <c r="K3492" s="320">
        <v>0</v>
      </c>
      <c r="L3492" s="321">
        <f>ROUNDDOWN(L3490+L3491,0)</f>
        <v>42375</v>
      </c>
    </row>
    <row r="3493" spans="5:13" ht="15" customHeight="1">
      <c r="F3493" s="298"/>
      <c r="G3493" s="298"/>
      <c r="J3493" s="343"/>
    </row>
    <row r="3494" spans="5:13" ht="15" customHeight="1" thickBot="1">
      <c r="E3494" s="356" t="s">
        <v>732</v>
      </c>
      <c r="F3494" s="295" t="s">
        <v>733</v>
      </c>
      <c r="J3494" s="343"/>
      <c r="M3494" s="299">
        <f>L3509</f>
        <v>20182</v>
      </c>
    </row>
    <row r="3495" spans="5:13" ht="15" customHeight="1" thickBot="1">
      <c r="F3495" s="340" t="s">
        <v>136</v>
      </c>
      <c r="G3495" s="341" t="s">
        <v>162</v>
      </c>
      <c r="H3495" s="352" t="s">
        <v>163</v>
      </c>
      <c r="I3495" s="352" t="s">
        <v>138</v>
      </c>
      <c r="J3495" s="353" t="s">
        <v>164</v>
      </c>
      <c r="K3495" s="341" t="s">
        <v>165</v>
      </c>
      <c r="L3495" s="354" t="s">
        <v>166</v>
      </c>
    </row>
    <row r="3496" spans="5:13" ht="15" customHeight="1">
      <c r="F3496" s="300" t="s">
        <v>167</v>
      </c>
      <c r="G3496" s="301" t="s">
        <v>168</v>
      </c>
      <c r="H3496" s="302"/>
      <c r="I3496" s="302"/>
      <c r="J3496" s="351"/>
      <c r="K3496" s="328"/>
      <c r="L3496" s="310"/>
    </row>
    <row r="3497" spans="5:13" ht="15" customHeight="1">
      <c r="F3497" s="306"/>
      <c r="G3497" s="301" t="s">
        <v>169</v>
      </c>
      <c r="H3497" s="307" t="s">
        <v>170</v>
      </c>
      <c r="I3497" s="307" t="s">
        <v>171</v>
      </c>
      <c r="J3497" s="308">
        <v>7.0000000000000007E-2</v>
      </c>
      <c r="K3497" s="309">
        <f>VLOOKUP(G3497,Upah,8,FALSE)</f>
        <v>125000</v>
      </c>
      <c r="L3497" s="310">
        <f>J3497*K3497</f>
        <v>8750</v>
      </c>
    </row>
    <row r="3498" spans="5:13" ht="15" customHeight="1">
      <c r="F3498" s="306"/>
      <c r="G3498" s="301" t="s">
        <v>308</v>
      </c>
      <c r="H3498" s="307" t="s">
        <v>217</v>
      </c>
      <c r="I3498" s="307" t="s">
        <v>171</v>
      </c>
      <c r="J3498" s="308">
        <v>3.5000000000000003E-2</v>
      </c>
      <c r="K3498" s="309">
        <f>VLOOKUP(G3498,Upah,8,FALSE)</f>
        <v>150000</v>
      </c>
      <c r="L3498" s="310">
        <f>J3498*K3498</f>
        <v>5250.0000000000009</v>
      </c>
    </row>
    <row r="3499" spans="5:13" ht="15" customHeight="1">
      <c r="F3499" s="306"/>
      <c r="G3499" s="301" t="s">
        <v>174</v>
      </c>
      <c r="H3499" s="307" t="s">
        <v>175</v>
      </c>
      <c r="I3499" s="307" t="s">
        <v>171</v>
      </c>
      <c r="J3499" s="308">
        <v>4.0000000000000001E-3</v>
      </c>
      <c r="K3499" s="309">
        <f>VLOOKUP(G3499,Upah,8,FALSE)</f>
        <v>165000</v>
      </c>
      <c r="L3499" s="310">
        <f>J3499*K3499</f>
        <v>660</v>
      </c>
    </row>
    <row r="3500" spans="5:13" ht="15" customHeight="1" thickBot="1">
      <c r="F3500" s="306"/>
      <c r="G3500" s="301" t="s">
        <v>176</v>
      </c>
      <c r="H3500" s="307" t="s">
        <v>177</v>
      </c>
      <c r="I3500" s="307" t="s">
        <v>171</v>
      </c>
      <c r="J3500" s="308">
        <v>4.0000000000000001E-3</v>
      </c>
      <c r="K3500" s="309">
        <f>VLOOKUP(G3500,Upah,8,FALSE)</f>
        <v>170000</v>
      </c>
      <c r="L3500" s="310">
        <f>J3500*K3500</f>
        <v>680</v>
      </c>
    </row>
    <row r="3501" spans="5:13" ht="15" customHeight="1" thickBot="1">
      <c r="F3501" s="316"/>
      <c r="G3501" s="317"/>
      <c r="H3501" s="318"/>
      <c r="I3501" s="318"/>
      <c r="J3501" s="319" t="s">
        <v>178</v>
      </c>
      <c r="K3501" s="320"/>
      <c r="L3501" s="321">
        <f>SUM(L3497:L3500)</f>
        <v>15340</v>
      </c>
    </row>
    <row r="3502" spans="5:13" ht="15" customHeight="1">
      <c r="F3502" s="300" t="s">
        <v>179</v>
      </c>
      <c r="G3502" s="301" t="s">
        <v>180</v>
      </c>
      <c r="H3502" s="302"/>
      <c r="I3502" s="302"/>
      <c r="J3502" s="351"/>
      <c r="K3502" s="328"/>
      <c r="L3502" s="310"/>
    </row>
    <row r="3503" spans="5:13" ht="15" customHeight="1" thickBot="1">
      <c r="F3503" s="306"/>
      <c r="G3503" s="301" t="s">
        <v>183</v>
      </c>
      <c r="H3503" s="302"/>
      <c r="I3503" s="307" t="s">
        <v>45</v>
      </c>
      <c r="J3503" s="308">
        <v>1.6</v>
      </c>
      <c r="K3503" s="328">
        <f>VLOOKUP(G3503,Bahan,6,FALSE)</f>
        <v>1880</v>
      </c>
      <c r="L3503" s="310">
        <f>J3503*K3503</f>
        <v>3008</v>
      </c>
    </row>
    <row r="3504" spans="5:13" ht="15" customHeight="1" thickBot="1">
      <c r="F3504" s="316"/>
      <c r="G3504" s="317"/>
      <c r="H3504" s="318"/>
      <c r="I3504" s="318"/>
      <c r="J3504" s="319" t="s">
        <v>189</v>
      </c>
      <c r="K3504" s="320"/>
      <c r="L3504" s="321">
        <f>SUM(L3503)</f>
        <v>3008</v>
      </c>
    </row>
    <row r="3505" spans="5:13" ht="15" customHeight="1" thickBot="1">
      <c r="F3505" s="300" t="s">
        <v>190</v>
      </c>
      <c r="G3505" s="301" t="s">
        <v>191</v>
      </c>
      <c r="H3505" s="302"/>
      <c r="I3505" s="302"/>
      <c r="J3505" s="351"/>
      <c r="K3505" s="328">
        <v>0</v>
      </c>
      <c r="L3505" s="310">
        <f>J3505*K3505</f>
        <v>0</v>
      </c>
    </row>
    <row r="3506" spans="5:13" ht="15" customHeight="1" thickBot="1">
      <c r="F3506" s="316"/>
      <c r="G3506" s="317"/>
      <c r="H3506" s="318"/>
      <c r="I3506" s="318"/>
      <c r="J3506" s="319" t="s">
        <v>192</v>
      </c>
      <c r="K3506" s="320"/>
      <c r="L3506" s="321">
        <f>L3505</f>
        <v>0</v>
      </c>
    </row>
    <row r="3507" spans="5:13" ht="15" customHeight="1">
      <c r="F3507" s="344" t="s">
        <v>193</v>
      </c>
      <c r="G3507" s="345" t="s">
        <v>194</v>
      </c>
      <c r="H3507" s="346"/>
      <c r="I3507" s="346"/>
      <c r="J3507" s="347"/>
      <c r="K3507" s="348">
        <v>0</v>
      </c>
      <c r="L3507" s="310">
        <f>SUM(L3496:L3506)/2</f>
        <v>18348</v>
      </c>
    </row>
    <row r="3508" spans="5:13" ht="15" customHeight="1" thickBot="1">
      <c r="F3508" s="331" t="s">
        <v>195</v>
      </c>
      <c r="G3508" s="332" t="s">
        <v>196</v>
      </c>
      <c r="H3508" s="333"/>
      <c r="I3508" s="333"/>
      <c r="J3508" s="350">
        <v>0.1</v>
      </c>
      <c r="K3508" s="335"/>
      <c r="L3508" s="330">
        <f>J3508*L3507</f>
        <v>1834.8000000000002</v>
      </c>
    </row>
    <row r="3509" spans="5:13" ht="15" customHeight="1" thickBot="1">
      <c r="F3509" s="340" t="s">
        <v>197</v>
      </c>
      <c r="G3509" s="341" t="s">
        <v>198</v>
      </c>
      <c r="H3509" s="318"/>
      <c r="I3509" s="318"/>
      <c r="J3509" s="342"/>
      <c r="K3509" s="320">
        <v>0</v>
      </c>
      <c r="L3509" s="321">
        <f>ROUNDDOWN(L3507+L3508,0)</f>
        <v>20182</v>
      </c>
    </row>
    <row r="3510" spans="5:13" ht="15" customHeight="1">
      <c r="F3510" s="298"/>
      <c r="G3510" s="298"/>
      <c r="J3510" s="343"/>
    </row>
    <row r="3511" spans="5:13" ht="15" customHeight="1" thickBot="1">
      <c r="E3511" s="356" t="s">
        <v>734</v>
      </c>
      <c r="F3511" s="295" t="s">
        <v>735</v>
      </c>
      <c r="J3511" s="343"/>
      <c r="M3511" s="299">
        <f>L3527</f>
        <v>87984</v>
      </c>
    </row>
    <row r="3512" spans="5:13" ht="15" customHeight="1" thickBot="1">
      <c r="F3512" s="340" t="s">
        <v>136</v>
      </c>
      <c r="G3512" s="341" t="s">
        <v>162</v>
      </c>
      <c r="H3512" s="352" t="s">
        <v>163</v>
      </c>
      <c r="I3512" s="352" t="s">
        <v>138</v>
      </c>
      <c r="J3512" s="353" t="s">
        <v>164</v>
      </c>
      <c r="K3512" s="341" t="s">
        <v>165</v>
      </c>
      <c r="L3512" s="354" t="s">
        <v>166</v>
      </c>
    </row>
    <row r="3513" spans="5:13" ht="15" customHeight="1">
      <c r="F3513" s="300" t="s">
        <v>167</v>
      </c>
      <c r="G3513" s="301" t="s">
        <v>168</v>
      </c>
      <c r="H3513" s="302"/>
      <c r="I3513" s="302"/>
      <c r="J3513" s="351"/>
      <c r="K3513" s="328"/>
      <c r="L3513" s="310"/>
    </row>
    <row r="3514" spans="5:13" ht="15" customHeight="1">
      <c r="F3514" s="306"/>
      <c r="G3514" s="301" t="s">
        <v>169</v>
      </c>
      <c r="H3514" s="307" t="s">
        <v>170</v>
      </c>
      <c r="I3514" s="307" t="s">
        <v>171</v>
      </c>
      <c r="J3514" s="308">
        <v>0.3</v>
      </c>
      <c r="K3514" s="309">
        <f>VLOOKUP(G3514,Upah,8,FALSE)</f>
        <v>125000</v>
      </c>
      <c r="L3514" s="310">
        <f>J3514*K3514</f>
        <v>37500</v>
      </c>
    </row>
    <row r="3515" spans="5:13" ht="15" customHeight="1">
      <c r="F3515" s="306"/>
      <c r="G3515" s="301" t="s">
        <v>308</v>
      </c>
      <c r="H3515" s="307" t="s">
        <v>217</v>
      </c>
      <c r="I3515" s="307" t="s">
        <v>171</v>
      </c>
      <c r="J3515" s="308">
        <v>0.15</v>
      </c>
      <c r="K3515" s="309">
        <f>VLOOKUP(G3515,Upah,8,FALSE)</f>
        <v>150000</v>
      </c>
      <c r="L3515" s="310">
        <f>J3515*K3515</f>
        <v>22500</v>
      </c>
    </row>
    <row r="3516" spans="5:13" ht="15" customHeight="1">
      <c r="F3516" s="306"/>
      <c r="G3516" s="301" t="s">
        <v>174</v>
      </c>
      <c r="H3516" s="307" t="s">
        <v>175</v>
      </c>
      <c r="I3516" s="307" t="s">
        <v>171</v>
      </c>
      <c r="J3516" s="308">
        <v>1.4999999999999999E-2</v>
      </c>
      <c r="K3516" s="309">
        <f>VLOOKUP(G3516,Upah,8,FALSE)</f>
        <v>165000</v>
      </c>
      <c r="L3516" s="310">
        <f>J3516*K3516</f>
        <v>2475</v>
      </c>
    </row>
    <row r="3517" spans="5:13" ht="15" customHeight="1" thickBot="1">
      <c r="F3517" s="306"/>
      <c r="G3517" s="301" t="s">
        <v>176</v>
      </c>
      <c r="H3517" s="307" t="s">
        <v>177</v>
      </c>
      <c r="I3517" s="307" t="s">
        <v>171</v>
      </c>
      <c r="J3517" s="308">
        <v>1.4999999999999999E-2</v>
      </c>
      <c r="K3517" s="309">
        <f>VLOOKUP(G3517,Upah,8,FALSE)</f>
        <v>170000</v>
      </c>
      <c r="L3517" s="310">
        <f>J3517*K3517</f>
        <v>2550</v>
      </c>
    </row>
    <row r="3518" spans="5:13" ht="15" customHeight="1" thickBot="1">
      <c r="F3518" s="316"/>
      <c r="G3518" s="317"/>
      <c r="H3518" s="318"/>
      <c r="I3518" s="318"/>
      <c r="J3518" s="319" t="s">
        <v>178</v>
      </c>
      <c r="K3518" s="320"/>
      <c r="L3518" s="321">
        <f>SUM(L3514:L3517)</f>
        <v>65025</v>
      </c>
    </row>
    <row r="3519" spans="5:13" ht="15" customHeight="1">
      <c r="F3519" s="300" t="s">
        <v>179</v>
      </c>
      <c r="G3519" s="301" t="s">
        <v>180</v>
      </c>
      <c r="H3519" s="302"/>
      <c r="I3519" s="302"/>
      <c r="J3519" s="351"/>
      <c r="K3519" s="328"/>
      <c r="L3519" s="310"/>
    </row>
    <row r="3520" spans="5:13" ht="15" customHeight="1">
      <c r="F3520" s="306"/>
      <c r="G3520" s="301" t="s">
        <v>183</v>
      </c>
      <c r="H3520" s="302"/>
      <c r="I3520" s="307" t="s">
        <v>45</v>
      </c>
      <c r="J3520" s="308">
        <v>6.34</v>
      </c>
      <c r="K3520" s="328">
        <f>VLOOKUP(G3520,Bahan,6,FALSE)</f>
        <v>1880</v>
      </c>
      <c r="L3520" s="310">
        <f>J3520*K3520</f>
        <v>11919.199999999999</v>
      </c>
    </row>
    <row r="3521" spans="5:13" ht="15" customHeight="1" thickBot="1">
      <c r="F3521" s="306"/>
      <c r="G3521" s="301" t="s">
        <v>296</v>
      </c>
      <c r="H3521" s="302"/>
      <c r="I3521" s="307" t="s">
        <v>44</v>
      </c>
      <c r="J3521" s="308">
        <v>1.2E-2</v>
      </c>
      <c r="K3521" s="328">
        <f>VLOOKUP(G3521,Bahan,6,FALSE)</f>
        <v>253510</v>
      </c>
      <c r="L3521" s="310">
        <f>J3521*K3521</f>
        <v>3042.12</v>
      </c>
    </row>
    <row r="3522" spans="5:13" ht="15" customHeight="1" thickBot="1">
      <c r="F3522" s="316"/>
      <c r="G3522" s="317"/>
      <c r="H3522" s="318"/>
      <c r="I3522" s="318"/>
      <c r="J3522" s="319" t="s">
        <v>189</v>
      </c>
      <c r="K3522" s="320"/>
      <c r="L3522" s="321">
        <f>SUM(L3520:L3521)</f>
        <v>14961.32</v>
      </c>
    </row>
    <row r="3523" spans="5:13" ht="15" customHeight="1" thickBot="1">
      <c r="F3523" s="300" t="s">
        <v>190</v>
      </c>
      <c r="G3523" s="301" t="s">
        <v>191</v>
      </c>
      <c r="H3523" s="302"/>
      <c r="I3523" s="302"/>
      <c r="J3523" s="351"/>
      <c r="K3523" s="328">
        <v>0</v>
      </c>
      <c r="L3523" s="310">
        <f>J3523*K3523</f>
        <v>0</v>
      </c>
    </row>
    <row r="3524" spans="5:13" ht="15" customHeight="1" thickBot="1">
      <c r="F3524" s="316"/>
      <c r="G3524" s="317"/>
      <c r="H3524" s="318"/>
      <c r="I3524" s="318"/>
      <c r="J3524" s="319" t="s">
        <v>192</v>
      </c>
      <c r="K3524" s="320"/>
      <c r="L3524" s="321">
        <f>L3523</f>
        <v>0</v>
      </c>
    </row>
    <row r="3525" spans="5:13" ht="15" customHeight="1">
      <c r="F3525" s="344" t="s">
        <v>193</v>
      </c>
      <c r="G3525" s="345" t="s">
        <v>194</v>
      </c>
      <c r="H3525" s="346"/>
      <c r="I3525" s="346"/>
      <c r="J3525" s="347"/>
      <c r="K3525" s="348">
        <v>0</v>
      </c>
      <c r="L3525" s="310">
        <f>SUM(L3514:L3524)/2</f>
        <v>79986.320000000007</v>
      </c>
    </row>
    <row r="3526" spans="5:13" ht="15" customHeight="1" thickBot="1">
      <c r="F3526" s="331" t="s">
        <v>195</v>
      </c>
      <c r="G3526" s="332" t="s">
        <v>196</v>
      </c>
      <c r="H3526" s="333"/>
      <c r="I3526" s="333"/>
      <c r="J3526" s="350">
        <v>0.1</v>
      </c>
      <c r="K3526" s="335"/>
      <c r="L3526" s="330">
        <f>J3526*L3525</f>
        <v>7998.6320000000014</v>
      </c>
    </row>
    <row r="3527" spans="5:13" ht="15" customHeight="1" thickBot="1">
      <c r="F3527" s="340" t="s">
        <v>197</v>
      </c>
      <c r="G3527" s="341" t="s">
        <v>198</v>
      </c>
      <c r="H3527" s="318"/>
      <c r="I3527" s="318"/>
      <c r="J3527" s="342"/>
      <c r="K3527" s="320">
        <v>0</v>
      </c>
      <c r="L3527" s="321">
        <f>ROUNDDOWN(L3525+L3526,0)</f>
        <v>87984</v>
      </c>
    </row>
    <row r="3528" spans="5:13" ht="15" customHeight="1">
      <c r="F3528" s="298"/>
      <c r="G3528" s="298"/>
      <c r="J3528" s="343"/>
    </row>
    <row r="3529" spans="5:13" ht="15" customHeight="1" thickBot="1">
      <c r="E3529" s="356" t="s">
        <v>736</v>
      </c>
      <c r="F3529" s="295" t="s">
        <v>737</v>
      </c>
      <c r="J3529" s="343"/>
      <c r="M3529" s="299">
        <f>L3544</f>
        <v>54406</v>
      </c>
    </row>
    <row r="3530" spans="5:13" ht="15" customHeight="1" thickBot="1">
      <c r="F3530" s="340" t="s">
        <v>136</v>
      </c>
      <c r="G3530" s="341" t="s">
        <v>162</v>
      </c>
      <c r="H3530" s="352" t="s">
        <v>163</v>
      </c>
      <c r="I3530" s="352" t="s">
        <v>138</v>
      </c>
      <c r="J3530" s="353" t="s">
        <v>164</v>
      </c>
      <c r="K3530" s="341" t="s">
        <v>165</v>
      </c>
      <c r="L3530" s="354" t="s">
        <v>166</v>
      </c>
    </row>
    <row r="3531" spans="5:13" ht="15" customHeight="1">
      <c r="F3531" s="300" t="s">
        <v>167</v>
      </c>
      <c r="G3531" s="301" t="s">
        <v>168</v>
      </c>
      <c r="H3531" s="302"/>
      <c r="I3531" s="302"/>
      <c r="J3531" s="351"/>
      <c r="K3531" s="328"/>
      <c r="L3531" s="310"/>
    </row>
    <row r="3532" spans="5:13" ht="15" customHeight="1">
      <c r="F3532" s="306"/>
      <c r="G3532" s="301" t="s">
        <v>169</v>
      </c>
      <c r="H3532" s="307" t="s">
        <v>170</v>
      </c>
      <c r="I3532" s="307" t="s">
        <v>171</v>
      </c>
      <c r="J3532" s="308">
        <v>0.2</v>
      </c>
      <c r="K3532" s="309">
        <f>VLOOKUP(G3532,Upah,8,FALSE)</f>
        <v>125000</v>
      </c>
      <c r="L3532" s="310">
        <f>J3532*K3532</f>
        <v>25000</v>
      </c>
    </row>
    <row r="3533" spans="5:13" ht="15" customHeight="1">
      <c r="F3533" s="306"/>
      <c r="G3533" s="301" t="s">
        <v>308</v>
      </c>
      <c r="H3533" s="307" t="s">
        <v>217</v>
      </c>
      <c r="I3533" s="307" t="s">
        <v>171</v>
      </c>
      <c r="J3533" s="308">
        <v>0.1</v>
      </c>
      <c r="K3533" s="309">
        <f>VLOOKUP(G3533,Upah,8,FALSE)</f>
        <v>150000</v>
      </c>
      <c r="L3533" s="310">
        <f>J3533*K3533</f>
        <v>15000</v>
      </c>
    </row>
    <row r="3534" spans="5:13" ht="15" customHeight="1">
      <c r="F3534" s="306"/>
      <c r="G3534" s="301" t="s">
        <v>174</v>
      </c>
      <c r="H3534" s="307" t="s">
        <v>175</v>
      </c>
      <c r="I3534" s="307" t="s">
        <v>171</v>
      </c>
      <c r="J3534" s="308">
        <v>0.01</v>
      </c>
      <c r="K3534" s="309">
        <f>VLOOKUP(G3534,Upah,8,FALSE)</f>
        <v>165000</v>
      </c>
      <c r="L3534" s="310">
        <f>J3534*K3534</f>
        <v>1650</v>
      </c>
    </row>
    <row r="3535" spans="5:13" ht="15" customHeight="1" thickBot="1">
      <c r="F3535" s="306"/>
      <c r="G3535" s="301" t="s">
        <v>176</v>
      </c>
      <c r="H3535" s="307" t="s">
        <v>177</v>
      </c>
      <c r="I3535" s="307" t="s">
        <v>171</v>
      </c>
      <c r="J3535" s="308">
        <v>0.01</v>
      </c>
      <c r="K3535" s="309">
        <f>VLOOKUP(G3535,Upah,8,FALSE)</f>
        <v>170000</v>
      </c>
      <c r="L3535" s="310">
        <f>J3535*K3535</f>
        <v>1700</v>
      </c>
    </row>
    <row r="3536" spans="5:13" ht="15" customHeight="1" thickBot="1">
      <c r="F3536" s="316"/>
      <c r="G3536" s="317"/>
      <c r="H3536" s="318"/>
      <c r="I3536" s="318"/>
      <c r="J3536" s="319" t="s">
        <v>178</v>
      </c>
      <c r="K3536" s="320"/>
      <c r="L3536" s="321">
        <f>SUM(L3532:L3535)</f>
        <v>43350</v>
      </c>
    </row>
    <row r="3537" spans="5:13" ht="15" customHeight="1">
      <c r="F3537" s="300" t="s">
        <v>179</v>
      </c>
      <c r="G3537" s="301" t="s">
        <v>180</v>
      </c>
      <c r="H3537" s="302"/>
      <c r="I3537" s="302"/>
      <c r="J3537" s="351"/>
      <c r="K3537" s="328"/>
      <c r="L3537" s="310"/>
    </row>
    <row r="3538" spans="5:13" ht="15" customHeight="1" thickBot="1">
      <c r="F3538" s="306"/>
      <c r="G3538" s="301" t="s">
        <v>183</v>
      </c>
      <c r="H3538" s="302"/>
      <c r="I3538" s="307" t="s">
        <v>45</v>
      </c>
      <c r="J3538" s="308">
        <v>3.25</v>
      </c>
      <c r="K3538" s="328">
        <f>VLOOKUP(G3538,Bahan,6,FALSE)</f>
        <v>1880</v>
      </c>
      <c r="L3538" s="310">
        <f>J3538*K3538</f>
        <v>6110</v>
      </c>
    </row>
    <row r="3539" spans="5:13" ht="15" customHeight="1" thickBot="1">
      <c r="F3539" s="316"/>
      <c r="G3539" s="317"/>
      <c r="H3539" s="318"/>
      <c r="I3539" s="318"/>
      <c r="J3539" s="319" t="s">
        <v>189</v>
      </c>
      <c r="K3539" s="320"/>
      <c r="L3539" s="321">
        <f>SUM(L3538)</f>
        <v>6110</v>
      </c>
    </row>
    <row r="3540" spans="5:13" ht="15" customHeight="1" thickBot="1">
      <c r="F3540" s="300" t="s">
        <v>190</v>
      </c>
      <c r="G3540" s="301" t="s">
        <v>191</v>
      </c>
      <c r="H3540" s="302"/>
      <c r="I3540" s="302"/>
      <c r="J3540" s="351"/>
      <c r="K3540" s="328">
        <v>0</v>
      </c>
      <c r="L3540" s="310">
        <f>J3540*K3540</f>
        <v>0</v>
      </c>
    </row>
    <row r="3541" spans="5:13" ht="15" customHeight="1" thickBot="1">
      <c r="F3541" s="316"/>
      <c r="G3541" s="317"/>
      <c r="H3541" s="318"/>
      <c r="I3541" s="318"/>
      <c r="J3541" s="319" t="s">
        <v>192</v>
      </c>
      <c r="K3541" s="320"/>
      <c r="L3541" s="321">
        <f>L3540</f>
        <v>0</v>
      </c>
    </row>
    <row r="3542" spans="5:13" ht="15" customHeight="1">
      <c r="F3542" s="344" t="s">
        <v>193</v>
      </c>
      <c r="G3542" s="345" t="s">
        <v>194</v>
      </c>
      <c r="H3542" s="346"/>
      <c r="I3542" s="346"/>
      <c r="J3542" s="347"/>
      <c r="K3542" s="348">
        <v>0</v>
      </c>
      <c r="L3542" s="310">
        <f>SUM(L3531:L3541)/2</f>
        <v>49460</v>
      </c>
    </row>
    <row r="3543" spans="5:13" ht="15" customHeight="1" thickBot="1">
      <c r="F3543" s="331" t="s">
        <v>195</v>
      </c>
      <c r="G3543" s="332" t="s">
        <v>196</v>
      </c>
      <c r="H3543" s="333"/>
      <c r="I3543" s="333"/>
      <c r="J3543" s="350">
        <v>0.1</v>
      </c>
      <c r="K3543" s="335"/>
      <c r="L3543" s="330">
        <f>J3543*L3542</f>
        <v>4946</v>
      </c>
    </row>
    <row r="3544" spans="5:13" ht="15" customHeight="1" thickBot="1">
      <c r="F3544" s="340" t="s">
        <v>197</v>
      </c>
      <c r="G3544" s="341" t="s">
        <v>198</v>
      </c>
      <c r="H3544" s="318"/>
      <c r="I3544" s="318"/>
      <c r="J3544" s="342"/>
      <c r="K3544" s="320">
        <v>0</v>
      </c>
      <c r="L3544" s="321">
        <f>ROUNDDOWN(L3542+L3543,0)</f>
        <v>54406</v>
      </c>
    </row>
    <row r="3545" spans="5:13" ht="15" customHeight="1">
      <c r="F3545" s="298"/>
      <c r="G3545" s="298"/>
      <c r="J3545" s="343"/>
      <c r="K3545" s="355"/>
      <c r="L3545" s="299"/>
    </row>
    <row r="3546" spans="5:13" ht="15" customHeight="1" thickBot="1">
      <c r="E3546" s="356" t="s">
        <v>738</v>
      </c>
      <c r="F3546" s="298" t="s">
        <v>739</v>
      </c>
      <c r="G3546" s="298"/>
      <c r="J3546" s="343"/>
      <c r="K3546" s="355"/>
      <c r="L3546" s="299"/>
      <c r="M3546" s="299">
        <f>L3561</f>
        <v>112535</v>
      </c>
    </row>
    <row r="3547" spans="5:13" ht="15" customHeight="1" thickBot="1">
      <c r="F3547" s="340" t="s">
        <v>136</v>
      </c>
      <c r="G3547" s="341" t="s">
        <v>162</v>
      </c>
      <c r="H3547" s="352" t="s">
        <v>163</v>
      </c>
      <c r="I3547" s="352" t="s">
        <v>138</v>
      </c>
      <c r="J3547" s="353" t="s">
        <v>164</v>
      </c>
      <c r="K3547" s="341" t="s">
        <v>165</v>
      </c>
      <c r="L3547" s="354" t="s">
        <v>166</v>
      </c>
    </row>
    <row r="3548" spans="5:13" ht="15" customHeight="1">
      <c r="F3548" s="300" t="s">
        <v>167</v>
      </c>
      <c r="G3548" s="301" t="s">
        <v>168</v>
      </c>
      <c r="H3548" s="302"/>
      <c r="I3548" s="302"/>
      <c r="J3548" s="351"/>
      <c r="K3548" s="328"/>
      <c r="L3548" s="310"/>
    </row>
    <row r="3549" spans="5:13" ht="15" customHeight="1">
      <c r="F3549" s="306"/>
      <c r="G3549" s="301" t="s">
        <v>169</v>
      </c>
      <c r="H3549" s="307" t="s">
        <v>170</v>
      </c>
      <c r="I3549" s="307" t="s">
        <v>171</v>
      </c>
      <c r="J3549" s="308">
        <v>0.3</v>
      </c>
      <c r="K3549" s="309">
        <f>VLOOKUP(G3549,Upah,8,FALSE)</f>
        <v>125000</v>
      </c>
      <c r="L3549" s="310">
        <f>J3549*K3549</f>
        <v>37500</v>
      </c>
    </row>
    <row r="3550" spans="5:13" ht="15" customHeight="1">
      <c r="F3550" s="306"/>
      <c r="G3550" s="301" t="s">
        <v>308</v>
      </c>
      <c r="H3550" s="307" t="s">
        <v>217</v>
      </c>
      <c r="I3550" s="307" t="s">
        <v>171</v>
      </c>
      <c r="J3550" s="308">
        <v>0.15</v>
      </c>
      <c r="K3550" s="309">
        <f>VLOOKUP(G3550,Upah,8,FALSE)</f>
        <v>150000</v>
      </c>
      <c r="L3550" s="310">
        <f>J3550*K3550</f>
        <v>22500</v>
      </c>
    </row>
    <row r="3551" spans="5:13" ht="15" customHeight="1">
      <c r="F3551" s="306"/>
      <c r="G3551" s="301" t="s">
        <v>174</v>
      </c>
      <c r="H3551" s="307" t="s">
        <v>175</v>
      </c>
      <c r="I3551" s="307" t="s">
        <v>171</v>
      </c>
      <c r="J3551" s="308">
        <v>1.4999999999999999E-2</v>
      </c>
      <c r="K3551" s="309">
        <f>VLOOKUP(G3551,Upah,8,FALSE)</f>
        <v>165000</v>
      </c>
      <c r="L3551" s="310">
        <f>J3551*K3551</f>
        <v>2475</v>
      </c>
    </row>
    <row r="3552" spans="5:13" ht="15" customHeight="1" thickBot="1">
      <c r="F3552" s="306"/>
      <c r="G3552" s="301" t="s">
        <v>176</v>
      </c>
      <c r="H3552" s="307" t="s">
        <v>177</v>
      </c>
      <c r="I3552" s="307" t="s">
        <v>171</v>
      </c>
      <c r="J3552" s="308">
        <v>1.4999999999999999E-2</v>
      </c>
      <c r="K3552" s="309">
        <f>VLOOKUP(G3552,Upah,8,FALSE)</f>
        <v>170000</v>
      </c>
      <c r="L3552" s="310">
        <f>J3552*K3552</f>
        <v>2550</v>
      </c>
    </row>
    <row r="3553" spans="5:13" ht="15" customHeight="1" thickBot="1">
      <c r="F3553" s="316"/>
      <c r="G3553" s="317"/>
      <c r="H3553" s="318"/>
      <c r="I3553" s="318"/>
      <c r="J3553" s="319" t="s">
        <v>178</v>
      </c>
      <c r="K3553" s="320"/>
      <c r="L3553" s="321">
        <f>SUM(L3549:L3552)</f>
        <v>65025</v>
      </c>
    </row>
    <row r="3554" spans="5:13" ht="15" customHeight="1">
      <c r="F3554" s="300" t="s">
        <v>179</v>
      </c>
      <c r="G3554" s="301" t="s">
        <v>180</v>
      </c>
      <c r="H3554" s="302"/>
      <c r="I3554" s="302"/>
      <c r="J3554" s="351"/>
      <c r="K3554" s="328"/>
      <c r="L3554" s="310"/>
    </row>
    <row r="3555" spans="5:13" ht="15" customHeight="1" thickBot="1">
      <c r="F3555" s="306"/>
      <c r="G3555" s="301" t="s">
        <v>740</v>
      </c>
      <c r="H3555" s="302"/>
      <c r="I3555" s="307" t="s">
        <v>45</v>
      </c>
      <c r="J3555" s="308">
        <f>0.4*40</f>
        <v>16</v>
      </c>
      <c r="K3555" s="328">
        <f>VLOOKUP(G3555,Bahan,6,FALSE)</f>
        <v>2330</v>
      </c>
      <c r="L3555" s="310">
        <f>J3555*K3555</f>
        <v>37280</v>
      </c>
    </row>
    <row r="3556" spans="5:13" ht="15" customHeight="1" thickBot="1">
      <c r="F3556" s="316"/>
      <c r="G3556" s="317"/>
      <c r="H3556" s="318"/>
      <c r="I3556" s="318"/>
      <c r="J3556" s="319" t="s">
        <v>189</v>
      </c>
      <c r="K3556" s="320"/>
      <c r="L3556" s="321">
        <f>SUM(L3555)</f>
        <v>37280</v>
      </c>
    </row>
    <row r="3557" spans="5:13" ht="15" customHeight="1" thickBot="1">
      <c r="F3557" s="300" t="s">
        <v>190</v>
      </c>
      <c r="G3557" s="301" t="s">
        <v>191</v>
      </c>
      <c r="H3557" s="302"/>
      <c r="I3557" s="302"/>
      <c r="J3557" s="351"/>
      <c r="K3557" s="328">
        <v>0</v>
      </c>
      <c r="L3557" s="310">
        <f>J3557*K3557</f>
        <v>0</v>
      </c>
    </row>
    <row r="3558" spans="5:13" ht="15" customHeight="1" thickBot="1">
      <c r="F3558" s="316"/>
      <c r="G3558" s="317"/>
      <c r="H3558" s="318"/>
      <c r="I3558" s="318"/>
      <c r="J3558" s="319" t="s">
        <v>192</v>
      </c>
      <c r="K3558" s="320"/>
      <c r="L3558" s="321">
        <f>L3557</f>
        <v>0</v>
      </c>
    </row>
    <row r="3559" spans="5:13" ht="15" customHeight="1">
      <c r="F3559" s="344" t="s">
        <v>193</v>
      </c>
      <c r="G3559" s="345" t="s">
        <v>194</v>
      </c>
      <c r="H3559" s="346"/>
      <c r="I3559" s="346"/>
      <c r="J3559" s="347"/>
      <c r="K3559" s="348">
        <v>0</v>
      </c>
      <c r="L3559" s="310">
        <f>SUM(L3548:L3558)/2</f>
        <v>102305</v>
      </c>
    </row>
    <row r="3560" spans="5:13" ht="15" customHeight="1" thickBot="1">
      <c r="F3560" s="331" t="s">
        <v>195</v>
      </c>
      <c r="G3560" s="332" t="s">
        <v>196</v>
      </c>
      <c r="H3560" s="333"/>
      <c r="I3560" s="333"/>
      <c r="J3560" s="350">
        <v>0.1</v>
      </c>
      <c r="K3560" s="335"/>
      <c r="L3560" s="330">
        <f>J3560*L3559</f>
        <v>10230.5</v>
      </c>
    </row>
    <row r="3561" spans="5:13" ht="15" customHeight="1" thickBot="1">
      <c r="F3561" s="340" t="s">
        <v>197</v>
      </c>
      <c r="G3561" s="341" t="s">
        <v>198</v>
      </c>
      <c r="H3561" s="318"/>
      <c r="I3561" s="318"/>
      <c r="J3561" s="342"/>
      <c r="K3561" s="320">
        <v>0</v>
      </c>
      <c r="L3561" s="321">
        <f>ROUNDDOWN(L3559+L3560,0)</f>
        <v>112535</v>
      </c>
    </row>
    <row r="3562" spans="5:13" ht="15" customHeight="1">
      <c r="F3562" s="298"/>
      <c r="G3562" s="298"/>
      <c r="J3562" s="343"/>
      <c r="K3562" s="355"/>
      <c r="L3562" s="299"/>
    </row>
    <row r="3563" spans="5:13" ht="15" customHeight="1" thickBot="1">
      <c r="E3563" s="356" t="s">
        <v>741</v>
      </c>
      <c r="F3563" s="298" t="s">
        <v>742</v>
      </c>
      <c r="G3563" s="298"/>
      <c r="J3563" s="343"/>
      <c r="K3563" s="355"/>
      <c r="L3563" s="299"/>
      <c r="M3563" s="299">
        <f>L3578</f>
        <v>56911</v>
      </c>
    </row>
    <row r="3564" spans="5:13" ht="15" customHeight="1" thickBot="1">
      <c r="F3564" s="340" t="s">
        <v>136</v>
      </c>
      <c r="G3564" s="341" t="s">
        <v>162</v>
      </c>
      <c r="H3564" s="352" t="s">
        <v>163</v>
      </c>
      <c r="I3564" s="352" t="s">
        <v>138</v>
      </c>
      <c r="J3564" s="353" t="s">
        <v>164</v>
      </c>
      <c r="K3564" s="341" t="s">
        <v>165</v>
      </c>
      <c r="L3564" s="354" t="s">
        <v>166</v>
      </c>
    </row>
    <row r="3565" spans="5:13" ht="15" customHeight="1">
      <c r="F3565" s="300" t="s">
        <v>167</v>
      </c>
      <c r="G3565" s="301" t="s">
        <v>168</v>
      </c>
      <c r="H3565" s="302"/>
      <c r="I3565" s="302"/>
      <c r="J3565" s="351"/>
      <c r="K3565" s="328"/>
      <c r="L3565" s="310"/>
    </row>
    <row r="3566" spans="5:13" ht="15" customHeight="1">
      <c r="F3566" s="306"/>
      <c r="G3566" s="301" t="s">
        <v>169</v>
      </c>
      <c r="H3566" s="307" t="s">
        <v>170</v>
      </c>
      <c r="I3566" s="307" t="s">
        <v>171</v>
      </c>
      <c r="J3566" s="308">
        <v>0.2</v>
      </c>
      <c r="K3566" s="309">
        <f>VLOOKUP(G3566,Upah,8,FALSE)</f>
        <v>125000</v>
      </c>
      <c r="L3566" s="310">
        <f>J3566*K3566</f>
        <v>25000</v>
      </c>
    </row>
    <row r="3567" spans="5:13" ht="15" customHeight="1">
      <c r="F3567" s="306"/>
      <c r="G3567" s="301" t="s">
        <v>308</v>
      </c>
      <c r="H3567" s="307" t="s">
        <v>217</v>
      </c>
      <c r="I3567" s="307" t="s">
        <v>171</v>
      </c>
      <c r="J3567" s="308">
        <v>0.1</v>
      </c>
      <c r="K3567" s="309">
        <f>VLOOKUP(G3567,Upah,8,FALSE)</f>
        <v>150000</v>
      </c>
      <c r="L3567" s="310">
        <f>J3567*K3567</f>
        <v>15000</v>
      </c>
    </row>
    <row r="3568" spans="5:13" ht="15" customHeight="1">
      <c r="F3568" s="306"/>
      <c r="G3568" s="301" t="s">
        <v>174</v>
      </c>
      <c r="H3568" s="307" t="s">
        <v>175</v>
      </c>
      <c r="I3568" s="307" t="s">
        <v>171</v>
      </c>
      <c r="J3568" s="308">
        <v>0.01</v>
      </c>
      <c r="K3568" s="309">
        <f>VLOOKUP(G3568,Upah,8,FALSE)</f>
        <v>165000</v>
      </c>
      <c r="L3568" s="310">
        <f>J3568*K3568</f>
        <v>1650</v>
      </c>
    </row>
    <row r="3569" spans="1:13" ht="15" customHeight="1" thickBot="1">
      <c r="F3569" s="306"/>
      <c r="G3569" s="301" t="s">
        <v>176</v>
      </c>
      <c r="H3569" s="307" t="s">
        <v>177</v>
      </c>
      <c r="I3569" s="307" t="s">
        <v>171</v>
      </c>
      <c r="J3569" s="308">
        <v>0.01</v>
      </c>
      <c r="K3569" s="309">
        <f>VLOOKUP(G3569,Upah,8,FALSE)</f>
        <v>170000</v>
      </c>
      <c r="L3569" s="310">
        <f>J3569*K3569</f>
        <v>1700</v>
      </c>
    </row>
    <row r="3570" spans="1:13" ht="15" customHeight="1" thickBot="1">
      <c r="F3570" s="316"/>
      <c r="G3570" s="317"/>
      <c r="H3570" s="318"/>
      <c r="I3570" s="318"/>
      <c r="J3570" s="319" t="s">
        <v>178</v>
      </c>
      <c r="K3570" s="320"/>
      <c r="L3570" s="321">
        <f>SUM(L3566:L3569)</f>
        <v>43350</v>
      </c>
    </row>
    <row r="3571" spans="1:13" ht="15" customHeight="1">
      <c r="F3571" s="300" t="s">
        <v>179</v>
      </c>
      <c r="G3571" s="301" t="s">
        <v>180</v>
      </c>
      <c r="H3571" s="302"/>
      <c r="I3571" s="302"/>
      <c r="J3571" s="351"/>
      <c r="K3571" s="328"/>
      <c r="L3571" s="310"/>
    </row>
    <row r="3572" spans="1:13" ht="15" customHeight="1" thickBot="1">
      <c r="F3572" s="306"/>
      <c r="G3572" s="301" t="s">
        <v>743</v>
      </c>
      <c r="H3572" s="302"/>
      <c r="I3572" s="307" t="s">
        <v>45</v>
      </c>
      <c r="J3572" s="308">
        <f>0.09*40</f>
        <v>3.5999999999999996</v>
      </c>
      <c r="K3572" s="328">
        <f>VLOOKUP(G3572,Bahan,6,FALSE)</f>
        <v>2330</v>
      </c>
      <c r="L3572" s="310">
        <f>J3572*K3572</f>
        <v>8388</v>
      </c>
    </row>
    <row r="3573" spans="1:13" ht="15" customHeight="1" thickBot="1">
      <c r="F3573" s="316"/>
      <c r="G3573" s="317"/>
      <c r="H3573" s="318"/>
      <c r="I3573" s="318"/>
      <c r="J3573" s="319" t="s">
        <v>189</v>
      </c>
      <c r="K3573" s="320"/>
      <c r="L3573" s="321">
        <f>SUM(L3572)</f>
        <v>8388</v>
      </c>
    </row>
    <row r="3574" spans="1:13" ht="15" customHeight="1" thickBot="1">
      <c r="F3574" s="300" t="s">
        <v>190</v>
      </c>
      <c r="G3574" s="301" t="s">
        <v>191</v>
      </c>
      <c r="H3574" s="302"/>
      <c r="I3574" s="302"/>
      <c r="J3574" s="351"/>
      <c r="K3574" s="328">
        <v>0</v>
      </c>
      <c r="L3574" s="310">
        <f>J3574*K3574</f>
        <v>0</v>
      </c>
    </row>
    <row r="3575" spans="1:13" ht="15" customHeight="1" thickBot="1">
      <c r="F3575" s="316"/>
      <c r="G3575" s="317"/>
      <c r="H3575" s="318"/>
      <c r="I3575" s="318"/>
      <c r="J3575" s="319" t="s">
        <v>192</v>
      </c>
      <c r="K3575" s="320"/>
      <c r="L3575" s="321">
        <f>L3574</f>
        <v>0</v>
      </c>
    </row>
    <row r="3576" spans="1:13" ht="15" customHeight="1">
      <c r="F3576" s="344" t="s">
        <v>193</v>
      </c>
      <c r="G3576" s="345" t="s">
        <v>194</v>
      </c>
      <c r="H3576" s="346"/>
      <c r="I3576" s="346"/>
      <c r="J3576" s="347"/>
      <c r="K3576" s="348">
        <v>0</v>
      </c>
      <c r="L3576" s="310">
        <f>SUM(L3565:L3575)/2</f>
        <v>51738</v>
      </c>
    </row>
    <row r="3577" spans="1:13" ht="15" customHeight="1" thickBot="1">
      <c r="F3577" s="331" t="s">
        <v>195</v>
      </c>
      <c r="G3577" s="332" t="s">
        <v>196</v>
      </c>
      <c r="H3577" s="333"/>
      <c r="I3577" s="333"/>
      <c r="J3577" s="350">
        <v>0.1</v>
      </c>
      <c r="K3577" s="335"/>
      <c r="L3577" s="330">
        <f>J3577*L3576</f>
        <v>5173.8</v>
      </c>
    </row>
    <row r="3578" spans="1:13" ht="15" customHeight="1" thickBot="1">
      <c r="F3578" s="340" t="s">
        <v>197</v>
      </c>
      <c r="G3578" s="341" t="s">
        <v>198</v>
      </c>
      <c r="H3578" s="318"/>
      <c r="I3578" s="318"/>
      <c r="J3578" s="342"/>
      <c r="K3578" s="320">
        <v>0</v>
      </c>
      <c r="L3578" s="321">
        <f>ROUNDDOWN(L3576+L3577,0)</f>
        <v>56911</v>
      </c>
    </row>
    <row r="3579" spans="1:13" ht="15" customHeight="1">
      <c r="F3579" s="298"/>
      <c r="G3579" s="298"/>
      <c r="J3579" s="343"/>
      <c r="K3579" s="355"/>
      <c r="L3579" s="299"/>
    </row>
    <row r="3580" spans="1:13" s="422" customFormat="1" ht="15" customHeight="1">
      <c r="A3580" s="619"/>
      <c r="B3580" s="619"/>
      <c r="C3580" s="619"/>
      <c r="D3580" s="560" t="s">
        <v>744</v>
      </c>
      <c r="E3580" s="358" t="s">
        <v>745</v>
      </c>
      <c r="F3580" s="419"/>
      <c r="G3580" s="419"/>
      <c r="H3580" s="420"/>
      <c r="I3580" s="420"/>
      <c r="J3580" s="421"/>
      <c r="K3580" s="419"/>
      <c r="L3580" s="419"/>
      <c r="M3580" s="419"/>
    </row>
    <row r="3581" spans="1:13" ht="15" customHeight="1" thickBot="1">
      <c r="E3581" s="356" t="s">
        <v>746</v>
      </c>
      <c r="F3581" s="295" t="s">
        <v>747</v>
      </c>
      <c r="J3581" s="343"/>
      <c r="M3581" s="299">
        <f>L3598</f>
        <v>146427</v>
      </c>
    </row>
    <row r="3582" spans="1:13" ht="15" customHeight="1" thickBot="1">
      <c r="F3582" s="340" t="s">
        <v>136</v>
      </c>
      <c r="G3582" s="341" t="s">
        <v>162</v>
      </c>
      <c r="H3582" s="352" t="s">
        <v>163</v>
      </c>
      <c r="I3582" s="352" t="s">
        <v>138</v>
      </c>
      <c r="J3582" s="353" t="s">
        <v>164</v>
      </c>
      <c r="K3582" s="341" t="s">
        <v>165</v>
      </c>
      <c r="L3582" s="354" t="s">
        <v>166</v>
      </c>
    </row>
    <row r="3583" spans="1:13" ht="15" customHeight="1">
      <c r="F3583" s="300" t="s">
        <v>167</v>
      </c>
      <c r="G3583" s="301" t="s">
        <v>168</v>
      </c>
      <c r="H3583" s="302"/>
      <c r="I3583" s="302"/>
      <c r="J3583" s="351"/>
      <c r="K3583" s="328"/>
      <c r="L3583" s="310"/>
    </row>
    <row r="3584" spans="1:13" ht="15" customHeight="1">
      <c r="F3584" s="306"/>
      <c r="G3584" s="301" t="s">
        <v>169</v>
      </c>
      <c r="H3584" s="307" t="s">
        <v>170</v>
      </c>
      <c r="I3584" s="307" t="s">
        <v>171</v>
      </c>
      <c r="J3584" s="308">
        <v>0.25</v>
      </c>
      <c r="K3584" s="309">
        <f>VLOOKUP(G3584,Upah,8,FALSE)</f>
        <v>125000</v>
      </c>
      <c r="L3584" s="310">
        <f>J3584*K3584</f>
        <v>31250</v>
      </c>
    </row>
    <row r="3585" spans="5:13" ht="15" customHeight="1">
      <c r="F3585" s="306"/>
      <c r="G3585" s="301" t="s">
        <v>308</v>
      </c>
      <c r="H3585" s="307" t="s">
        <v>217</v>
      </c>
      <c r="I3585" s="307" t="s">
        <v>171</v>
      </c>
      <c r="J3585" s="308">
        <v>0.125</v>
      </c>
      <c r="K3585" s="309">
        <f>VLOOKUP(G3585,Upah,8,FALSE)</f>
        <v>150000</v>
      </c>
      <c r="L3585" s="310">
        <f>J3585*K3585</f>
        <v>18750</v>
      </c>
    </row>
    <row r="3586" spans="5:13" ht="15" customHeight="1">
      <c r="F3586" s="306"/>
      <c r="G3586" s="301" t="s">
        <v>232</v>
      </c>
      <c r="H3586" s="307" t="s">
        <v>175</v>
      </c>
      <c r="I3586" s="307" t="s">
        <v>171</v>
      </c>
      <c r="J3586" s="308">
        <v>1.2999999999999999E-2</v>
      </c>
      <c r="K3586" s="309">
        <f>VLOOKUP(G3586,Upah,8,FALSE)</f>
        <v>165000</v>
      </c>
      <c r="L3586" s="310">
        <f>J3586*K3586</f>
        <v>2145</v>
      </c>
    </row>
    <row r="3587" spans="5:13" ht="15" customHeight="1" thickBot="1">
      <c r="F3587" s="306"/>
      <c r="G3587" s="301" t="s">
        <v>176</v>
      </c>
      <c r="H3587" s="307" t="s">
        <v>177</v>
      </c>
      <c r="I3587" s="307" t="s">
        <v>171</v>
      </c>
      <c r="J3587" s="308">
        <v>1.2999999999999999E-2</v>
      </c>
      <c r="K3587" s="309">
        <f>VLOOKUP(G3587,Upah,8,FALSE)</f>
        <v>170000</v>
      </c>
      <c r="L3587" s="310">
        <f>J3587*K3587</f>
        <v>2210</v>
      </c>
    </row>
    <row r="3588" spans="5:13" ht="15" customHeight="1" thickBot="1">
      <c r="F3588" s="316"/>
      <c r="G3588" s="317"/>
      <c r="H3588" s="318"/>
      <c r="I3588" s="318"/>
      <c r="J3588" s="319" t="s">
        <v>178</v>
      </c>
      <c r="K3588" s="320"/>
      <c r="L3588" s="321">
        <f>SUM(L3584:L3587)</f>
        <v>54355</v>
      </c>
    </row>
    <row r="3589" spans="5:13" ht="15" customHeight="1">
      <c r="F3589" s="300" t="s">
        <v>179</v>
      </c>
      <c r="G3589" s="301" t="s">
        <v>180</v>
      </c>
      <c r="H3589" s="302"/>
      <c r="I3589" s="302"/>
      <c r="J3589" s="351"/>
      <c r="K3589" s="328"/>
      <c r="L3589" s="310"/>
    </row>
    <row r="3590" spans="5:13" ht="15" customHeight="1">
      <c r="F3590" s="306"/>
      <c r="G3590" s="301" t="s">
        <v>748</v>
      </c>
      <c r="H3590" s="302"/>
      <c r="I3590" s="307" t="s">
        <v>221</v>
      </c>
      <c r="J3590" s="308">
        <v>6.63</v>
      </c>
      <c r="K3590" s="328">
        <f>VLOOKUP(G3590,Bahan,6,FALSE)</f>
        <v>7380</v>
      </c>
      <c r="L3590" s="310">
        <f>J3590*K3590</f>
        <v>48929.4</v>
      </c>
    </row>
    <row r="3591" spans="5:13" ht="15" customHeight="1">
      <c r="F3591" s="306"/>
      <c r="G3591" s="301" t="s">
        <v>183</v>
      </c>
      <c r="H3591" s="302"/>
      <c r="I3591" s="307" t="s">
        <v>38</v>
      </c>
      <c r="J3591" s="308">
        <v>9.8000000000000007</v>
      </c>
      <c r="K3591" s="328">
        <f>VLOOKUP(G3591,Bahan,6,FALSE)</f>
        <v>1880</v>
      </c>
      <c r="L3591" s="310">
        <f>J3591*K3591</f>
        <v>18424</v>
      </c>
    </row>
    <row r="3592" spans="5:13" ht="15" customHeight="1" thickBot="1">
      <c r="F3592" s="306"/>
      <c r="G3592" s="301" t="s">
        <v>296</v>
      </c>
      <c r="H3592" s="302"/>
      <c r="I3592" s="307" t="s">
        <v>292</v>
      </c>
      <c r="J3592" s="308">
        <v>4.4999999999999998E-2</v>
      </c>
      <c r="K3592" s="328">
        <f>VLOOKUP(G3592,Bahan,6,FALSE)</f>
        <v>253510</v>
      </c>
      <c r="L3592" s="310">
        <f>J3592*K3592</f>
        <v>11407.949999999999</v>
      </c>
    </row>
    <row r="3593" spans="5:13" ht="15" customHeight="1" thickBot="1">
      <c r="F3593" s="316"/>
      <c r="G3593" s="317"/>
      <c r="H3593" s="318"/>
      <c r="I3593" s="318"/>
      <c r="J3593" s="319" t="s">
        <v>189</v>
      </c>
      <c r="K3593" s="320"/>
      <c r="L3593" s="321">
        <f>SUM(L3590:L3592)</f>
        <v>78761.349999999991</v>
      </c>
    </row>
    <row r="3594" spans="5:13" ht="15" customHeight="1" thickBot="1">
      <c r="F3594" s="300" t="s">
        <v>190</v>
      </c>
      <c r="G3594" s="301" t="s">
        <v>191</v>
      </c>
      <c r="H3594" s="302"/>
      <c r="I3594" s="302"/>
      <c r="J3594" s="351"/>
      <c r="K3594" s="328">
        <v>0</v>
      </c>
      <c r="L3594" s="310">
        <f>J3594*K3594</f>
        <v>0</v>
      </c>
    </row>
    <row r="3595" spans="5:13" ht="15" customHeight="1" thickBot="1">
      <c r="F3595" s="316"/>
      <c r="G3595" s="317"/>
      <c r="H3595" s="318"/>
      <c r="I3595" s="318"/>
      <c r="J3595" s="319" t="s">
        <v>192</v>
      </c>
      <c r="K3595" s="320"/>
      <c r="L3595" s="321">
        <f>L3594</f>
        <v>0</v>
      </c>
    </row>
    <row r="3596" spans="5:13" ht="15" customHeight="1">
      <c r="F3596" s="344" t="s">
        <v>193</v>
      </c>
      <c r="G3596" s="345" t="s">
        <v>194</v>
      </c>
      <c r="H3596" s="346"/>
      <c r="I3596" s="346"/>
      <c r="J3596" s="347"/>
      <c r="K3596" s="348">
        <v>0</v>
      </c>
      <c r="L3596" s="310">
        <f>SUM(L3584:L3595)/2</f>
        <v>133116.35</v>
      </c>
    </row>
    <row r="3597" spans="5:13" ht="15" customHeight="1" thickBot="1">
      <c r="F3597" s="331" t="s">
        <v>195</v>
      </c>
      <c r="G3597" s="332" t="s">
        <v>196</v>
      </c>
      <c r="H3597" s="333"/>
      <c r="I3597" s="333"/>
      <c r="J3597" s="350">
        <v>0.1</v>
      </c>
      <c r="K3597" s="335"/>
      <c r="L3597" s="330">
        <f>J3597*L3596</f>
        <v>13311.635000000002</v>
      </c>
    </row>
    <row r="3598" spans="5:13" ht="15" customHeight="1" thickBot="1">
      <c r="F3598" s="340" t="s">
        <v>197</v>
      </c>
      <c r="G3598" s="341" t="s">
        <v>198</v>
      </c>
      <c r="H3598" s="318"/>
      <c r="I3598" s="318"/>
      <c r="J3598" s="342"/>
      <c r="K3598" s="320">
        <v>0</v>
      </c>
      <c r="L3598" s="321">
        <f>ROUNDDOWN(L3596+L3597,0)</f>
        <v>146427</v>
      </c>
    </row>
    <row r="3599" spans="5:13" ht="15" customHeight="1">
      <c r="F3599" s="298"/>
      <c r="G3599" s="298"/>
      <c r="J3599" s="343"/>
    </row>
    <row r="3600" spans="5:13" ht="15" customHeight="1" thickBot="1">
      <c r="E3600" s="356" t="s">
        <v>749</v>
      </c>
      <c r="F3600" s="295" t="s">
        <v>750</v>
      </c>
      <c r="J3600" s="343"/>
      <c r="M3600" s="299">
        <f>L3617</f>
        <v>160654</v>
      </c>
    </row>
    <row r="3601" spans="6:12" ht="15" customHeight="1" thickBot="1">
      <c r="F3601" s="340" t="s">
        <v>136</v>
      </c>
      <c r="G3601" s="341" t="s">
        <v>162</v>
      </c>
      <c r="H3601" s="352" t="s">
        <v>163</v>
      </c>
      <c r="I3601" s="352" t="s">
        <v>138</v>
      </c>
      <c r="J3601" s="353" t="s">
        <v>164</v>
      </c>
      <c r="K3601" s="341" t="s">
        <v>165</v>
      </c>
      <c r="L3601" s="354" t="s">
        <v>166</v>
      </c>
    </row>
    <row r="3602" spans="6:12" ht="15" customHeight="1">
      <c r="F3602" s="300" t="s">
        <v>167</v>
      </c>
      <c r="G3602" s="301" t="s">
        <v>168</v>
      </c>
      <c r="H3602" s="302"/>
      <c r="I3602" s="302"/>
      <c r="J3602" s="351"/>
      <c r="K3602" s="328"/>
      <c r="L3602" s="310"/>
    </row>
    <row r="3603" spans="6:12" ht="15" customHeight="1">
      <c r="F3603" s="306"/>
      <c r="G3603" s="301" t="s">
        <v>169</v>
      </c>
      <c r="H3603" s="307" t="s">
        <v>170</v>
      </c>
      <c r="I3603" s="307" t="s">
        <v>171</v>
      </c>
      <c r="J3603" s="308">
        <v>0.25</v>
      </c>
      <c r="K3603" s="309">
        <f>VLOOKUP(G3603,Upah,8,FALSE)</f>
        <v>125000</v>
      </c>
      <c r="L3603" s="310">
        <f>J3603*K3603</f>
        <v>31250</v>
      </c>
    </row>
    <row r="3604" spans="6:12" ht="15" customHeight="1">
      <c r="F3604" s="306"/>
      <c r="G3604" s="301" t="s">
        <v>308</v>
      </c>
      <c r="H3604" s="307" t="s">
        <v>217</v>
      </c>
      <c r="I3604" s="307" t="s">
        <v>171</v>
      </c>
      <c r="J3604" s="308">
        <v>0.125</v>
      </c>
      <c r="K3604" s="309">
        <f>VLOOKUP(G3604,Upah,8,FALSE)</f>
        <v>150000</v>
      </c>
      <c r="L3604" s="310">
        <f>J3604*K3604</f>
        <v>18750</v>
      </c>
    </row>
    <row r="3605" spans="6:12" ht="15" customHeight="1">
      <c r="F3605" s="306"/>
      <c r="G3605" s="301" t="s">
        <v>232</v>
      </c>
      <c r="H3605" s="307" t="s">
        <v>175</v>
      </c>
      <c r="I3605" s="307" t="s">
        <v>171</v>
      </c>
      <c r="J3605" s="308">
        <v>1.2999999999999999E-2</v>
      </c>
      <c r="K3605" s="309">
        <f>VLOOKUP(G3605,Upah,8,FALSE)</f>
        <v>165000</v>
      </c>
      <c r="L3605" s="310">
        <f>J3605*K3605</f>
        <v>2145</v>
      </c>
    </row>
    <row r="3606" spans="6:12" ht="15" customHeight="1" thickBot="1">
      <c r="F3606" s="306"/>
      <c r="G3606" s="301" t="s">
        <v>176</v>
      </c>
      <c r="H3606" s="307" t="s">
        <v>177</v>
      </c>
      <c r="I3606" s="307" t="s">
        <v>171</v>
      </c>
      <c r="J3606" s="308">
        <v>1.2999999999999999E-2</v>
      </c>
      <c r="K3606" s="309">
        <f>VLOOKUP(G3606,Upah,8,FALSE)</f>
        <v>170000</v>
      </c>
      <c r="L3606" s="310">
        <f>J3606*K3606</f>
        <v>2210</v>
      </c>
    </row>
    <row r="3607" spans="6:12" ht="15" customHeight="1" thickBot="1">
      <c r="F3607" s="316"/>
      <c r="G3607" s="317"/>
      <c r="H3607" s="318"/>
      <c r="I3607" s="318"/>
      <c r="J3607" s="319" t="s">
        <v>178</v>
      </c>
      <c r="K3607" s="320"/>
      <c r="L3607" s="321">
        <f>SUM(L3603:L3606)</f>
        <v>54355</v>
      </c>
    </row>
    <row r="3608" spans="6:12" ht="15" customHeight="1">
      <c r="F3608" s="300" t="s">
        <v>179</v>
      </c>
      <c r="G3608" s="301" t="s">
        <v>180</v>
      </c>
      <c r="H3608" s="302"/>
      <c r="I3608" s="302"/>
      <c r="J3608" s="351"/>
      <c r="K3608" s="328"/>
      <c r="L3608" s="310"/>
    </row>
    <row r="3609" spans="6:12" ht="15" customHeight="1">
      <c r="F3609" s="306"/>
      <c r="G3609" s="301" t="s">
        <v>751</v>
      </c>
      <c r="H3609" s="302"/>
      <c r="I3609" s="307" t="s">
        <v>221</v>
      </c>
      <c r="J3609" s="308">
        <v>11.87</v>
      </c>
      <c r="K3609" s="328">
        <f>VLOOKUP(G3609,Bahan,6,FALSE)</f>
        <v>5180</v>
      </c>
      <c r="L3609" s="310">
        <f>J3609*K3609</f>
        <v>61486.6</v>
      </c>
    </row>
    <row r="3610" spans="6:12" ht="15" customHeight="1">
      <c r="F3610" s="306"/>
      <c r="G3610" s="301" t="s">
        <v>183</v>
      </c>
      <c r="H3610" s="302"/>
      <c r="I3610" s="307" t="s">
        <v>38</v>
      </c>
      <c r="J3610" s="308">
        <v>10</v>
      </c>
      <c r="K3610" s="328">
        <f>VLOOKUP(G3610,Bahan,6,FALSE)</f>
        <v>1880</v>
      </c>
      <c r="L3610" s="310">
        <f>J3610*K3610</f>
        <v>18800</v>
      </c>
    </row>
    <row r="3611" spans="6:12" ht="15" customHeight="1" thickBot="1">
      <c r="F3611" s="306"/>
      <c r="G3611" s="301" t="s">
        <v>296</v>
      </c>
      <c r="H3611" s="302"/>
      <c r="I3611" s="307" t="s">
        <v>292</v>
      </c>
      <c r="J3611" s="308">
        <v>4.4999999999999998E-2</v>
      </c>
      <c r="K3611" s="328">
        <f>VLOOKUP(G3611,Bahan,6,FALSE)</f>
        <v>253510</v>
      </c>
      <c r="L3611" s="310">
        <f>J3611*K3611</f>
        <v>11407.949999999999</v>
      </c>
    </row>
    <row r="3612" spans="6:12" ht="15" customHeight="1" thickBot="1">
      <c r="F3612" s="316"/>
      <c r="G3612" s="317"/>
      <c r="H3612" s="318"/>
      <c r="I3612" s="318"/>
      <c r="J3612" s="319" t="s">
        <v>189</v>
      </c>
      <c r="K3612" s="320"/>
      <c r="L3612" s="321">
        <f>SUM(L3609:L3611)</f>
        <v>91694.55</v>
      </c>
    </row>
    <row r="3613" spans="6:12" ht="15" customHeight="1" thickBot="1">
      <c r="F3613" s="300" t="s">
        <v>190</v>
      </c>
      <c r="G3613" s="301" t="s">
        <v>191</v>
      </c>
      <c r="H3613" s="302"/>
      <c r="I3613" s="302"/>
      <c r="J3613" s="351"/>
      <c r="K3613" s="328">
        <v>0</v>
      </c>
      <c r="L3613" s="310">
        <f>J3613*K3613</f>
        <v>0</v>
      </c>
    </row>
    <row r="3614" spans="6:12" ht="15" customHeight="1" thickBot="1">
      <c r="F3614" s="316"/>
      <c r="G3614" s="317"/>
      <c r="H3614" s="318"/>
      <c r="I3614" s="318"/>
      <c r="J3614" s="319" t="s">
        <v>192</v>
      </c>
      <c r="K3614" s="320"/>
      <c r="L3614" s="321">
        <f>L3613</f>
        <v>0</v>
      </c>
    </row>
    <row r="3615" spans="6:12" ht="15" customHeight="1">
      <c r="F3615" s="344" t="s">
        <v>193</v>
      </c>
      <c r="G3615" s="345" t="s">
        <v>194</v>
      </c>
      <c r="H3615" s="346"/>
      <c r="I3615" s="346"/>
      <c r="J3615" s="347"/>
      <c r="K3615" s="348">
        <v>0</v>
      </c>
      <c r="L3615" s="310">
        <f>SUM(L3602:L3614)/2</f>
        <v>146049.55000000002</v>
      </c>
    </row>
    <row r="3616" spans="6:12" ht="15" customHeight="1" thickBot="1">
      <c r="F3616" s="380" t="s">
        <v>195</v>
      </c>
      <c r="G3616" s="381" t="s">
        <v>196</v>
      </c>
      <c r="H3616" s="382"/>
      <c r="I3616" s="382"/>
      <c r="J3616" s="423">
        <v>0.1</v>
      </c>
      <c r="K3616" s="384"/>
      <c r="L3616" s="367">
        <f>J3616*L3615</f>
        <v>14604.955000000002</v>
      </c>
    </row>
    <row r="3617" spans="5:13" ht="15" customHeight="1" thickBot="1">
      <c r="F3617" s="340" t="s">
        <v>197</v>
      </c>
      <c r="G3617" s="341" t="s">
        <v>198</v>
      </c>
      <c r="H3617" s="318"/>
      <c r="I3617" s="318"/>
      <c r="J3617" s="342"/>
      <c r="K3617" s="320">
        <v>0</v>
      </c>
      <c r="L3617" s="321">
        <f>ROUNDDOWN(L3615+L3616,0)</f>
        <v>160654</v>
      </c>
    </row>
    <row r="3618" spans="5:13" ht="15" customHeight="1">
      <c r="F3618" s="298"/>
      <c r="G3618" s="298"/>
      <c r="J3618" s="343"/>
    </row>
    <row r="3619" spans="5:13" ht="15" customHeight="1" thickBot="1">
      <c r="E3619" s="356" t="s">
        <v>752</v>
      </c>
      <c r="F3619" s="295" t="s">
        <v>753</v>
      </c>
      <c r="J3619" s="343"/>
      <c r="M3619" s="299">
        <f>L3636</f>
        <v>204429</v>
      </c>
    </row>
    <row r="3620" spans="5:13" ht="15" customHeight="1" thickBot="1">
      <c r="F3620" s="340" t="s">
        <v>136</v>
      </c>
      <c r="G3620" s="341" t="s">
        <v>162</v>
      </c>
      <c r="H3620" s="352" t="s">
        <v>163</v>
      </c>
      <c r="I3620" s="352" t="s">
        <v>138</v>
      </c>
      <c r="J3620" s="353" t="s">
        <v>164</v>
      </c>
      <c r="K3620" s="341" t="s">
        <v>165</v>
      </c>
      <c r="L3620" s="354" t="s">
        <v>166</v>
      </c>
    </row>
    <row r="3621" spans="5:13" ht="15" customHeight="1">
      <c r="F3621" s="300" t="s">
        <v>167</v>
      </c>
      <c r="G3621" s="301" t="s">
        <v>168</v>
      </c>
      <c r="H3621" s="302"/>
      <c r="I3621" s="302"/>
      <c r="J3621" s="351"/>
      <c r="K3621" s="328"/>
      <c r="L3621" s="310"/>
    </row>
    <row r="3622" spans="5:13" ht="15" customHeight="1">
      <c r="F3622" s="306"/>
      <c r="G3622" s="301" t="s">
        <v>169</v>
      </c>
      <c r="H3622" s="307" t="s">
        <v>170</v>
      </c>
      <c r="I3622" s="307" t="s">
        <v>171</v>
      </c>
      <c r="J3622" s="308">
        <v>0.27</v>
      </c>
      <c r="K3622" s="309">
        <f>VLOOKUP(G3622,Upah,8,FALSE)</f>
        <v>125000</v>
      </c>
      <c r="L3622" s="310">
        <f>J3622*K3622</f>
        <v>33750</v>
      </c>
    </row>
    <row r="3623" spans="5:13" ht="15" customHeight="1">
      <c r="F3623" s="306"/>
      <c r="G3623" s="301" t="s">
        <v>308</v>
      </c>
      <c r="H3623" s="307" t="s">
        <v>217</v>
      </c>
      <c r="I3623" s="307" t="s">
        <v>171</v>
      </c>
      <c r="J3623" s="308">
        <v>0.13500000000000001</v>
      </c>
      <c r="K3623" s="309">
        <f>VLOOKUP(G3623,Upah,8,FALSE)</f>
        <v>150000</v>
      </c>
      <c r="L3623" s="310">
        <f>J3623*K3623</f>
        <v>20250</v>
      </c>
    </row>
    <row r="3624" spans="5:13" ht="15" customHeight="1">
      <c r="F3624" s="306"/>
      <c r="G3624" s="301" t="s">
        <v>232</v>
      </c>
      <c r="H3624" s="307" t="s">
        <v>175</v>
      </c>
      <c r="I3624" s="307" t="s">
        <v>171</v>
      </c>
      <c r="J3624" s="308">
        <v>1.4E-2</v>
      </c>
      <c r="K3624" s="309">
        <f>VLOOKUP(G3624,Upah,8,FALSE)</f>
        <v>165000</v>
      </c>
      <c r="L3624" s="310">
        <f>J3624*K3624</f>
        <v>2310</v>
      </c>
    </row>
    <row r="3625" spans="5:13" ht="15" customHeight="1" thickBot="1">
      <c r="F3625" s="306"/>
      <c r="G3625" s="301" t="s">
        <v>176</v>
      </c>
      <c r="H3625" s="307" t="s">
        <v>177</v>
      </c>
      <c r="I3625" s="307" t="s">
        <v>171</v>
      </c>
      <c r="J3625" s="308">
        <v>1.4E-2</v>
      </c>
      <c r="K3625" s="309">
        <f>VLOOKUP(G3625,Upah,8,FALSE)</f>
        <v>170000</v>
      </c>
      <c r="L3625" s="310">
        <f>J3625*K3625</f>
        <v>2380</v>
      </c>
    </row>
    <row r="3626" spans="5:13" ht="15" customHeight="1" thickBot="1">
      <c r="F3626" s="316"/>
      <c r="G3626" s="317"/>
      <c r="H3626" s="318"/>
      <c r="I3626" s="318"/>
      <c r="J3626" s="319" t="s">
        <v>178</v>
      </c>
      <c r="K3626" s="320"/>
      <c r="L3626" s="321">
        <f>SUM(L3622:L3625)</f>
        <v>58690</v>
      </c>
    </row>
    <row r="3627" spans="5:13" ht="15" customHeight="1">
      <c r="F3627" s="300" t="s">
        <v>179</v>
      </c>
      <c r="G3627" s="301" t="s">
        <v>180</v>
      </c>
      <c r="H3627" s="302"/>
      <c r="I3627" s="302"/>
      <c r="J3627" s="351"/>
      <c r="K3627" s="328"/>
      <c r="L3627" s="310"/>
    </row>
    <row r="3628" spans="5:13" ht="15" customHeight="1">
      <c r="F3628" s="306"/>
      <c r="G3628" s="301" t="s">
        <v>754</v>
      </c>
      <c r="H3628" s="302"/>
      <c r="I3628" s="307" t="s">
        <v>221</v>
      </c>
      <c r="J3628" s="308">
        <v>26.5</v>
      </c>
      <c r="K3628" s="328">
        <f>VLOOKUP(G3628,Bahan,6,FALSE)</f>
        <v>3630</v>
      </c>
      <c r="L3628" s="310">
        <f>J3628*K3628</f>
        <v>96195</v>
      </c>
    </row>
    <row r="3629" spans="5:13" ht="15" customHeight="1">
      <c r="F3629" s="306"/>
      <c r="G3629" s="301" t="s">
        <v>183</v>
      </c>
      <c r="H3629" s="302"/>
      <c r="I3629" s="307" t="s">
        <v>38</v>
      </c>
      <c r="J3629" s="308">
        <v>10.4</v>
      </c>
      <c r="K3629" s="328">
        <f>VLOOKUP(G3629,Bahan,6,FALSE)</f>
        <v>1880</v>
      </c>
      <c r="L3629" s="310">
        <f>J3629*K3629</f>
        <v>19552</v>
      </c>
    </row>
    <row r="3630" spans="5:13" ht="15" customHeight="1" thickBot="1">
      <c r="F3630" s="306"/>
      <c r="G3630" s="301" t="s">
        <v>296</v>
      </c>
      <c r="H3630" s="302"/>
      <c r="I3630" s="307" t="s">
        <v>292</v>
      </c>
      <c r="J3630" s="308">
        <v>4.4999999999999998E-2</v>
      </c>
      <c r="K3630" s="328">
        <f>VLOOKUP(G3630,Bahan,6,FALSE)</f>
        <v>253510</v>
      </c>
      <c r="L3630" s="310">
        <f>J3630*K3630</f>
        <v>11407.949999999999</v>
      </c>
    </row>
    <row r="3631" spans="5:13" ht="15" customHeight="1" thickBot="1">
      <c r="F3631" s="316"/>
      <c r="G3631" s="317"/>
      <c r="H3631" s="318"/>
      <c r="I3631" s="318"/>
      <c r="J3631" s="319" t="s">
        <v>189</v>
      </c>
      <c r="K3631" s="320"/>
      <c r="L3631" s="321">
        <f>SUM(L3628:L3630)</f>
        <v>127154.95</v>
      </c>
    </row>
    <row r="3632" spans="5:13" ht="15" customHeight="1" thickBot="1">
      <c r="F3632" s="300" t="s">
        <v>190</v>
      </c>
      <c r="G3632" s="301" t="s">
        <v>191</v>
      </c>
      <c r="H3632" s="302"/>
      <c r="I3632" s="302"/>
      <c r="J3632" s="351"/>
      <c r="K3632" s="328">
        <v>0</v>
      </c>
      <c r="L3632" s="310">
        <f>J3632*K3632</f>
        <v>0</v>
      </c>
    </row>
    <row r="3633" spans="5:13" ht="15" customHeight="1" thickBot="1">
      <c r="F3633" s="316"/>
      <c r="G3633" s="317"/>
      <c r="H3633" s="318"/>
      <c r="I3633" s="318"/>
      <c r="J3633" s="319" t="s">
        <v>192</v>
      </c>
      <c r="K3633" s="320"/>
      <c r="L3633" s="321">
        <f>L3632</f>
        <v>0</v>
      </c>
    </row>
    <row r="3634" spans="5:13" ht="15" customHeight="1">
      <c r="F3634" s="344" t="s">
        <v>193</v>
      </c>
      <c r="G3634" s="345" t="s">
        <v>194</v>
      </c>
      <c r="H3634" s="346"/>
      <c r="I3634" s="346"/>
      <c r="J3634" s="347"/>
      <c r="K3634" s="348">
        <v>0</v>
      </c>
      <c r="L3634" s="310">
        <f>SUM(L3621:L3633)/2</f>
        <v>185844.95</v>
      </c>
    </row>
    <row r="3635" spans="5:13" ht="15" customHeight="1" thickBot="1">
      <c r="F3635" s="331" t="s">
        <v>195</v>
      </c>
      <c r="G3635" s="332" t="s">
        <v>196</v>
      </c>
      <c r="H3635" s="333"/>
      <c r="I3635" s="333"/>
      <c r="J3635" s="350">
        <v>0.1</v>
      </c>
      <c r="K3635" s="335"/>
      <c r="L3635" s="330">
        <f>J3635*L3634</f>
        <v>18584.495000000003</v>
      </c>
    </row>
    <row r="3636" spans="5:13" ht="15" customHeight="1" thickBot="1">
      <c r="F3636" s="340" t="s">
        <v>197</v>
      </c>
      <c r="G3636" s="341" t="s">
        <v>198</v>
      </c>
      <c r="H3636" s="318"/>
      <c r="I3636" s="318"/>
      <c r="J3636" s="342"/>
      <c r="K3636" s="320">
        <v>0</v>
      </c>
      <c r="L3636" s="321">
        <f>ROUNDDOWN(L3634+L3635,0)</f>
        <v>204429</v>
      </c>
    </row>
    <row r="3637" spans="5:13" ht="15" customHeight="1">
      <c r="F3637" s="298"/>
      <c r="G3637" s="298"/>
      <c r="J3637" s="343"/>
    </row>
    <row r="3638" spans="5:13" ht="15" customHeight="1" thickBot="1">
      <c r="E3638" s="356" t="s">
        <v>755</v>
      </c>
      <c r="F3638" s="295" t="s">
        <v>756</v>
      </c>
      <c r="J3638" s="343"/>
      <c r="M3638" s="299">
        <f>L3656</f>
        <v>227251</v>
      </c>
    </row>
    <row r="3639" spans="5:13" ht="15" customHeight="1" thickBot="1">
      <c r="F3639" s="340" t="s">
        <v>136</v>
      </c>
      <c r="G3639" s="341" t="s">
        <v>162</v>
      </c>
      <c r="H3639" s="352" t="s">
        <v>163</v>
      </c>
      <c r="I3639" s="352" t="s">
        <v>138</v>
      </c>
      <c r="J3639" s="353" t="s">
        <v>164</v>
      </c>
      <c r="K3639" s="341" t="s">
        <v>165</v>
      </c>
      <c r="L3639" s="354" t="s">
        <v>166</v>
      </c>
    </row>
    <row r="3640" spans="5:13" ht="15" customHeight="1">
      <c r="F3640" s="300" t="s">
        <v>167</v>
      </c>
      <c r="G3640" s="301" t="s">
        <v>168</v>
      </c>
      <c r="H3640" s="302"/>
      <c r="I3640" s="302"/>
      <c r="J3640" s="351"/>
      <c r="K3640" s="328"/>
      <c r="L3640" s="310"/>
    </row>
    <row r="3641" spans="5:13" ht="15" customHeight="1">
      <c r="F3641" s="306"/>
      <c r="G3641" s="301" t="s">
        <v>169</v>
      </c>
      <c r="H3641" s="307" t="s">
        <v>170</v>
      </c>
      <c r="I3641" s="307" t="s">
        <v>171</v>
      </c>
      <c r="J3641" s="308">
        <v>0.25</v>
      </c>
      <c r="K3641" s="309">
        <f>VLOOKUP(G3641,Upah,8,FALSE)</f>
        <v>125000</v>
      </c>
      <c r="L3641" s="310">
        <f>J3641*K3641</f>
        <v>31250</v>
      </c>
    </row>
    <row r="3642" spans="5:13" ht="15" customHeight="1">
      <c r="F3642" s="306"/>
      <c r="G3642" s="301" t="s">
        <v>308</v>
      </c>
      <c r="H3642" s="307" t="s">
        <v>217</v>
      </c>
      <c r="I3642" s="307" t="s">
        <v>171</v>
      </c>
      <c r="J3642" s="308">
        <v>0.125</v>
      </c>
      <c r="K3642" s="309">
        <f>VLOOKUP(G3642,Upah,8,FALSE)</f>
        <v>150000</v>
      </c>
      <c r="L3642" s="310">
        <f>J3642*K3642</f>
        <v>18750</v>
      </c>
    </row>
    <row r="3643" spans="5:13" ht="15" customHeight="1">
      <c r="F3643" s="306"/>
      <c r="G3643" s="301" t="s">
        <v>232</v>
      </c>
      <c r="H3643" s="307" t="s">
        <v>175</v>
      </c>
      <c r="I3643" s="307" t="s">
        <v>171</v>
      </c>
      <c r="J3643" s="308">
        <v>1.2999999999999999E-2</v>
      </c>
      <c r="K3643" s="309">
        <f>VLOOKUP(G3643,Upah,8,FALSE)</f>
        <v>165000</v>
      </c>
      <c r="L3643" s="310">
        <f>J3643*K3643</f>
        <v>2145</v>
      </c>
    </row>
    <row r="3644" spans="5:13" ht="15" customHeight="1" thickBot="1">
      <c r="F3644" s="306"/>
      <c r="G3644" s="301" t="s">
        <v>176</v>
      </c>
      <c r="H3644" s="307" t="s">
        <v>177</v>
      </c>
      <c r="I3644" s="307" t="s">
        <v>171</v>
      </c>
      <c r="J3644" s="308">
        <v>1.2999999999999999E-2</v>
      </c>
      <c r="K3644" s="309">
        <f>VLOOKUP(G3644,Upah,8,FALSE)</f>
        <v>170000</v>
      </c>
      <c r="L3644" s="310">
        <f>J3644*K3644</f>
        <v>2210</v>
      </c>
    </row>
    <row r="3645" spans="5:13" ht="15" customHeight="1" thickBot="1">
      <c r="F3645" s="316"/>
      <c r="G3645" s="317"/>
      <c r="H3645" s="318"/>
      <c r="I3645" s="318"/>
      <c r="J3645" s="319" t="s">
        <v>178</v>
      </c>
      <c r="K3645" s="320"/>
      <c r="L3645" s="321">
        <f>SUM(L3641:L3644)</f>
        <v>54355</v>
      </c>
    </row>
    <row r="3646" spans="5:13" ht="15" customHeight="1">
      <c r="F3646" s="300" t="s">
        <v>179</v>
      </c>
      <c r="G3646" s="301" t="s">
        <v>180</v>
      </c>
      <c r="H3646" s="302"/>
      <c r="I3646" s="302"/>
      <c r="J3646" s="351"/>
      <c r="K3646" s="328"/>
      <c r="L3646" s="310"/>
    </row>
    <row r="3647" spans="5:13" ht="15" customHeight="1">
      <c r="F3647" s="306"/>
      <c r="G3647" s="301" t="s">
        <v>757</v>
      </c>
      <c r="H3647" s="302"/>
      <c r="I3647" s="307" t="s">
        <v>221</v>
      </c>
      <c r="J3647" s="308">
        <v>6.63</v>
      </c>
      <c r="K3647" s="328">
        <f>VLOOKUP(G3647,Bahan,6,FALSE)</f>
        <v>17980</v>
      </c>
      <c r="L3647" s="310">
        <f>J3647*K3647</f>
        <v>119207.4</v>
      </c>
    </row>
    <row r="3648" spans="5:13" ht="15" customHeight="1">
      <c r="F3648" s="306"/>
      <c r="G3648" s="301" t="s">
        <v>183</v>
      </c>
      <c r="H3648" s="302"/>
      <c r="I3648" s="307" t="s">
        <v>38</v>
      </c>
      <c r="J3648" s="308">
        <v>9.8000000000000007</v>
      </c>
      <c r="K3648" s="328">
        <f>VLOOKUP(G3648,Bahan,6,FALSE)</f>
        <v>1880</v>
      </c>
      <c r="L3648" s="310">
        <f>J3648*K3648</f>
        <v>18424</v>
      </c>
    </row>
    <row r="3649" spans="5:13" ht="15" customHeight="1">
      <c r="F3649" s="306"/>
      <c r="G3649" s="301" t="s">
        <v>758</v>
      </c>
      <c r="H3649" s="302"/>
      <c r="I3649" s="307" t="s">
        <v>45</v>
      </c>
      <c r="J3649" s="308">
        <v>1.3</v>
      </c>
      <c r="K3649" s="328">
        <f>VLOOKUP(G3649,Bahan,6,FALSE)</f>
        <v>2460</v>
      </c>
      <c r="L3649" s="310">
        <f>J3649*K3649</f>
        <v>3198</v>
      </c>
    </row>
    <row r="3650" spans="5:13" ht="15" customHeight="1" thickBot="1">
      <c r="F3650" s="306"/>
      <c r="G3650" s="301" t="s">
        <v>296</v>
      </c>
      <c r="H3650" s="302"/>
      <c r="I3650" s="307" t="s">
        <v>292</v>
      </c>
      <c r="J3650" s="308">
        <v>4.4999999999999998E-2</v>
      </c>
      <c r="K3650" s="328">
        <f>VLOOKUP(G3650,Bahan,6,FALSE)</f>
        <v>253510</v>
      </c>
      <c r="L3650" s="310">
        <f>J3650*K3650</f>
        <v>11407.949999999999</v>
      </c>
    </row>
    <row r="3651" spans="5:13" ht="15" customHeight="1" thickBot="1">
      <c r="F3651" s="316"/>
      <c r="G3651" s="317"/>
      <c r="H3651" s="318"/>
      <c r="I3651" s="318"/>
      <c r="J3651" s="319" t="s">
        <v>189</v>
      </c>
      <c r="K3651" s="320"/>
      <c r="L3651" s="321">
        <f>SUM(L3647:L3650)</f>
        <v>152237.35</v>
      </c>
    </row>
    <row r="3652" spans="5:13" ht="15" customHeight="1" thickBot="1">
      <c r="F3652" s="300" t="s">
        <v>190</v>
      </c>
      <c r="G3652" s="301" t="s">
        <v>191</v>
      </c>
      <c r="H3652" s="302"/>
      <c r="I3652" s="302"/>
      <c r="J3652" s="351"/>
      <c r="K3652" s="328">
        <v>0</v>
      </c>
      <c r="L3652" s="310">
        <f>J3652*K3652</f>
        <v>0</v>
      </c>
    </row>
    <row r="3653" spans="5:13" ht="15" customHeight="1" thickBot="1">
      <c r="F3653" s="316"/>
      <c r="G3653" s="317"/>
      <c r="H3653" s="318"/>
      <c r="I3653" s="318"/>
      <c r="J3653" s="319" t="s">
        <v>192</v>
      </c>
      <c r="K3653" s="320"/>
      <c r="L3653" s="321">
        <f>L3652</f>
        <v>0</v>
      </c>
    </row>
    <row r="3654" spans="5:13" ht="15" customHeight="1">
      <c r="F3654" s="344" t="s">
        <v>193</v>
      </c>
      <c r="G3654" s="345" t="s">
        <v>194</v>
      </c>
      <c r="H3654" s="346"/>
      <c r="I3654" s="346"/>
      <c r="J3654" s="347"/>
      <c r="K3654" s="348">
        <v>0</v>
      </c>
      <c r="L3654" s="310">
        <f>SUM(L3640:L3653)/2</f>
        <v>206592.35</v>
      </c>
    </row>
    <row r="3655" spans="5:13" ht="15" customHeight="1" thickBot="1">
      <c r="F3655" s="331" t="s">
        <v>195</v>
      </c>
      <c r="G3655" s="332" t="s">
        <v>196</v>
      </c>
      <c r="H3655" s="333"/>
      <c r="I3655" s="333"/>
      <c r="J3655" s="350">
        <v>0.1</v>
      </c>
      <c r="K3655" s="335"/>
      <c r="L3655" s="330">
        <f>J3655*L3654</f>
        <v>20659.235000000001</v>
      </c>
    </row>
    <row r="3656" spans="5:13" ht="15" customHeight="1" thickBot="1">
      <c r="F3656" s="340" t="s">
        <v>197</v>
      </c>
      <c r="G3656" s="341" t="s">
        <v>198</v>
      </c>
      <c r="H3656" s="318"/>
      <c r="I3656" s="318"/>
      <c r="J3656" s="342"/>
      <c r="K3656" s="320">
        <v>0</v>
      </c>
      <c r="L3656" s="321">
        <f>ROUNDDOWN(L3654+L3655,0)</f>
        <v>227251</v>
      </c>
    </row>
    <row r="3657" spans="5:13" ht="15" customHeight="1">
      <c r="F3657" s="298"/>
      <c r="G3657" s="298"/>
      <c r="J3657" s="343"/>
    </row>
    <row r="3658" spans="5:13" ht="15" customHeight="1" thickBot="1">
      <c r="E3658" s="356" t="s">
        <v>759</v>
      </c>
      <c r="F3658" s="295" t="s">
        <v>760</v>
      </c>
      <c r="J3658" s="343"/>
      <c r="M3658" s="299">
        <f>L3676</f>
        <v>304925</v>
      </c>
    </row>
    <row r="3659" spans="5:13" ht="15" customHeight="1" thickBot="1">
      <c r="F3659" s="340" t="s">
        <v>136</v>
      </c>
      <c r="G3659" s="341" t="s">
        <v>162</v>
      </c>
      <c r="H3659" s="352" t="s">
        <v>163</v>
      </c>
      <c r="I3659" s="352" t="s">
        <v>138</v>
      </c>
      <c r="J3659" s="353" t="s">
        <v>164</v>
      </c>
      <c r="K3659" s="341" t="s">
        <v>165</v>
      </c>
      <c r="L3659" s="354" t="s">
        <v>166</v>
      </c>
    </row>
    <row r="3660" spans="5:13" ht="15" customHeight="1">
      <c r="F3660" s="300" t="s">
        <v>167</v>
      </c>
      <c r="G3660" s="301" t="s">
        <v>168</v>
      </c>
      <c r="H3660" s="302"/>
      <c r="I3660" s="302"/>
      <c r="J3660" s="351"/>
      <c r="K3660" s="328"/>
      <c r="L3660" s="310"/>
    </row>
    <row r="3661" spans="5:13" ht="15" customHeight="1">
      <c r="F3661" s="306"/>
      <c r="G3661" s="301" t="s">
        <v>169</v>
      </c>
      <c r="H3661" s="307" t="s">
        <v>170</v>
      </c>
      <c r="I3661" s="307" t="s">
        <v>171</v>
      </c>
      <c r="J3661" s="308">
        <v>0.26</v>
      </c>
      <c r="K3661" s="309">
        <f>VLOOKUP(G3661,Upah,8,FALSE)</f>
        <v>125000</v>
      </c>
      <c r="L3661" s="310">
        <f>J3661*K3661</f>
        <v>32500</v>
      </c>
    </row>
    <row r="3662" spans="5:13" ht="15" customHeight="1">
      <c r="F3662" s="306"/>
      <c r="G3662" s="301" t="s">
        <v>308</v>
      </c>
      <c r="H3662" s="307" t="s">
        <v>217</v>
      </c>
      <c r="I3662" s="307" t="s">
        <v>171</v>
      </c>
      <c r="J3662" s="308">
        <v>0.13</v>
      </c>
      <c r="K3662" s="309">
        <f>VLOOKUP(G3662,Upah,8,FALSE)</f>
        <v>150000</v>
      </c>
      <c r="L3662" s="310">
        <f>J3662*K3662</f>
        <v>19500</v>
      </c>
    </row>
    <row r="3663" spans="5:13" ht="15" customHeight="1">
      <c r="F3663" s="306"/>
      <c r="G3663" s="301" t="s">
        <v>232</v>
      </c>
      <c r="H3663" s="307" t="s">
        <v>175</v>
      </c>
      <c r="I3663" s="307" t="s">
        <v>171</v>
      </c>
      <c r="J3663" s="308">
        <v>1.2999999999999999E-2</v>
      </c>
      <c r="K3663" s="309">
        <f>VLOOKUP(G3663,Upah,8,FALSE)</f>
        <v>165000</v>
      </c>
      <c r="L3663" s="310">
        <f>J3663*K3663</f>
        <v>2145</v>
      </c>
    </row>
    <row r="3664" spans="5:13" ht="15" customHeight="1" thickBot="1">
      <c r="F3664" s="306"/>
      <c r="G3664" s="301" t="s">
        <v>176</v>
      </c>
      <c r="H3664" s="307" t="s">
        <v>177</v>
      </c>
      <c r="I3664" s="307" t="s">
        <v>171</v>
      </c>
      <c r="J3664" s="308">
        <v>1.2999999999999999E-2</v>
      </c>
      <c r="K3664" s="309">
        <f>VLOOKUP(G3664,Upah,8,FALSE)</f>
        <v>170000</v>
      </c>
      <c r="L3664" s="310">
        <f>J3664*K3664</f>
        <v>2210</v>
      </c>
    </row>
    <row r="3665" spans="5:13" ht="15" customHeight="1" thickBot="1">
      <c r="F3665" s="316"/>
      <c r="G3665" s="317"/>
      <c r="H3665" s="318"/>
      <c r="I3665" s="318"/>
      <c r="J3665" s="319" t="s">
        <v>178</v>
      </c>
      <c r="K3665" s="320"/>
      <c r="L3665" s="321">
        <f>SUM(L3661:L3664)</f>
        <v>56355</v>
      </c>
    </row>
    <row r="3666" spans="5:13" ht="15" customHeight="1">
      <c r="F3666" s="300" t="s">
        <v>179</v>
      </c>
      <c r="G3666" s="301" t="s">
        <v>180</v>
      </c>
      <c r="H3666" s="302"/>
      <c r="I3666" s="302"/>
      <c r="J3666" s="351"/>
      <c r="K3666" s="328"/>
      <c r="L3666" s="310"/>
    </row>
    <row r="3667" spans="5:13" ht="15" customHeight="1">
      <c r="F3667" s="306"/>
      <c r="G3667" s="301" t="s">
        <v>761</v>
      </c>
      <c r="H3667" s="302"/>
      <c r="I3667" s="307" t="s">
        <v>221</v>
      </c>
      <c r="J3667" s="308">
        <v>11.87</v>
      </c>
      <c r="K3667" s="328">
        <f>VLOOKUP(G3667,Bahan,6,FALSE)</f>
        <v>15750</v>
      </c>
      <c r="L3667" s="310">
        <f>J3667*K3667</f>
        <v>186952.5</v>
      </c>
    </row>
    <row r="3668" spans="5:13" ht="15" customHeight="1">
      <c r="F3668" s="306"/>
      <c r="G3668" s="301" t="s">
        <v>183</v>
      </c>
      <c r="H3668" s="302"/>
      <c r="I3668" s="307" t="s">
        <v>38</v>
      </c>
      <c r="J3668" s="308">
        <v>10</v>
      </c>
      <c r="K3668" s="328">
        <f>VLOOKUP(G3668,Bahan,6,FALSE)</f>
        <v>1880</v>
      </c>
      <c r="L3668" s="310">
        <f>J3668*K3668</f>
        <v>18800</v>
      </c>
    </row>
    <row r="3669" spans="5:13" ht="15" customHeight="1">
      <c r="F3669" s="306"/>
      <c r="G3669" s="301" t="s">
        <v>758</v>
      </c>
      <c r="H3669" s="302"/>
      <c r="I3669" s="307" t="s">
        <v>45</v>
      </c>
      <c r="J3669" s="308">
        <v>1.5</v>
      </c>
      <c r="K3669" s="328">
        <f>VLOOKUP(G3669,Bahan,6,FALSE)</f>
        <v>2460</v>
      </c>
      <c r="L3669" s="310">
        <f>J3669*K3669</f>
        <v>3690</v>
      </c>
    </row>
    <row r="3670" spans="5:13" ht="15" customHeight="1" thickBot="1">
      <c r="F3670" s="306"/>
      <c r="G3670" s="301" t="s">
        <v>296</v>
      </c>
      <c r="H3670" s="302"/>
      <c r="I3670" s="307" t="s">
        <v>292</v>
      </c>
      <c r="J3670" s="308">
        <v>4.4999999999999998E-2</v>
      </c>
      <c r="K3670" s="328">
        <f>VLOOKUP(G3670,Bahan,6,FALSE)</f>
        <v>253510</v>
      </c>
      <c r="L3670" s="310">
        <f>J3670*K3670</f>
        <v>11407.949999999999</v>
      </c>
    </row>
    <row r="3671" spans="5:13" ht="15" customHeight="1" thickBot="1">
      <c r="F3671" s="316"/>
      <c r="G3671" s="317"/>
      <c r="H3671" s="318"/>
      <c r="I3671" s="318"/>
      <c r="J3671" s="319" t="s">
        <v>189</v>
      </c>
      <c r="K3671" s="320"/>
      <c r="L3671" s="321">
        <f>SUM(L3667:L3670)</f>
        <v>220850.45</v>
      </c>
    </row>
    <row r="3672" spans="5:13" ht="15" customHeight="1" thickBot="1">
      <c r="F3672" s="300" t="s">
        <v>190</v>
      </c>
      <c r="G3672" s="301" t="s">
        <v>191</v>
      </c>
      <c r="H3672" s="302"/>
      <c r="I3672" s="302"/>
      <c r="J3672" s="351"/>
      <c r="K3672" s="328">
        <v>0</v>
      </c>
      <c r="L3672" s="310">
        <f>J3672*K3672</f>
        <v>0</v>
      </c>
    </row>
    <row r="3673" spans="5:13" ht="15" customHeight="1" thickBot="1">
      <c r="F3673" s="316"/>
      <c r="G3673" s="317"/>
      <c r="H3673" s="318"/>
      <c r="I3673" s="318"/>
      <c r="J3673" s="319" t="s">
        <v>192</v>
      </c>
      <c r="K3673" s="320"/>
      <c r="L3673" s="321">
        <f>L3672</f>
        <v>0</v>
      </c>
    </row>
    <row r="3674" spans="5:13" ht="15" customHeight="1">
      <c r="F3674" s="344" t="s">
        <v>193</v>
      </c>
      <c r="G3674" s="345" t="s">
        <v>194</v>
      </c>
      <c r="H3674" s="346"/>
      <c r="I3674" s="346"/>
      <c r="J3674" s="347"/>
      <c r="K3674" s="348">
        <v>0</v>
      </c>
      <c r="L3674" s="310">
        <f>SUM(L3661:L3673)/2</f>
        <v>277205.45</v>
      </c>
    </row>
    <row r="3675" spans="5:13" ht="15" customHeight="1" thickBot="1">
      <c r="F3675" s="331" t="s">
        <v>195</v>
      </c>
      <c r="G3675" s="332" t="s">
        <v>196</v>
      </c>
      <c r="H3675" s="333"/>
      <c r="I3675" s="333"/>
      <c r="J3675" s="350">
        <v>0.1</v>
      </c>
      <c r="K3675" s="335"/>
      <c r="L3675" s="330">
        <f>J3675*L3674</f>
        <v>27720.545000000002</v>
      </c>
    </row>
    <row r="3676" spans="5:13" ht="15" customHeight="1" thickBot="1">
      <c r="F3676" s="340" t="s">
        <v>197</v>
      </c>
      <c r="G3676" s="341" t="s">
        <v>198</v>
      </c>
      <c r="H3676" s="318"/>
      <c r="I3676" s="318"/>
      <c r="J3676" s="342"/>
      <c r="K3676" s="320">
        <v>0</v>
      </c>
      <c r="L3676" s="321">
        <f>ROUNDDOWN(L3674+L3675,0)</f>
        <v>304925</v>
      </c>
    </row>
    <row r="3677" spans="5:13" ht="15" customHeight="1">
      <c r="F3677" s="298"/>
      <c r="G3677" s="298"/>
      <c r="J3677" s="343"/>
    </row>
    <row r="3678" spans="5:13" ht="15" customHeight="1" thickBot="1">
      <c r="E3678" s="356" t="s">
        <v>762</v>
      </c>
      <c r="F3678" s="295" t="s">
        <v>763</v>
      </c>
      <c r="J3678" s="343"/>
      <c r="M3678" s="299">
        <f>L3696</f>
        <v>518677</v>
      </c>
    </row>
    <row r="3679" spans="5:13" ht="15" customHeight="1" thickBot="1">
      <c r="F3679" s="340" t="s">
        <v>136</v>
      </c>
      <c r="G3679" s="341" t="s">
        <v>162</v>
      </c>
      <c r="H3679" s="352" t="s">
        <v>163</v>
      </c>
      <c r="I3679" s="352" t="s">
        <v>138</v>
      </c>
      <c r="J3679" s="353" t="s">
        <v>164</v>
      </c>
      <c r="K3679" s="341" t="s">
        <v>165</v>
      </c>
      <c r="L3679" s="354" t="s">
        <v>166</v>
      </c>
    </row>
    <row r="3680" spans="5:13" ht="15" customHeight="1">
      <c r="F3680" s="300" t="s">
        <v>167</v>
      </c>
      <c r="G3680" s="301" t="s">
        <v>168</v>
      </c>
      <c r="H3680" s="302"/>
      <c r="I3680" s="302"/>
      <c r="J3680" s="351"/>
      <c r="K3680" s="328"/>
      <c r="L3680" s="310"/>
    </row>
    <row r="3681" spans="6:12" ht="15" customHeight="1">
      <c r="F3681" s="306"/>
      <c r="G3681" s="301" t="s">
        <v>169</v>
      </c>
      <c r="H3681" s="307" t="s">
        <v>170</v>
      </c>
      <c r="I3681" s="307" t="s">
        <v>171</v>
      </c>
      <c r="J3681" s="308">
        <v>0.27</v>
      </c>
      <c r="K3681" s="309">
        <f>VLOOKUP(G3681,Upah,8,FALSE)</f>
        <v>125000</v>
      </c>
      <c r="L3681" s="310">
        <f>J3681*K3681</f>
        <v>33750</v>
      </c>
    </row>
    <row r="3682" spans="6:12" ht="15" customHeight="1">
      <c r="F3682" s="306"/>
      <c r="G3682" s="301" t="s">
        <v>308</v>
      </c>
      <c r="H3682" s="307" t="s">
        <v>217</v>
      </c>
      <c r="I3682" s="307" t="s">
        <v>171</v>
      </c>
      <c r="J3682" s="308">
        <v>0.13500000000000001</v>
      </c>
      <c r="K3682" s="309">
        <f>VLOOKUP(G3682,Upah,8,FALSE)</f>
        <v>150000</v>
      </c>
      <c r="L3682" s="310">
        <f>J3682*K3682</f>
        <v>20250</v>
      </c>
    </row>
    <row r="3683" spans="6:12" ht="15" customHeight="1">
      <c r="F3683" s="306"/>
      <c r="G3683" s="301" t="s">
        <v>232</v>
      </c>
      <c r="H3683" s="307" t="s">
        <v>175</v>
      </c>
      <c r="I3683" s="307" t="s">
        <v>171</v>
      </c>
      <c r="J3683" s="308">
        <v>1.4E-2</v>
      </c>
      <c r="K3683" s="309">
        <f>VLOOKUP(G3683,Upah,8,FALSE)</f>
        <v>165000</v>
      </c>
      <c r="L3683" s="310">
        <f>J3683*K3683</f>
        <v>2310</v>
      </c>
    </row>
    <row r="3684" spans="6:12" ht="15" customHeight="1" thickBot="1">
      <c r="F3684" s="306"/>
      <c r="G3684" s="301" t="s">
        <v>176</v>
      </c>
      <c r="H3684" s="307" t="s">
        <v>177</v>
      </c>
      <c r="I3684" s="307" t="s">
        <v>171</v>
      </c>
      <c r="J3684" s="308">
        <v>1.4E-2</v>
      </c>
      <c r="K3684" s="309">
        <f>VLOOKUP(G3684,Upah,8,FALSE)</f>
        <v>170000</v>
      </c>
      <c r="L3684" s="310">
        <f>J3684*K3684</f>
        <v>2380</v>
      </c>
    </row>
    <row r="3685" spans="6:12" ht="15" customHeight="1" thickBot="1">
      <c r="F3685" s="316"/>
      <c r="G3685" s="317"/>
      <c r="H3685" s="318"/>
      <c r="I3685" s="318"/>
      <c r="J3685" s="319" t="s">
        <v>178</v>
      </c>
      <c r="K3685" s="320"/>
      <c r="L3685" s="321">
        <f>SUM(L3681:L3684)</f>
        <v>58690</v>
      </c>
    </row>
    <row r="3686" spans="6:12" ht="15" customHeight="1">
      <c r="F3686" s="300" t="s">
        <v>179</v>
      </c>
      <c r="G3686" s="301" t="s">
        <v>180</v>
      </c>
      <c r="H3686" s="302"/>
      <c r="I3686" s="302"/>
      <c r="J3686" s="351"/>
      <c r="K3686" s="328"/>
      <c r="L3686" s="310"/>
    </row>
    <row r="3687" spans="6:12" ht="15" customHeight="1">
      <c r="F3687" s="306"/>
      <c r="G3687" s="301" t="s">
        <v>764</v>
      </c>
      <c r="H3687" s="302"/>
      <c r="I3687" s="307" t="s">
        <v>221</v>
      </c>
      <c r="J3687" s="308">
        <v>26.5</v>
      </c>
      <c r="K3687" s="328">
        <f>VLOOKUP(G3687,Bahan,6,FALSE)</f>
        <v>14260</v>
      </c>
      <c r="L3687" s="310">
        <f>J3687*K3687</f>
        <v>377890</v>
      </c>
    </row>
    <row r="3688" spans="6:12" ht="15" customHeight="1">
      <c r="F3688" s="306"/>
      <c r="G3688" s="301" t="s">
        <v>183</v>
      </c>
      <c r="H3688" s="302"/>
      <c r="I3688" s="307" t="s">
        <v>38</v>
      </c>
      <c r="J3688" s="308">
        <v>10.4</v>
      </c>
      <c r="K3688" s="328">
        <f>VLOOKUP(G3688,Bahan,6,FALSE)</f>
        <v>1880</v>
      </c>
      <c r="L3688" s="310">
        <f>J3688*K3688</f>
        <v>19552</v>
      </c>
    </row>
    <row r="3689" spans="6:12" ht="15" customHeight="1">
      <c r="F3689" s="306"/>
      <c r="G3689" s="301" t="s">
        <v>758</v>
      </c>
      <c r="H3689" s="302"/>
      <c r="I3689" s="307" t="s">
        <v>45</v>
      </c>
      <c r="J3689" s="308">
        <v>1.62</v>
      </c>
      <c r="K3689" s="328">
        <f>VLOOKUP(G3689,Bahan,6,FALSE)</f>
        <v>2460</v>
      </c>
      <c r="L3689" s="310">
        <f>J3689*K3689</f>
        <v>3985.2000000000003</v>
      </c>
    </row>
    <row r="3690" spans="6:12" ht="15" customHeight="1" thickBot="1">
      <c r="F3690" s="306"/>
      <c r="G3690" s="301" t="s">
        <v>296</v>
      </c>
      <c r="H3690" s="302"/>
      <c r="I3690" s="307" t="s">
        <v>292</v>
      </c>
      <c r="J3690" s="308">
        <v>4.4999999999999998E-2</v>
      </c>
      <c r="K3690" s="328">
        <f>VLOOKUP(G3690,Bahan,6,FALSE)</f>
        <v>253510</v>
      </c>
      <c r="L3690" s="310">
        <f>J3690*K3690</f>
        <v>11407.949999999999</v>
      </c>
    </row>
    <row r="3691" spans="6:12" ht="15" customHeight="1" thickBot="1">
      <c r="F3691" s="316"/>
      <c r="G3691" s="317"/>
      <c r="H3691" s="318"/>
      <c r="I3691" s="318"/>
      <c r="J3691" s="319" t="s">
        <v>189</v>
      </c>
      <c r="K3691" s="320"/>
      <c r="L3691" s="321">
        <f>SUM(L3687:L3690)</f>
        <v>412835.15</v>
      </c>
    </row>
    <row r="3692" spans="6:12" ht="15" customHeight="1" thickBot="1">
      <c r="F3692" s="300" t="s">
        <v>190</v>
      </c>
      <c r="G3692" s="301" t="s">
        <v>191</v>
      </c>
      <c r="H3692" s="302"/>
      <c r="I3692" s="302"/>
      <c r="J3692" s="351"/>
      <c r="K3692" s="328">
        <v>0</v>
      </c>
      <c r="L3692" s="310">
        <f>J3692*K3692</f>
        <v>0</v>
      </c>
    </row>
    <row r="3693" spans="6:12" ht="15" customHeight="1" thickBot="1">
      <c r="F3693" s="316"/>
      <c r="G3693" s="317"/>
      <c r="H3693" s="318"/>
      <c r="I3693" s="318"/>
      <c r="J3693" s="319" t="s">
        <v>192</v>
      </c>
      <c r="K3693" s="320"/>
      <c r="L3693" s="321">
        <f>L3692</f>
        <v>0</v>
      </c>
    </row>
    <row r="3694" spans="6:12" ht="15" customHeight="1">
      <c r="F3694" s="344" t="s">
        <v>193</v>
      </c>
      <c r="G3694" s="345" t="s">
        <v>194</v>
      </c>
      <c r="H3694" s="346"/>
      <c r="I3694" s="346"/>
      <c r="J3694" s="347"/>
      <c r="K3694" s="348">
        <v>0</v>
      </c>
      <c r="L3694" s="310">
        <f>SUM(L3681:L3693)/2</f>
        <v>471525.15</v>
      </c>
    </row>
    <row r="3695" spans="6:12" ht="15" customHeight="1" thickBot="1">
      <c r="F3695" s="331" t="s">
        <v>195</v>
      </c>
      <c r="G3695" s="332" t="s">
        <v>196</v>
      </c>
      <c r="H3695" s="333"/>
      <c r="I3695" s="333"/>
      <c r="J3695" s="350">
        <v>0.1</v>
      </c>
      <c r="K3695" s="335"/>
      <c r="L3695" s="330">
        <f>J3695*L3694</f>
        <v>47152.515000000007</v>
      </c>
    </row>
    <row r="3696" spans="6:12" ht="15" customHeight="1" thickBot="1">
      <c r="F3696" s="340" t="s">
        <v>197</v>
      </c>
      <c r="G3696" s="341" t="s">
        <v>198</v>
      </c>
      <c r="H3696" s="318"/>
      <c r="I3696" s="318"/>
      <c r="J3696" s="342"/>
      <c r="K3696" s="320">
        <v>0</v>
      </c>
      <c r="L3696" s="321">
        <f>ROUNDDOWN(L3694+L3695,0)</f>
        <v>518677</v>
      </c>
    </row>
    <row r="3697" spans="5:13" ht="15" customHeight="1">
      <c r="F3697" s="298"/>
      <c r="G3697" s="298"/>
      <c r="J3697" s="343"/>
    </row>
    <row r="3698" spans="5:13" ht="15" customHeight="1" thickBot="1">
      <c r="E3698" s="356" t="s">
        <v>765</v>
      </c>
      <c r="F3698" s="295" t="s">
        <v>766</v>
      </c>
      <c r="J3698" s="343"/>
      <c r="M3698" s="299">
        <f>L3716</f>
        <v>237461</v>
      </c>
    </row>
    <row r="3699" spans="5:13" ht="15" customHeight="1" thickBot="1">
      <c r="F3699" s="340" t="s">
        <v>136</v>
      </c>
      <c r="G3699" s="341" t="s">
        <v>162</v>
      </c>
      <c r="H3699" s="352" t="s">
        <v>163</v>
      </c>
      <c r="I3699" s="352" t="s">
        <v>138</v>
      </c>
      <c r="J3699" s="353" t="s">
        <v>164</v>
      </c>
      <c r="K3699" s="341" t="s">
        <v>165</v>
      </c>
      <c r="L3699" s="354" t="s">
        <v>166</v>
      </c>
    </row>
    <row r="3700" spans="5:13" ht="15" customHeight="1">
      <c r="F3700" s="300" t="s">
        <v>167</v>
      </c>
      <c r="G3700" s="301" t="s">
        <v>168</v>
      </c>
      <c r="H3700" s="302"/>
      <c r="I3700" s="302"/>
      <c r="J3700" s="351"/>
      <c r="K3700" s="328"/>
      <c r="L3700" s="310"/>
    </row>
    <row r="3701" spans="5:13" ht="15" customHeight="1">
      <c r="F3701" s="306"/>
      <c r="G3701" s="301" t="s">
        <v>169</v>
      </c>
      <c r="H3701" s="307" t="s">
        <v>170</v>
      </c>
      <c r="I3701" s="307" t="s">
        <v>171</v>
      </c>
      <c r="J3701" s="308">
        <v>0.25</v>
      </c>
      <c r="K3701" s="309">
        <f>VLOOKUP(G3701,Upah,8,FALSE)</f>
        <v>125000</v>
      </c>
      <c r="L3701" s="310">
        <f>J3701*K3701</f>
        <v>31250</v>
      </c>
    </row>
    <row r="3702" spans="5:13" ht="15" customHeight="1">
      <c r="F3702" s="306"/>
      <c r="G3702" s="301" t="s">
        <v>308</v>
      </c>
      <c r="H3702" s="307" t="s">
        <v>217</v>
      </c>
      <c r="I3702" s="307" t="s">
        <v>171</v>
      </c>
      <c r="J3702" s="308">
        <v>0.125</v>
      </c>
      <c r="K3702" s="309">
        <f>VLOOKUP(G3702,Upah,8,FALSE)</f>
        <v>150000</v>
      </c>
      <c r="L3702" s="310">
        <f>J3702*K3702</f>
        <v>18750</v>
      </c>
    </row>
    <row r="3703" spans="5:13" ht="15" customHeight="1">
      <c r="F3703" s="306"/>
      <c r="G3703" s="301" t="s">
        <v>232</v>
      </c>
      <c r="H3703" s="307" t="s">
        <v>175</v>
      </c>
      <c r="I3703" s="307" t="s">
        <v>171</v>
      </c>
      <c r="J3703" s="308">
        <v>1.2999999999999999E-2</v>
      </c>
      <c r="K3703" s="309">
        <f>VLOOKUP(G3703,Upah,8,FALSE)</f>
        <v>165000</v>
      </c>
      <c r="L3703" s="310">
        <f>J3703*K3703</f>
        <v>2145</v>
      </c>
    </row>
    <row r="3704" spans="5:13" ht="15" customHeight="1" thickBot="1">
      <c r="F3704" s="306"/>
      <c r="G3704" s="301" t="s">
        <v>176</v>
      </c>
      <c r="H3704" s="307" t="s">
        <v>177</v>
      </c>
      <c r="I3704" s="307" t="s">
        <v>171</v>
      </c>
      <c r="J3704" s="308">
        <v>1.2999999999999999E-2</v>
      </c>
      <c r="K3704" s="309">
        <f>VLOOKUP(G3704,Upah,8,FALSE)</f>
        <v>170000</v>
      </c>
      <c r="L3704" s="310">
        <f>J3704*K3704</f>
        <v>2210</v>
      </c>
    </row>
    <row r="3705" spans="5:13" ht="15" customHeight="1" thickBot="1">
      <c r="F3705" s="316"/>
      <c r="G3705" s="317"/>
      <c r="H3705" s="318"/>
      <c r="I3705" s="318"/>
      <c r="J3705" s="319" t="s">
        <v>178</v>
      </c>
      <c r="K3705" s="320"/>
      <c r="L3705" s="321">
        <f>SUM(L3701:L3704)</f>
        <v>54355</v>
      </c>
    </row>
    <row r="3706" spans="5:13" ht="15" customHeight="1">
      <c r="F3706" s="300" t="s">
        <v>179</v>
      </c>
      <c r="G3706" s="301" t="s">
        <v>180</v>
      </c>
      <c r="H3706" s="302"/>
      <c r="I3706" s="302"/>
      <c r="J3706" s="351"/>
      <c r="K3706" s="328"/>
      <c r="L3706" s="310"/>
    </row>
    <row r="3707" spans="5:13" ht="15" customHeight="1">
      <c r="F3707" s="306"/>
      <c r="G3707" s="301" t="s">
        <v>767</v>
      </c>
      <c r="H3707" s="302"/>
      <c r="I3707" s="307" t="s">
        <v>221</v>
      </c>
      <c r="J3707" s="308">
        <v>6.63</v>
      </c>
      <c r="K3707" s="328">
        <f>VLOOKUP(G3707,Bahan,6,FALSE)</f>
        <v>19380</v>
      </c>
      <c r="L3707" s="310">
        <f>J3707*K3707</f>
        <v>128489.4</v>
      </c>
    </row>
    <row r="3708" spans="5:13" ht="15" customHeight="1">
      <c r="F3708" s="306"/>
      <c r="G3708" s="301" t="s">
        <v>183</v>
      </c>
      <c r="H3708" s="302"/>
      <c r="I3708" s="307" t="s">
        <v>38</v>
      </c>
      <c r="J3708" s="308">
        <v>9.8000000000000007</v>
      </c>
      <c r="K3708" s="328">
        <f>VLOOKUP(G3708,Bahan,6,FALSE)</f>
        <v>1880</v>
      </c>
      <c r="L3708" s="310">
        <f>J3708*K3708</f>
        <v>18424</v>
      </c>
    </row>
    <row r="3709" spans="5:13" ht="15" customHeight="1">
      <c r="F3709" s="306"/>
      <c r="G3709" s="301" t="s">
        <v>758</v>
      </c>
      <c r="H3709" s="302"/>
      <c r="I3709" s="307" t="s">
        <v>45</v>
      </c>
      <c r="J3709" s="308">
        <v>1.3</v>
      </c>
      <c r="K3709" s="328">
        <f>VLOOKUP(G3709,Bahan,6,FALSE)</f>
        <v>2460</v>
      </c>
      <c r="L3709" s="310">
        <f>J3709*K3709</f>
        <v>3198</v>
      </c>
    </row>
    <row r="3710" spans="5:13" ht="15" customHeight="1" thickBot="1">
      <c r="F3710" s="306"/>
      <c r="G3710" s="301" t="s">
        <v>296</v>
      </c>
      <c r="H3710" s="302"/>
      <c r="I3710" s="307" t="s">
        <v>292</v>
      </c>
      <c r="J3710" s="308">
        <v>4.4999999999999998E-2</v>
      </c>
      <c r="K3710" s="328">
        <f>VLOOKUP(G3710,Bahan,6,FALSE)</f>
        <v>253510</v>
      </c>
      <c r="L3710" s="310">
        <f>J3710*K3710</f>
        <v>11407.949999999999</v>
      </c>
    </row>
    <row r="3711" spans="5:13" ht="15" customHeight="1" thickBot="1">
      <c r="F3711" s="316"/>
      <c r="G3711" s="317"/>
      <c r="H3711" s="318"/>
      <c r="I3711" s="318"/>
      <c r="J3711" s="319" t="s">
        <v>189</v>
      </c>
      <c r="K3711" s="320"/>
      <c r="L3711" s="321">
        <f>SUM(L3707:L3710)</f>
        <v>161519.35</v>
      </c>
    </row>
    <row r="3712" spans="5:13" ht="15" customHeight="1" thickBot="1">
      <c r="F3712" s="300" t="s">
        <v>190</v>
      </c>
      <c r="G3712" s="301" t="s">
        <v>191</v>
      </c>
      <c r="H3712" s="302"/>
      <c r="I3712" s="302"/>
      <c r="J3712" s="351"/>
      <c r="K3712" s="328">
        <v>0</v>
      </c>
      <c r="L3712" s="310">
        <f>J3712*K3712</f>
        <v>0</v>
      </c>
    </row>
    <row r="3713" spans="5:13" ht="15" customHeight="1" thickBot="1">
      <c r="F3713" s="316"/>
      <c r="G3713" s="317"/>
      <c r="H3713" s="318"/>
      <c r="I3713" s="318"/>
      <c r="J3713" s="319" t="s">
        <v>192</v>
      </c>
      <c r="K3713" s="320"/>
      <c r="L3713" s="321">
        <f>L3712</f>
        <v>0</v>
      </c>
    </row>
    <row r="3714" spans="5:13" ht="15" customHeight="1">
      <c r="F3714" s="344" t="s">
        <v>193</v>
      </c>
      <c r="G3714" s="345" t="s">
        <v>194</v>
      </c>
      <c r="H3714" s="346"/>
      <c r="I3714" s="346"/>
      <c r="J3714" s="347"/>
      <c r="K3714" s="348">
        <v>0</v>
      </c>
      <c r="L3714" s="310">
        <f>SUM(L3701:L3713)/2</f>
        <v>215874.34999999998</v>
      </c>
    </row>
    <row r="3715" spans="5:13" ht="15" customHeight="1" thickBot="1">
      <c r="F3715" s="331" t="s">
        <v>195</v>
      </c>
      <c r="G3715" s="332" t="s">
        <v>196</v>
      </c>
      <c r="H3715" s="333"/>
      <c r="I3715" s="333"/>
      <c r="J3715" s="350">
        <v>0.1</v>
      </c>
      <c r="K3715" s="335"/>
      <c r="L3715" s="330">
        <f>J3715*L3714</f>
        <v>21587.434999999998</v>
      </c>
    </row>
    <row r="3716" spans="5:13" ht="15" customHeight="1" thickBot="1">
      <c r="F3716" s="340" t="s">
        <v>197</v>
      </c>
      <c r="G3716" s="341" t="s">
        <v>198</v>
      </c>
      <c r="H3716" s="318"/>
      <c r="I3716" s="318"/>
      <c r="J3716" s="342"/>
      <c r="K3716" s="320">
        <v>0</v>
      </c>
      <c r="L3716" s="321">
        <f>ROUNDDOWN(L3714+L3715,0)</f>
        <v>237461</v>
      </c>
    </row>
    <row r="3717" spans="5:13" ht="15" customHeight="1">
      <c r="F3717" s="298"/>
      <c r="G3717" s="298"/>
      <c r="J3717" s="343"/>
    </row>
    <row r="3718" spans="5:13" ht="15" customHeight="1" thickBot="1">
      <c r="E3718" s="356" t="s">
        <v>768</v>
      </c>
      <c r="F3718" s="295" t="s">
        <v>769</v>
      </c>
      <c r="J3718" s="343"/>
      <c r="M3718" s="299">
        <f>L3736</f>
        <v>310801</v>
      </c>
    </row>
    <row r="3719" spans="5:13" ht="15" customHeight="1" thickBot="1">
      <c r="F3719" s="340" t="s">
        <v>136</v>
      </c>
      <c r="G3719" s="341" t="s">
        <v>162</v>
      </c>
      <c r="H3719" s="352" t="s">
        <v>163</v>
      </c>
      <c r="I3719" s="352" t="s">
        <v>138</v>
      </c>
      <c r="J3719" s="353" t="s">
        <v>164</v>
      </c>
      <c r="K3719" s="341" t="s">
        <v>165</v>
      </c>
      <c r="L3719" s="354" t="s">
        <v>166</v>
      </c>
    </row>
    <row r="3720" spans="5:13" ht="15" customHeight="1">
      <c r="F3720" s="300" t="s">
        <v>167</v>
      </c>
      <c r="G3720" s="301" t="s">
        <v>168</v>
      </c>
      <c r="H3720" s="302"/>
      <c r="I3720" s="302"/>
      <c r="J3720" s="351"/>
      <c r="K3720" s="328"/>
      <c r="L3720" s="310"/>
    </row>
    <row r="3721" spans="5:13" ht="15" customHeight="1">
      <c r="F3721" s="306"/>
      <c r="G3721" s="301" t="s">
        <v>169</v>
      </c>
      <c r="H3721" s="307" t="s">
        <v>170</v>
      </c>
      <c r="I3721" s="307" t="s">
        <v>171</v>
      </c>
      <c r="J3721" s="308">
        <v>0.26</v>
      </c>
      <c r="K3721" s="309">
        <f>VLOOKUP(G3721,Upah,8,FALSE)</f>
        <v>125000</v>
      </c>
      <c r="L3721" s="310">
        <f>J3721*K3721</f>
        <v>32500</v>
      </c>
    </row>
    <row r="3722" spans="5:13" ht="15" customHeight="1">
      <c r="F3722" s="306"/>
      <c r="G3722" s="301" t="s">
        <v>308</v>
      </c>
      <c r="H3722" s="307" t="s">
        <v>217</v>
      </c>
      <c r="I3722" s="307" t="s">
        <v>171</v>
      </c>
      <c r="J3722" s="308">
        <v>0.13</v>
      </c>
      <c r="K3722" s="309">
        <f>VLOOKUP(G3722,Upah,8,FALSE)</f>
        <v>150000</v>
      </c>
      <c r="L3722" s="310">
        <f>J3722*K3722</f>
        <v>19500</v>
      </c>
    </row>
    <row r="3723" spans="5:13" ht="15" customHeight="1">
      <c r="F3723" s="306"/>
      <c r="G3723" s="301" t="s">
        <v>232</v>
      </c>
      <c r="H3723" s="307" t="s">
        <v>175</v>
      </c>
      <c r="I3723" s="307" t="s">
        <v>171</v>
      </c>
      <c r="J3723" s="308">
        <v>1.2999999999999999E-2</v>
      </c>
      <c r="K3723" s="309">
        <f>VLOOKUP(G3723,Upah,8,FALSE)</f>
        <v>165000</v>
      </c>
      <c r="L3723" s="310">
        <f>J3723*K3723</f>
        <v>2145</v>
      </c>
    </row>
    <row r="3724" spans="5:13" ht="15" customHeight="1" thickBot="1">
      <c r="F3724" s="306"/>
      <c r="G3724" s="301" t="s">
        <v>176</v>
      </c>
      <c r="H3724" s="307" t="s">
        <v>177</v>
      </c>
      <c r="I3724" s="307" t="s">
        <v>171</v>
      </c>
      <c r="J3724" s="308">
        <v>1.2999999999999999E-2</v>
      </c>
      <c r="K3724" s="309">
        <f>VLOOKUP(G3724,Upah,8,FALSE)</f>
        <v>170000</v>
      </c>
      <c r="L3724" s="310">
        <f>J3724*K3724</f>
        <v>2210</v>
      </c>
    </row>
    <row r="3725" spans="5:13" ht="15" customHeight="1" thickBot="1">
      <c r="F3725" s="316"/>
      <c r="G3725" s="317"/>
      <c r="H3725" s="318"/>
      <c r="I3725" s="318"/>
      <c r="J3725" s="319" t="s">
        <v>178</v>
      </c>
      <c r="K3725" s="320"/>
      <c r="L3725" s="321">
        <f>SUM(L3721:L3724)</f>
        <v>56355</v>
      </c>
    </row>
    <row r="3726" spans="5:13" ht="15" customHeight="1">
      <c r="F3726" s="300" t="s">
        <v>179</v>
      </c>
      <c r="G3726" s="301" t="s">
        <v>180</v>
      </c>
      <c r="H3726" s="302"/>
      <c r="I3726" s="302"/>
      <c r="J3726" s="351"/>
      <c r="K3726" s="328"/>
      <c r="L3726" s="310"/>
    </row>
    <row r="3727" spans="5:13" ht="15" customHeight="1">
      <c r="F3727" s="306"/>
      <c r="G3727" s="301" t="s">
        <v>770</v>
      </c>
      <c r="H3727" s="302"/>
      <c r="I3727" s="307" t="s">
        <v>221</v>
      </c>
      <c r="J3727" s="308">
        <v>11.87</v>
      </c>
      <c r="K3727" s="328">
        <f>VLOOKUP(G3727,Bahan,6,FALSE)</f>
        <v>16200</v>
      </c>
      <c r="L3727" s="310">
        <f>J3727*K3727</f>
        <v>192294</v>
      </c>
    </row>
    <row r="3728" spans="5:13" ht="15" customHeight="1">
      <c r="F3728" s="306"/>
      <c r="G3728" s="301" t="s">
        <v>183</v>
      </c>
      <c r="H3728" s="302"/>
      <c r="I3728" s="307" t="s">
        <v>38</v>
      </c>
      <c r="J3728" s="308">
        <v>10</v>
      </c>
      <c r="K3728" s="328">
        <f>VLOOKUP(G3728,Bahan,6,FALSE)</f>
        <v>1880</v>
      </c>
      <c r="L3728" s="310">
        <f>J3728*K3728</f>
        <v>18800</v>
      </c>
    </row>
    <row r="3729" spans="5:13" ht="15" customHeight="1">
      <c r="F3729" s="306"/>
      <c r="G3729" s="301" t="s">
        <v>758</v>
      </c>
      <c r="H3729" s="302"/>
      <c r="I3729" s="307" t="s">
        <v>45</v>
      </c>
      <c r="J3729" s="308">
        <v>1.5</v>
      </c>
      <c r="K3729" s="328">
        <f>VLOOKUP(G3729,Bahan,6,FALSE)</f>
        <v>2460</v>
      </c>
      <c r="L3729" s="310">
        <f>J3729*K3729</f>
        <v>3690</v>
      </c>
    </row>
    <row r="3730" spans="5:13" ht="15" customHeight="1" thickBot="1">
      <c r="F3730" s="306"/>
      <c r="G3730" s="301" t="s">
        <v>296</v>
      </c>
      <c r="H3730" s="302"/>
      <c r="I3730" s="307" t="s">
        <v>292</v>
      </c>
      <c r="J3730" s="308">
        <v>4.4999999999999998E-2</v>
      </c>
      <c r="K3730" s="328">
        <f>VLOOKUP(G3730,Bahan,6,FALSE)</f>
        <v>253510</v>
      </c>
      <c r="L3730" s="310">
        <f>J3730*K3730</f>
        <v>11407.949999999999</v>
      </c>
    </row>
    <row r="3731" spans="5:13" ht="15" customHeight="1" thickBot="1">
      <c r="F3731" s="316"/>
      <c r="G3731" s="317"/>
      <c r="H3731" s="318"/>
      <c r="I3731" s="318"/>
      <c r="J3731" s="319" t="s">
        <v>189</v>
      </c>
      <c r="K3731" s="320"/>
      <c r="L3731" s="321">
        <f>SUM(L3727:L3730)</f>
        <v>226191.95</v>
      </c>
    </row>
    <row r="3732" spans="5:13" ht="15" customHeight="1" thickBot="1">
      <c r="F3732" s="300" t="s">
        <v>190</v>
      </c>
      <c r="G3732" s="301" t="s">
        <v>191</v>
      </c>
      <c r="H3732" s="302"/>
      <c r="I3732" s="302"/>
      <c r="J3732" s="351"/>
      <c r="K3732" s="328">
        <v>0</v>
      </c>
      <c r="L3732" s="310">
        <f>J3732*K3732</f>
        <v>0</v>
      </c>
    </row>
    <row r="3733" spans="5:13" ht="15" customHeight="1" thickBot="1">
      <c r="F3733" s="316"/>
      <c r="G3733" s="317"/>
      <c r="H3733" s="318"/>
      <c r="I3733" s="318"/>
      <c r="J3733" s="319" t="s">
        <v>192</v>
      </c>
      <c r="K3733" s="320"/>
      <c r="L3733" s="321">
        <f>L3732</f>
        <v>0</v>
      </c>
    </row>
    <row r="3734" spans="5:13" ht="15" customHeight="1">
      <c r="F3734" s="344" t="s">
        <v>193</v>
      </c>
      <c r="G3734" s="345" t="s">
        <v>194</v>
      </c>
      <c r="H3734" s="346"/>
      <c r="I3734" s="346"/>
      <c r="J3734" s="347"/>
      <c r="K3734" s="348">
        <v>0</v>
      </c>
      <c r="L3734" s="310">
        <f>SUM(L3721:L3733)/2</f>
        <v>282546.95</v>
      </c>
    </row>
    <row r="3735" spans="5:13" ht="15" customHeight="1" thickBot="1">
      <c r="F3735" s="331" t="s">
        <v>195</v>
      </c>
      <c r="G3735" s="332" t="s">
        <v>196</v>
      </c>
      <c r="H3735" s="333"/>
      <c r="I3735" s="333"/>
      <c r="J3735" s="350">
        <v>0.1</v>
      </c>
      <c r="K3735" s="335"/>
      <c r="L3735" s="330">
        <f>J3735*L3734</f>
        <v>28254.695000000003</v>
      </c>
    </row>
    <row r="3736" spans="5:13" ht="15" customHeight="1" thickBot="1">
      <c r="F3736" s="340" t="s">
        <v>197</v>
      </c>
      <c r="G3736" s="341" t="s">
        <v>198</v>
      </c>
      <c r="H3736" s="318"/>
      <c r="I3736" s="318"/>
      <c r="J3736" s="342"/>
      <c r="K3736" s="320">
        <v>0</v>
      </c>
      <c r="L3736" s="321">
        <f>ROUNDDOWN(L3734+L3735,0)</f>
        <v>310801</v>
      </c>
    </row>
    <row r="3737" spans="5:13" ht="15" customHeight="1">
      <c r="F3737" s="298"/>
      <c r="G3737" s="298"/>
      <c r="J3737" s="343"/>
    </row>
    <row r="3738" spans="5:13" ht="15" customHeight="1" thickBot="1">
      <c r="E3738" s="356" t="s">
        <v>771</v>
      </c>
      <c r="F3738" s="295" t="s">
        <v>772</v>
      </c>
      <c r="J3738" s="343"/>
      <c r="M3738" s="299">
        <f>L3756</f>
        <v>275531</v>
      </c>
    </row>
    <row r="3739" spans="5:13" ht="15" customHeight="1" thickBot="1">
      <c r="F3739" s="340" t="s">
        <v>136</v>
      </c>
      <c r="G3739" s="341" t="s">
        <v>162</v>
      </c>
      <c r="H3739" s="352" t="s">
        <v>163</v>
      </c>
      <c r="I3739" s="352" t="s">
        <v>138</v>
      </c>
      <c r="J3739" s="353" t="s">
        <v>164</v>
      </c>
      <c r="K3739" s="341" t="s">
        <v>165</v>
      </c>
      <c r="L3739" s="354" t="s">
        <v>166</v>
      </c>
    </row>
    <row r="3740" spans="5:13" ht="15" customHeight="1">
      <c r="F3740" s="344" t="s">
        <v>167</v>
      </c>
      <c r="G3740" s="345" t="s">
        <v>168</v>
      </c>
      <c r="H3740" s="346"/>
      <c r="I3740" s="346"/>
      <c r="J3740" s="347"/>
      <c r="K3740" s="348"/>
      <c r="L3740" s="349"/>
    </row>
    <row r="3741" spans="5:13" ht="15" customHeight="1">
      <c r="F3741" s="306"/>
      <c r="G3741" s="301" t="s">
        <v>169</v>
      </c>
      <c r="H3741" s="307" t="s">
        <v>170</v>
      </c>
      <c r="I3741" s="307" t="s">
        <v>171</v>
      </c>
      <c r="J3741" s="308">
        <v>0.25</v>
      </c>
      <c r="K3741" s="309">
        <f>VLOOKUP(G3741,Upah,8,FALSE)</f>
        <v>125000</v>
      </c>
      <c r="L3741" s="310">
        <f>J3741*K3741</f>
        <v>31250</v>
      </c>
    </row>
    <row r="3742" spans="5:13" ht="15" customHeight="1">
      <c r="F3742" s="306"/>
      <c r="G3742" s="301" t="s">
        <v>308</v>
      </c>
      <c r="H3742" s="307" t="s">
        <v>217</v>
      </c>
      <c r="I3742" s="307" t="s">
        <v>171</v>
      </c>
      <c r="J3742" s="308">
        <v>0.125</v>
      </c>
      <c r="K3742" s="309">
        <f>VLOOKUP(G3742,Upah,8,FALSE)</f>
        <v>150000</v>
      </c>
      <c r="L3742" s="310">
        <f>J3742*K3742</f>
        <v>18750</v>
      </c>
    </row>
    <row r="3743" spans="5:13" ht="15" customHeight="1">
      <c r="F3743" s="306"/>
      <c r="G3743" s="301" t="s">
        <v>232</v>
      </c>
      <c r="H3743" s="307" t="s">
        <v>175</v>
      </c>
      <c r="I3743" s="307" t="s">
        <v>171</v>
      </c>
      <c r="J3743" s="308">
        <v>1.2999999999999999E-2</v>
      </c>
      <c r="K3743" s="309">
        <f>VLOOKUP(G3743,Upah,8,FALSE)</f>
        <v>165000</v>
      </c>
      <c r="L3743" s="310">
        <f>J3743*K3743</f>
        <v>2145</v>
      </c>
    </row>
    <row r="3744" spans="5:13" ht="15" customHeight="1" thickBot="1">
      <c r="F3744" s="306"/>
      <c r="G3744" s="301" t="s">
        <v>176</v>
      </c>
      <c r="H3744" s="307" t="s">
        <v>177</v>
      </c>
      <c r="I3744" s="307" t="s">
        <v>171</v>
      </c>
      <c r="J3744" s="308">
        <v>1.2999999999999999E-2</v>
      </c>
      <c r="K3744" s="309">
        <f>VLOOKUP(G3744,Upah,8,FALSE)</f>
        <v>170000</v>
      </c>
      <c r="L3744" s="310">
        <f>J3744*K3744</f>
        <v>2210</v>
      </c>
    </row>
    <row r="3745" spans="5:13" ht="15" customHeight="1" thickBot="1">
      <c r="F3745" s="316"/>
      <c r="G3745" s="317"/>
      <c r="H3745" s="318"/>
      <c r="I3745" s="318"/>
      <c r="J3745" s="319" t="s">
        <v>178</v>
      </c>
      <c r="K3745" s="320"/>
      <c r="L3745" s="321">
        <f>SUM(L3741:L3744)</f>
        <v>54355</v>
      </c>
    </row>
    <row r="3746" spans="5:13" ht="15" customHeight="1">
      <c r="F3746" s="300" t="s">
        <v>179</v>
      </c>
      <c r="G3746" s="301" t="s">
        <v>180</v>
      </c>
      <c r="H3746" s="302"/>
      <c r="I3746" s="302"/>
      <c r="J3746" s="351"/>
      <c r="K3746" s="328"/>
      <c r="L3746" s="310"/>
    </row>
    <row r="3747" spans="5:13" ht="15" customHeight="1">
      <c r="F3747" s="306"/>
      <c r="G3747" s="301" t="s">
        <v>773</v>
      </c>
      <c r="H3747" s="302"/>
      <c r="I3747" s="307" t="s">
        <v>221</v>
      </c>
      <c r="J3747" s="308">
        <v>6.63</v>
      </c>
      <c r="K3747" s="328">
        <f>VLOOKUP(G3747,Bahan,6,FALSE)</f>
        <v>24600</v>
      </c>
      <c r="L3747" s="310">
        <f>J3747*K3747</f>
        <v>163098</v>
      </c>
    </row>
    <row r="3748" spans="5:13" ht="15" customHeight="1">
      <c r="F3748" s="306"/>
      <c r="G3748" s="301" t="s">
        <v>183</v>
      </c>
      <c r="H3748" s="302"/>
      <c r="I3748" s="307" t="s">
        <v>38</v>
      </c>
      <c r="J3748" s="308">
        <v>9.8000000000000007</v>
      </c>
      <c r="K3748" s="328">
        <f>VLOOKUP(G3748,Bahan,6,FALSE)</f>
        <v>1880</v>
      </c>
      <c r="L3748" s="310">
        <f>J3748*K3748</f>
        <v>18424</v>
      </c>
    </row>
    <row r="3749" spans="5:13" ht="15" customHeight="1">
      <c r="F3749" s="306"/>
      <c r="G3749" s="301" t="s">
        <v>758</v>
      </c>
      <c r="H3749" s="302"/>
      <c r="I3749" s="307" t="s">
        <v>45</v>
      </c>
      <c r="J3749" s="308">
        <v>1.3</v>
      </c>
      <c r="K3749" s="328">
        <f>VLOOKUP(G3749,Bahan,6,FALSE)</f>
        <v>2460</v>
      </c>
      <c r="L3749" s="310">
        <f>J3749*K3749</f>
        <v>3198</v>
      </c>
    </row>
    <row r="3750" spans="5:13" ht="15" customHeight="1" thickBot="1">
      <c r="F3750" s="306"/>
      <c r="G3750" s="301" t="s">
        <v>296</v>
      </c>
      <c r="H3750" s="302"/>
      <c r="I3750" s="307" t="s">
        <v>292</v>
      </c>
      <c r="J3750" s="308">
        <v>4.4999999999999998E-2</v>
      </c>
      <c r="K3750" s="328">
        <f>VLOOKUP(G3750,Bahan,6,FALSE)</f>
        <v>253510</v>
      </c>
      <c r="L3750" s="310">
        <f>J3750*K3750</f>
        <v>11407.949999999999</v>
      </c>
    </row>
    <row r="3751" spans="5:13" ht="15" customHeight="1" thickBot="1">
      <c r="F3751" s="316"/>
      <c r="G3751" s="317"/>
      <c r="H3751" s="318"/>
      <c r="I3751" s="318"/>
      <c r="J3751" s="319" t="s">
        <v>189</v>
      </c>
      <c r="K3751" s="320"/>
      <c r="L3751" s="321">
        <f>SUM(L3747:L3750)</f>
        <v>196127.95</v>
      </c>
    </row>
    <row r="3752" spans="5:13" ht="15" customHeight="1" thickBot="1">
      <c r="F3752" s="300" t="s">
        <v>190</v>
      </c>
      <c r="G3752" s="301" t="s">
        <v>191</v>
      </c>
      <c r="H3752" s="302"/>
      <c r="I3752" s="302"/>
      <c r="J3752" s="351"/>
      <c r="K3752" s="328">
        <v>0</v>
      </c>
      <c r="L3752" s="310">
        <f>J3752*K3752</f>
        <v>0</v>
      </c>
    </row>
    <row r="3753" spans="5:13" ht="15" customHeight="1" thickBot="1">
      <c r="F3753" s="316"/>
      <c r="G3753" s="317"/>
      <c r="H3753" s="318"/>
      <c r="I3753" s="318"/>
      <c r="J3753" s="319" t="s">
        <v>192</v>
      </c>
      <c r="K3753" s="320"/>
      <c r="L3753" s="321">
        <f>L3752</f>
        <v>0</v>
      </c>
    </row>
    <row r="3754" spans="5:13" ht="15" customHeight="1">
      <c r="F3754" s="344" t="s">
        <v>193</v>
      </c>
      <c r="G3754" s="345" t="s">
        <v>194</v>
      </c>
      <c r="H3754" s="346"/>
      <c r="I3754" s="346"/>
      <c r="J3754" s="347"/>
      <c r="K3754" s="348">
        <v>0</v>
      </c>
      <c r="L3754" s="310">
        <f>SUM(L3741:L3753)/2</f>
        <v>250482.95</v>
      </c>
    </row>
    <row r="3755" spans="5:13" ht="15" customHeight="1" thickBot="1">
      <c r="F3755" s="331" t="s">
        <v>195</v>
      </c>
      <c r="G3755" s="332" t="s">
        <v>196</v>
      </c>
      <c r="H3755" s="333"/>
      <c r="I3755" s="333"/>
      <c r="J3755" s="350">
        <v>0.1</v>
      </c>
      <c r="K3755" s="335"/>
      <c r="L3755" s="330">
        <f>J3755*L3754</f>
        <v>25048.295000000002</v>
      </c>
    </row>
    <row r="3756" spans="5:13" ht="15" customHeight="1" thickBot="1">
      <c r="F3756" s="340" t="s">
        <v>197</v>
      </c>
      <c r="G3756" s="341" t="s">
        <v>198</v>
      </c>
      <c r="H3756" s="318"/>
      <c r="I3756" s="318"/>
      <c r="J3756" s="342"/>
      <c r="K3756" s="320">
        <v>0</v>
      </c>
      <c r="L3756" s="321">
        <f>ROUNDDOWN(L3754+L3755,0)</f>
        <v>275531</v>
      </c>
    </row>
    <row r="3757" spans="5:13" ht="15" customHeight="1">
      <c r="F3757" s="298"/>
      <c r="G3757" s="298"/>
      <c r="J3757" s="343"/>
    </row>
    <row r="3758" spans="5:13" ht="15" customHeight="1" thickBot="1">
      <c r="E3758" s="356" t="s">
        <v>774</v>
      </c>
      <c r="F3758" s="295" t="s">
        <v>775</v>
      </c>
      <c r="J3758" s="343"/>
      <c r="M3758" s="299">
        <f>L3776</f>
        <v>358329</v>
      </c>
    </row>
    <row r="3759" spans="5:13" ht="15" customHeight="1" thickBot="1">
      <c r="F3759" s="340" t="s">
        <v>136</v>
      </c>
      <c r="G3759" s="341" t="s">
        <v>162</v>
      </c>
      <c r="H3759" s="352" t="s">
        <v>163</v>
      </c>
      <c r="I3759" s="352" t="s">
        <v>138</v>
      </c>
      <c r="J3759" s="353" t="s">
        <v>164</v>
      </c>
      <c r="K3759" s="341" t="s">
        <v>165</v>
      </c>
      <c r="L3759" s="354" t="s">
        <v>166</v>
      </c>
    </row>
    <row r="3760" spans="5:13" ht="15" customHeight="1">
      <c r="F3760" s="300" t="s">
        <v>167</v>
      </c>
      <c r="G3760" s="301" t="s">
        <v>168</v>
      </c>
      <c r="H3760" s="302"/>
      <c r="I3760" s="302"/>
      <c r="J3760" s="351"/>
      <c r="K3760" s="328"/>
      <c r="L3760" s="310"/>
    </row>
    <row r="3761" spans="6:12" ht="15" customHeight="1">
      <c r="F3761" s="306"/>
      <c r="G3761" s="301" t="s">
        <v>169</v>
      </c>
      <c r="H3761" s="307" t="s">
        <v>170</v>
      </c>
      <c r="I3761" s="307" t="s">
        <v>171</v>
      </c>
      <c r="J3761" s="308">
        <v>0.26</v>
      </c>
      <c r="K3761" s="309">
        <f>VLOOKUP(G3761,Upah,8,FALSE)</f>
        <v>125000</v>
      </c>
      <c r="L3761" s="310">
        <f>J3761*K3761</f>
        <v>32500</v>
      </c>
    </row>
    <row r="3762" spans="6:12" ht="15" customHeight="1">
      <c r="F3762" s="306"/>
      <c r="G3762" s="301" t="s">
        <v>308</v>
      </c>
      <c r="H3762" s="307" t="s">
        <v>217</v>
      </c>
      <c r="I3762" s="307" t="s">
        <v>171</v>
      </c>
      <c r="J3762" s="308">
        <v>0.13</v>
      </c>
      <c r="K3762" s="309">
        <f>VLOOKUP(G3762,Upah,8,FALSE)</f>
        <v>150000</v>
      </c>
      <c r="L3762" s="310">
        <f>J3762*K3762</f>
        <v>19500</v>
      </c>
    </row>
    <row r="3763" spans="6:12" ht="15" customHeight="1">
      <c r="F3763" s="306"/>
      <c r="G3763" s="301" t="s">
        <v>232</v>
      </c>
      <c r="H3763" s="307" t="s">
        <v>175</v>
      </c>
      <c r="I3763" s="307" t="s">
        <v>171</v>
      </c>
      <c r="J3763" s="308">
        <v>1.2999999999999999E-2</v>
      </c>
      <c r="K3763" s="309">
        <f>VLOOKUP(G3763,Upah,8,FALSE)</f>
        <v>165000</v>
      </c>
      <c r="L3763" s="310">
        <f>J3763*K3763</f>
        <v>2145</v>
      </c>
    </row>
    <row r="3764" spans="6:12" ht="15" customHeight="1" thickBot="1">
      <c r="F3764" s="306"/>
      <c r="G3764" s="301" t="s">
        <v>176</v>
      </c>
      <c r="H3764" s="307" t="s">
        <v>177</v>
      </c>
      <c r="I3764" s="307" t="s">
        <v>171</v>
      </c>
      <c r="J3764" s="308">
        <v>1.2999999999999999E-2</v>
      </c>
      <c r="K3764" s="309">
        <f>VLOOKUP(G3764,Upah,8,FALSE)</f>
        <v>170000</v>
      </c>
      <c r="L3764" s="310">
        <f>J3764*K3764</f>
        <v>2210</v>
      </c>
    </row>
    <row r="3765" spans="6:12" ht="15" customHeight="1" thickBot="1">
      <c r="F3765" s="316"/>
      <c r="G3765" s="317"/>
      <c r="H3765" s="318"/>
      <c r="I3765" s="318"/>
      <c r="J3765" s="319" t="s">
        <v>178</v>
      </c>
      <c r="K3765" s="320"/>
      <c r="L3765" s="321">
        <f>SUM(L3761:L3764)</f>
        <v>56355</v>
      </c>
    </row>
    <row r="3766" spans="6:12" ht="15" customHeight="1">
      <c r="F3766" s="300" t="s">
        <v>179</v>
      </c>
      <c r="G3766" s="301" t="s">
        <v>180</v>
      </c>
      <c r="H3766" s="302"/>
      <c r="I3766" s="302"/>
      <c r="J3766" s="351"/>
      <c r="K3766" s="328"/>
      <c r="L3766" s="310"/>
    </row>
    <row r="3767" spans="6:12" ht="15" customHeight="1">
      <c r="F3767" s="306"/>
      <c r="G3767" s="301" t="s">
        <v>776</v>
      </c>
      <c r="H3767" s="302"/>
      <c r="I3767" s="307" t="s">
        <v>221</v>
      </c>
      <c r="J3767" s="308">
        <v>11.87</v>
      </c>
      <c r="K3767" s="328">
        <f>VLOOKUP(G3767,Bahan,6,FALSE)</f>
        <v>19840</v>
      </c>
      <c r="L3767" s="310">
        <f>J3767*K3767</f>
        <v>235500.79999999999</v>
      </c>
    </row>
    <row r="3768" spans="6:12" ht="15" customHeight="1">
      <c r="F3768" s="306"/>
      <c r="G3768" s="301" t="s">
        <v>183</v>
      </c>
      <c r="H3768" s="302"/>
      <c r="I3768" s="307" t="s">
        <v>38</v>
      </c>
      <c r="J3768" s="308">
        <v>10</v>
      </c>
      <c r="K3768" s="328">
        <f>VLOOKUP(G3768,Bahan,6,FALSE)</f>
        <v>1880</v>
      </c>
      <c r="L3768" s="310">
        <f>J3768*K3768</f>
        <v>18800</v>
      </c>
    </row>
    <row r="3769" spans="6:12" ht="15" customHeight="1">
      <c r="F3769" s="306"/>
      <c r="G3769" s="301" t="s">
        <v>758</v>
      </c>
      <c r="H3769" s="302"/>
      <c r="I3769" s="307" t="s">
        <v>45</v>
      </c>
      <c r="J3769" s="308">
        <v>1.5</v>
      </c>
      <c r="K3769" s="328">
        <f>VLOOKUP(G3769,Bahan,6,FALSE)</f>
        <v>2460</v>
      </c>
      <c r="L3769" s="310">
        <f>J3769*K3769</f>
        <v>3690</v>
      </c>
    </row>
    <row r="3770" spans="6:12" ht="15" customHeight="1" thickBot="1">
      <c r="F3770" s="306"/>
      <c r="G3770" s="301" t="s">
        <v>296</v>
      </c>
      <c r="H3770" s="302"/>
      <c r="I3770" s="307" t="s">
        <v>292</v>
      </c>
      <c r="J3770" s="308">
        <v>4.4999999999999998E-2</v>
      </c>
      <c r="K3770" s="328">
        <f>VLOOKUP(G3770,Bahan,6,FALSE)</f>
        <v>253510</v>
      </c>
      <c r="L3770" s="310">
        <f>J3770*K3770</f>
        <v>11407.949999999999</v>
      </c>
    </row>
    <row r="3771" spans="6:12" ht="15" customHeight="1" thickBot="1">
      <c r="F3771" s="316"/>
      <c r="G3771" s="317"/>
      <c r="H3771" s="318"/>
      <c r="I3771" s="318"/>
      <c r="J3771" s="319" t="s">
        <v>189</v>
      </c>
      <c r="K3771" s="320"/>
      <c r="L3771" s="321">
        <f>SUM(L3767:L3770)</f>
        <v>269398.75</v>
      </c>
    </row>
    <row r="3772" spans="6:12" ht="15" customHeight="1" thickBot="1">
      <c r="F3772" s="300" t="s">
        <v>190</v>
      </c>
      <c r="G3772" s="301" t="s">
        <v>191</v>
      </c>
      <c r="H3772" s="302"/>
      <c r="I3772" s="302"/>
      <c r="J3772" s="351"/>
      <c r="K3772" s="328">
        <v>0</v>
      </c>
      <c r="L3772" s="310">
        <f>J3772*K3772</f>
        <v>0</v>
      </c>
    </row>
    <row r="3773" spans="6:12" ht="15" customHeight="1" thickBot="1">
      <c r="F3773" s="316"/>
      <c r="G3773" s="317"/>
      <c r="H3773" s="318"/>
      <c r="I3773" s="318"/>
      <c r="J3773" s="319" t="s">
        <v>192</v>
      </c>
      <c r="K3773" s="320"/>
      <c r="L3773" s="321">
        <f>L3772</f>
        <v>0</v>
      </c>
    </row>
    <row r="3774" spans="6:12" ht="15" customHeight="1">
      <c r="F3774" s="344" t="s">
        <v>193</v>
      </c>
      <c r="G3774" s="345" t="s">
        <v>194</v>
      </c>
      <c r="H3774" s="346"/>
      <c r="I3774" s="346"/>
      <c r="J3774" s="347"/>
      <c r="K3774" s="348">
        <v>0</v>
      </c>
      <c r="L3774" s="310">
        <f>SUM(L3761:L3773)/2</f>
        <v>325753.75</v>
      </c>
    </row>
    <row r="3775" spans="6:12" ht="15" customHeight="1" thickBot="1">
      <c r="F3775" s="331" t="s">
        <v>195</v>
      </c>
      <c r="G3775" s="332" t="s">
        <v>196</v>
      </c>
      <c r="H3775" s="333"/>
      <c r="I3775" s="333"/>
      <c r="J3775" s="350">
        <v>0.1</v>
      </c>
      <c r="K3775" s="335"/>
      <c r="L3775" s="330">
        <f>J3775*L3774</f>
        <v>32575.375</v>
      </c>
    </row>
    <row r="3776" spans="6:12" ht="15" customHeight="1" thickBot="1">
      <c r="F3776" s="340" t="s">
        <v>197</v>
      </c>
      <c r="G3776" s="341" t="s">
        <v>198</v>
      </c>
      <c r="H3776" s="318"/>
      <c r="I3776" s="318"/>
      <c r="J3776" s="342"/>
      <c r="K3776" s="320">
        <v>0</v>
      </c>
      <c r="L3776" s="321">
        <f>ROUNDDOWN(L3774+L3775,0)</f>
        <v>358329</v>
      </c>
    </row>
    <row r="3777" spans="5:13" ht="15" customHeight="1">
      <c r="F3777" s="298"/>
      <c r="G3777" s="298"/>
      <c r="J3777" s="343"/>
    </row>
    <row r="3778" spans="5:13" ht="15" customHeight="1" thickBot="1">
      <c r="E3778" s="356" t="s">
        <v>777</v>
      </c>
      <c r="F3778" s="295" t="s">
        <v>778</v>
      </c>
      <c r="J3778" s="343"/>
      <c r="M3778" s="299">
        <f>L3796</f>
        <v>196766</v>
      </c>
    </row>
    <row r="3779" spans="5:13" ht="15" customHeight="1" thickBot="1">
      <c r="F3779" s="340" t="s">
        <v>136</v>
      </c>
      <c r="G3779" s="341" t="s">
        <v>162</v>
      </c>
      <c r="H3779" s="352" t="s">
        <v>163</v>
      </c>
      <c r="I3779" s="352" t="s">
        <v>138</v>
      </c>
      <c r="J3779" s="353" t="s">
        <v>164</v>
      </c>
      <c r="K3779" s="341" t="s">
        <v>165</v>
      </c>
      <c r="L3779" s="354" t="s">
        <v>166</v>
      </c>
    </row>
    <row r="3780" spans="5:13" ht="15" customHeight="1">
      <c r="F3780" s="300" t="s">
        <v>167</v>
      </c>
      <c r="G3780" s="301" t="s">
        <v>168</v>
      </c>
      <c r="H3780" s="302"/>
      <c r="I3780" s="302"/>
      <c r="J3780" s="351"/>
      <c r="K3780" s="328"/>
      <c r="L3780" s="310"/>
    </row>
    <row r="3781" spans="5:13" ht="15" customHeight="1">
      <c r="F3781" s="306"/>
      <c r="G3781" s="301" t="s">
        <v>169</v>
      </c>
      <c r="H3781" s="307" t="s">
        <v>170</v>
      </c>
      <c r="I3781" s="307" t="s">
        <v>171</v>
      </c>
      <c r="J3781" s="308">
        <v>0.25</v>
      </c>
      <c r="K3781" s="309">
        <f>VLOOKUP(G3781,Upah,8,FALSE)</f>
        <v>125000</v>
      </c>
      <c r="L3781" s="310">
        <f>J3781*K3781</f>
        <v>31250</v>
      </c>
    </row>
    <row r="3782" spans="5:13" ht="15" customHeight="1">
      <c r="F3782" s="306"/>
      <c r="G3782" s="301" t="s">
        <v>308</v>
      </c>
      <c r="H3782" s="307" t="s">
        <v>217</v>
      </c>
      <c r="I3782" s="307" t="s">
        <v>171</v>
      </c>
      <c r="J3782" s="308">
        <v>0.125</v>
      </c>
      <c r="K3782" s="309">
        <f>VLOOKUP(G3782,Upah,8,FALSE)</f>
        <v>150000</v>
      </c>
      <c r="L3782" s="310">
        <f>J3782*K3782</f>
        <v>18750</v>
      </c>
    </row>
    <row r="3783" spans="5:13" ht="15" customHeight="1">
      <c r="F3783" s="306"/>
      <c r="G3783" s="301" t="s">
        <v>232</v>
      </c>
      <c r="H3783" s="307" t="s">
        <v>175</v>
      </c>
      <c r="I3783" s="307" t="s">
        <v>171</v>
      </c>
      <c r="J3783" s="308">
        <v>1.2999999999999999E-2</v>
      </c>
      <c r="K3783" s="309">
        <f>VLOOKUP(G3783,Upah,8,FALSE)</f>
        <v>165000</v>
      </c>
      <c r="L3783" s="310">
        <f>J3783*K3783</f>
        <v>2145</v>
      </c>
    </row>
    <row r="3784" spans="5:13" ht="15" customHeight="1" thickBot="1">
      <c r="F3784" s="306"/>
      <c r="G3784" s="301" t="s">
        <v>176</v>
      </c>
      <c r="H3784" s="307" t="s">
        <v>177</v>
      </c>
      <c r="I3784" s="307" t="s">
        <v>171</v>
      </c>
      <c r="J3784" s="308">
        <v>1.2999999999999999E-2</v>
      </c>
      <c r="K3784" s="309">
        <f>VLOOKUP(G3784,Upah,8,FALSE)</f>
        <v>170000</v>
      </c>
      <c r="L3784" s="310">
        <f>J3784*K3784</f>
        <v>2210</v>
      </c>
    </row>
    <row r="3785" spans="5:13" ht="15" customHeight="1" thickBot="1">
      <c r="F3785" s="316"/>
      <c r="G3785" s="317"/>
      <c r="H3785" s="318"/>
      <c r="I3785" s="318"/>
      <c r="J3785" s="319" t="s">
        <v>178</v>
      </c>
      <c r="K3785" s="320"/>
      <c r="L3785" s="321">
        <f>SUM(L3781:L3784)</f>
        <v>54355</v>
      </c>
    </row>
    <row r="3786" spans="5:13" ht="15" customHeight="1">
      <c r="F3786" s="300" t="s">
        <v>179</v>
      </c>
      <c r="G3786" s="301" t="s">
        <v>180</v>
      </c>
      <c r="H3786" s="302"/>
      <c r="I3786" s="302"/>
      <c r="J3786" s="351"/>
      <c r="K3786" s="328"/>
      <c r="L3786" s="310"/>
    </row>
    <row r="3787" spans="5:13" ht="15" customHeight="1">
      <c r="F3787" s="306"/>
      <c r="G3787" s="301" t="s">
        <v>779</v>
      </c>
      <c r="H3787" s="302"/>
      <c r="I3787" s="307" t="s">
        <v>221</v>
      </c>
      <c r="J3787" s="308">
        <v>6.63</v>
      </c>
      <c r="K3787" s="328">
        <f>VLOOKUP(G3787,Bahan,6,FALSE)</f>
        <v>13800</v>
      </c>
      <c r="L3787" s="310">
        <f>J3787*K3787</f>
        <v>91494</v>
      </c>
    </row>
    <row r="3788" spans="5:13" ht="15" customHeight="1">
      <c r="F3788" s="306"/>
      <c r="G3788" s="301" t="s">
        <v>183</v>
      </c>
      <c r="H3788" s="302"/>
      <c r="I3788" s="307" t="s">
        <v>38</v>
      </c>
      <c r="J3788" s="308">
        <v>9.8000000000000007</v>
      </c>
      <c r="K3788" s="328">
        <f>VLOOKUP(G3788,Bahan,6,FALSE)</f>
        <v>1880</v>
      </c>
      <c r="L3788" s="310">
        <f>J3788*K3788</f>
        <v>18424</v>
      </c>
    </row>
    <row r="3789" spans="5:13" ht="15" customHeight="1">
      <c r="F3789" s="306"/>
      <c r="G3789" s="301" t="s">
        <v>758</v>
      </c>
      <c r="H3789" s="302"/>
      <c r="I3789" s="307" t="s">
        <v>45</v>
      </c>
      <c r="J3789" s="308">
        <v>1.3</v>
      </c>
      <c r="K3789" s="328">
        <f>VLOOKUP(G3789,Bahan,6,FALSE)</f>
        <v>2460</v>
      </c>
      <c r="L3789" s="310">
        <f>J3789*K3789</f>
        <v>3198</v>
      </c>
    </row>
    <row r="3790" spans="5:13" ht="15" customHeight="1" thickBot="1">
      <c r="F3790" s="306"/>
      <c r="G3790" s="301" t="s">
        <v>296</v>
      </c>
      <c r="H3790" s="302"/>
      <c r="I3790" s="307" t="s">
        <v>292</v>
      </c>
      <c r="J3790" s="308">
        <v>4.4999999999999998E-2</v>
      </c>
      <c r="K3790" s="328">
        <f>VLOOKUP(G3790,Bahan,6,FALSE)</f>
        <v>253510</v>
      </c>
      <c r="L3790" s="310">
        <f>J3790*K3790</f>
        <v>11407.949999999999</v>
      </c>
    </row>
    <row r="3791" spans="5:13" ht="15" customHeight="1" thickBot="1">
      <c r="F3791" s="316"/>
      <c r="G3791" s="317"/>
      <c r="H3791" s="318"/>
      <c r="I3791" s="318"/>
      <c r="J3791" s="319" t="s">
        <v>189</v>
      </c>
      <c r="K3791" s="320"/>
      <c r="L3791" s="321">
        <f>SUM(L3787:L3790)</f>
        <v>124523.95</v>
      </c>
    </row>
    <row r="3792" spans="5:13" ht="15" customHeight="1" thickBot="1">
      <c r="F3792" s="300" t="s">
        <v>190</v>
      </c>
      <c r="G3792" s="301" t="s">
        <v>191</v>
      </c>
      <c r="H3792" s="302"/>
      <c r="I3792" s="302"/>
      <c r="J3792" s="351"/>
      <c r="K3792" s="328">
        <v>0</v>
      </c>
      <c r="L3792" s="310">
        <f>J3792*K3792</f>
        <v>0</v>
      </c>
    </row>
    <row r="3793" spans="5:13" ht="15" customHeight="1" thickBot="1">
      <c r="F3793" s="316"/>
      <c r="G3793" s="317"/>
      <c r="H3793" s="318"/>
      <c r="I3793" s="318"/>
      <c r="J3793" s="319" t="s">
        <v>192</v>
      </c>
      <c r="K3793" s="320"/>
      <c r="L3793" s="321">
        <f>L3792</f>
        <v>0</v>
      </c>
    </row>
    <row r="3794" spans="5:13" ht="15" customHeight="1">
      <c r="F3794" s="344" t="s">
        <v>193</v>
      </c>
      <c r="G3794" s="345" t="s">
        <v>194</v>
      </c>
      <c r="H3794" s="346"/>
      <c r="I3794" s="346"/>
      <c r="J3794" s="347"/>
      <c r="K3794" s="348">
        <v>0</v>
      </c>
      <c r="L3794" s="310">
        <f>SUM(L3781:L3793)/2</f>
        <v>178878.95</v>
      </c>
    </row>
    <row r="3795" spans="5:13" ht="15" customHeight="1" thickBot="1">
      <c r="F3795" s="331" t="s">
        <v>195</v>
      </c>
      <c r="G3795" s="332" t="s">
        <v>196</v>
      </c>
      <c r="H3795" s="333"/>
      <c r="I3795" s="333"/>
      <c r="J3795" s="350">
        <v>0.1</v>
      </c>
      <c r="K3795" s="335"/>
      <c r="L3795" s="330">
        <f>J3795*L3794</f>
        <v>17887.895</v>
      </c>
    </row>
    <row r="3796" spans="5:13" ht="15" customHeight="1" thickBot="1">
      <c r="F3796" s="340" t="s">
        <v>197</v>
      </c>
      <c r="G3796" s="341" t="s">
        <v>198</v>
      </c>
      <c r="H3796" s="318"/>
      <c r="I3796" s="318"/>
      <c r="J3796" s="342"/>
      <c r="K3796" s="320">
        <v>0</v>
      </c>
      <c r="L3796" s="321">
        <f>ROUNDDOWN(L3794+L3795,0)</f>
        <v>196766</v>
      </c>
    </row>
    <row r="3797" spans="5:13" ht="15" customHeight="1">
      <c r="F3797" s="298"/>
      <c r="G3797" s="298"/>
      <c r="J3797" s="343"/>
    </row>
    <row r="3798" spans="5:13" ht="15" customHeight="1" thickBot="1">
      <c r="E3798" s="356" t="s">
        <v>780</v>
      </c>
      <c r="F3798" s="295" t="s">
        <v>781</v>
      </c>
      <c r="J3798" s="343"/>
      <c r="M3798" s="299">
        <f>L3816</f>
        <v>325947</v>
      </c>
    </row>
    <row r="3799" spans="5:13" ht="15" customHeight="1" thickBot="1">
      <c r="F3799" s="340" t="s">
        <v>136</v>
      </c>
      <c r="G3799" s="341" t="s">
        <v>162</v>
      </c>
      <c r="H3799" s="352" t="s">
        <v>163</v>
      </c>
      <c r="I3799" s="352" t="s">
        <v>138</v>
      </c>
      <c r="J3799" s="353" t="s">
        <v>164</v>
      </c>
      <c r="K3799" s="341" t="s">
        <v>165</v>
      </c>
      <c r="L3799" s="354" t="s">
        <v>166</v>
      </c>
    </row>
    <row r="3800" spans="5:13" ht="15" customHeight="1">
      <c r="F3800" s="300" t="s">
        <v>167</v>
      </c>
      <c r="G3800" s="301" t="s">
        <v>168</v>
      </c>
      <c r="H3800" s="302"/>
      <c r="I3800" s="302"/>
      <c r="J3800" s="351"/>
      <c r="K3800" s="328"/>
      <c r="L3800" s="310"/>
    </row>
    <row r="3801" spans="5:13" ht="15" customHeight="1">
      <c r="F3801" s="306"/>
      <c r="G3801" s="301" t="s">
        <v>169</v>
      </c>
      <c r="H3801" s="307" t="s">
        <v>170</v>
      </c>
      <c r="I3801" s="307" t="s">
        <v>171</v>
      </c>
      <c r="J3801" s="308">
        <v>0.26</v>
      </c>
      <c r="K3801" s="309">
        <f>VLOOKUP(G3801,Upah,8,FALSE)</f>
        <v>125000</v>
      </c>
      <c r="L3801" s="310">
        <f>J3801*K3801</f>
        <v>32500</v>
      </c>
    </row>
    <row r="3802" spans="5:13" ht="15" customHeight="1">
      <c r="F3802" s="306"/>
      <c r="G3802" s="301" t="s">
        <v>308</v>
      </c>
      <c r="H3802" s="307" t="s">
        <v>217</v>
      </c>
      <c r="I3802" s="307" t="s">
        <v>171</v>
      </c>
      <c r="J3802" s="308">
        <v>0.13</v>
      </c>
      <c r="K3802" s="309">
        <f>VLOOKUP(G3802,Upah,8,FALSE)</f>
        <v>150000</v>
      </c>
      <c r="L3802" s="310">
        <f>J3802*K3802</f>
        <v>19500</v>
      </c>
    </row>
    <row r="3803" spans="5:13" ht="15" customHeight="1">
      <c r="F3803" s="306"/>
      <c r="G3803" s="301" t="s">
        <v>232</v>
      </c>
      <c r="H3803" s="307" t="s">
        <v>175</v>
      </c>
      <c r="I3803" s="307" t="s">
        <v>171</v>
      </c>
      <c r="J3803" s="308">
        <v>1.2999999999999999E-2</v>
      </c>
      <c r="K3803" s="309">
        <f>VLOOKUP(G3803,Upah,8,FALSE)</f>
        <v>165000</v>
      </c>
      <c r="L3803" s="310">
        <f>J3803*K3803</f>
        <v>2145</v>
      </c>
    </row>
    <row r="3804" spans="5:13" ht="15" customHeight="1" thickBot="1">
      <c r="F3804" s="306"/>
      <c r="G3804" s="301" t="s">
        <v>176</v>
      </c>
      <c r="H3804" s="307" t="s">
        <v>177</v>
      </c>
      <c r="I3804" s="307" t="s">
        <v>171</v>
      </c>
      <c r="J3804" s="308">
        <v>1.2999999999999999E-2</v>
      </c>
      <c r="K3804" s="309">
        <f>VLOOKUP(G3804,Upah,8,FALSE)</f>
        <v>170000</v>
      </c>
      <c r="L3804" s="310">
        <f>J3804*K3804</f>
        <v>2210</v>
      </c>
    </row>
    <row r="3805" spans="5:13" ht="15" customHeight="1" thickBot="1">
      <c r="F3805" s="316"/>
      <c r="G3805" s="317"/>
      <c r="H3805" s="318"/>
      <c r="I3805" s="318"/>
      <c r="J3805" s="319" t="s">
        <v>178</v>
      </c>
      <c r="K3805" s="320"/>
      <c r="L3805" s="321">
        <f>SUM(L3801:L3804)</f>
        <v>56355</v>
      </c>
    </row>
    <row r="3806" spans="5:13" ht="15" customHeight="1">
      <c r="F3806" s="300" t="s">
        <v>179</v>
      </c>
      <c r="G3806" s="301" t="s">
        <v>180</v>
      </c>
      <c r="H3806" s="302"/>
      <c r="I3806" s="302"/>
      <c r="J3806" s="351"/>
      <c r="K3806" s="328"/>
      <c r="L3806" s="310"/>
    </row>
    <row r="3807" spans="5:13" ht="15" customHeight="1">
      <c r="F3807" s="306"/>
      <c r="G3807" s="301" t="s">
        <v>782</v>
      </c>
      <c r="H3807" s="302"/>
      <c r="I3807" s="307" t="s">
        <v>221</v>
      </c>
      <c r="J3807" s="308">
        <v>11.87</v>
      </c>
      <c r="K3807" s="328">
        <f>VLOOKUP(G3807,Bahan,6,FALSE)</f>
        <v>17360</v>
      </c>
      <c r="L3807" s="310">
        <f>J3807*K3807</f>
        <v>206063.19999999998</v>
      </c>
    </row>
    <row r="3808" spans="5:13" ht="15" customHeight="1">
      <c r="F3808" s="306"/>
      <c r="G3808" s="301" t="s">
        <v>183</v>
      </c>
      <c r="H3808" s="302"/>
      <c r="I3808" s="307" t="s">
        <v>38</v>
      </c>
      <c r="J3808" s="308">
        <v>10</v>
      </c>
      <c r="K3808" s="328">
        <f>VLOOKUP(G3808,Bahan,6,FALSE)</f>
        <v>1880</v>
      </c>
      <c r="L3808" s="310">
        <f>J3808*K3808</f>
        <v>18800</v>
      </c>
    </row>
    <row r="3809" spans="5:13" ht="15" customHeight="1">
      <c r="F3809" s="306"/>
      <c r="G3809" s="301" t="s">
        <v>758</v>
      </c>
      <c r="H3809" s="302"/>
      <c r="I3809" s="307" t="s">
        <v>45</v>
      </c>
      <c r="J3809" s="308">
        <v>1.5</v>
      </c>
      <c r="K3809" s="328">
        <f>VLOOKUP(G3809,Bahan,6,FALSE)</f>
        <v>2460</v>
      </c>
      <c r="L3809" s="310">
        <f>J3809*K3809</f>
        <v>3690</v>
      </c>
    </row>
    <row r="3810" spans="5:13" ht="15" customHeight="1" thickBot="1">
      <c r="F3810" s="306"/>
      <c r="G3810" s="301" t="s">
        <v>296</v>
      </c>
      <c r="H3810" s="302"/>
      <c r="I3810" s="307" t="s">
        <v>292</v>
      </c>
      <c r="J3810" s="308">
        <v>4.4999999999999998E-2</v>
      </c>
      <c r="K3810" s="328">
        <f>VLOOKUP(G3810,Bahan,6,FALSE)</f>
        <v>253510</v>
      </c>
      <c r="L3810" s="310">
        <f>J3810*K3810</f>
        <v>11407.949999999999</v>
      </c>
    </row>
    <row r="3811" spans="5:13" ht="15" customHeight="1" thickBot="1">
      <c r="F3811" s="316"/>
      <c r="G3811" s="317"/>
      <c r="H3811" s="318"/>
      <c r="I3811" s="318"/>
      <c r="J3811" s="319" t="s">
        <v>189</v>
      </c>
      <c r="K3811" s="320"/>
      <c r="L3811" s="321">
        <f>SUM(L3807:L3810)</f>
        <v>239961.15</v>
      </c>
    </row>
    <row r="3812" spans="5:13" ht="15" customHeight="1" thickBot="1">
      <c r="F3812" s="300" t="s">
        <v>190</v>
      </c>
      <c r="G3812" s="301" t="s">
        <v>191</v>
      </c>
      <c r="H3812" s="302"/>
      <c r="I3812" s="302"/>
      <c r="J3812" s="351"/>
      <c r="K3812" s="328">
        <v>0</v>
      </c>
      <c r="L3812" s="310">
        <f>J3812*K3812</f>
        <v>0</v>
      </c>
    </row>
    <row r="3813" spans="5:13" ht="15" customHeight="1" thickBot="1">
      <c r="F3813" s="316"/>
      <c r="G3813" s="317"/>
      <c r="H3813" s="318"/>
      <c r="I3813" s="318"/>
      <c r="J3813" s="319" t="s">
        <v>192</v>
      </c>
      <c r="K3813" s="320"/>
      <c r="L3813" s="321">
        <f>L3812</f>
        <v>0</v>
      </c>
    </row>
    <row r="3814" spans="5:13" ht="15" customHeight="1">
      <c r="F3814" s="344" t="s">
        <v>193</v>
      </c>
      <c r="G3814" s="345" t="s">
        <v>194</v>
      </c>
      <c r="H3814" s="346"/>
      <c r="I3814" s="346"/>
      <c r="J3814" s="347"/>
      <c r="K3814" s="348">
        <v>0</v>
      </c>
      <c r="L3814" s="310">
        <f>SUM(L3801:L3813)/2</f>
        <v>296316.14999999997</v>
      </c>
    </row>
    <row r="3815" spans="5:13" ht="15" customHeight="1" thickBot="1">
      <c r="F3815" s="331" t="s">
        <v>195</v>
      </c>
      <c r="G3815" s="332" t="s">
        <v>196</v>
      </c>
      <c r="H3815" s="333"/>
      <c r="I3815" s="333"/>
      <c r="J3815" s="350">
        <v>0.1</v>
      </c>
      <c r="K3815" s="335"/>
      <c r="L3815" s="330">
        <f>J3815*L3814</f>
        <v>29631.614999999998</v>
      </c>
    </row>
    <row r="3816" spans="5:13" ht="15" customHeight="1" thickBot="1">
      <c r="F3816" s="340" t="s">
        <v>197</v>
      </c>
      <c r="G3816" s="341" t="s">
        <v>198</v>
      </c>
      <c r="H3816" s="318"/>
      <c r="I3816" s="318"/>
      <c r="J3816" s="342"/>
      <c r="K3816" s="320">
        <v>0</v>
      </c>
      <c r="L3816" s="321">
        <f>ROUNDDOWN(L3814+L3815,0)</f>
        <v>325947</v>
      </c>
    </row>
    <row r="3817" spans="5:13" ht="15" customHeight="1">
      <c r="F3817" s="298"/>
      <c r="G3817" s="298"/>
      <c r="J3817" s="343"/>
    </row>
    <row r="3818" spans="5:13" ht="15" customHeight="1" thickBot="1">
      <c r="E3818" s="356" t="s">
        <v>783</v>
      </c>
      <c r="F3818" s="295" t="s">
        <v>784</v>
      </c>
      <c r="J3818" s="343"/>
      <c r="M3818" s="299">
        <f>L3836</f>
        <v>283960</v>
      </c>
    </row>
    <row r="3819" spans="5:13" ht="15" customHeight="1" thickBot="1">
      <c r="F3819" s="340" t="s">
        <v>136</v>
      </c>
      <c r="G3819" s="341" t="s">
        <v>162</v>
      </c>
      <c r="H3819" s="352" t="s">
        <v>163</v>
      </c>
      <c r="I3819" s="352" t="s">
        <v>138</v>
      </c>
      <c r="J3819" s="353" t="s">
        <v>164</v>
      </c>
      <c r="K3819" s="341" t="s">
        <v>165</v>
      </c>
      <c r="L3819" s="354" t="s">
        <v>166</v>
      </c>
    </row>
    <row r="3820" spans="5:13" ht="15" customHeight="1">
      <c r="F3820" s="300" t="s">
        <v>167</v>
      </c>
      <c r="G3820" s="301" t="s">
        <v>168</v>
      </c>
      <c r="H3820" s="302"/>
      <c r="I3820" s="302"/>
      <c r="J3820" s="351"/>
      <c r="K3820" s="328"/>
      <c r="L3820" s="310"/>
    </row>
    <row r="3821" spans="5:13" ht="15" customHeight="1">
      <c r="F3821" s="306"/>
      <c r="G3821" s="301" t="s">
        <v>169</v>
      </c>
      <c r="H3821" s="307" t="s">
        <v>170</v>
      </c>
      <c r="I3821" s="307" t="s">
        <v>171</v>
      </c>
      <c r="J3821" s="308">
        <v>0.24</v>
      </c>
      <c r="K3821" s="309">
        <f>VLOOKUP(G3821,Upah,8,FALSE)</f>
        <v>125000</v>
      </c>
      <c r="L3821" s="310">
        <f>J3821*K3821</f>
        <v>30000</v>
      </c>
    </row>
    <row r="3822" spans="5:13" ht="15" customHeight="1">
      <c r="F3822" s="306"/>
      <c r="G3822" s="301" t="s">
        <v>308</v>
      </c>
      <c r="H3822" s="307" t="s">
        <v>217</v>
      </c>
      <c r="I3822" s="307" t="s">
        <v>171</v>
      </c>
      <c r="J3822" s="308">
        <v>0.12</v>
      </c>
      <c r="K3822" s="309">
        <f>VLOOKUP(G3822,Upah,8,FALSE)</f>
        <v>150000</v>
      </c>
      <c r="L3822" s="310">
        <f>J3822*K3822</f>
        <v>18000</v>
      </c>
    </row>
    <row r="3823" spans="5:13" ht="15" customHeight="1">
      <c r="F3823" s="306"/>
      <c r="G3823" s="301" t="s">
        <v>232</v>
      </c>
      <c r="H3823" s="307" t="s">
        <v>175</v>
      </c>
      <c r="I3823" s="307" t="s">
        <v>171</v>
      </c>
      <c r="J3823" s="308">
        <v>1.2E-2</v>
      </c>
      <c r="K3823" s="309">
        <f>VLOOKUP(G3823,Upah,8,FALSE)</f>
        <v>165000</v>
      </c>
      <c r="L3823" s="310">
        <f>J3823*K3823</f>
        <v>1980</v>
      </c>
    </row>
    <row r="3824" spans="5:13" ht="15" customHeight="1" thickBot="1">
      <c r="F3824" s="306"/>
      <c r="G3824" s="301" t="s">
        <v>176</v>
      </c>
      <c r="H3824" s="307" t="s">
        <v>177</v>
      </c>
      <c r="I3824" s="307" t="s">
        <v>171</v>
      </c>
      <c r="J3824" s="308">
        <v>1.2E-2</v>
      </c>
      <c r="K3824" s="309">
        <f>VLOOKUP(G3824,Upah,8,FALSE)</f>
        <v>170000</v>
      </c>
      <c r="L3824" s="310">
        <f>J3824*K3824</f>
        <v>2040</v>
      </c>
    </row>
    <row r="3825" spans="5:13" ht="15" customHeight="1" thickBot="1">
      <c r="F3825" s="316"/>
      <c r="G3825" s="317"/>
      <c r="H3825" s="318"/>
      <c r="I3825" s="318"/>
      <c r="J3825" s="319" t="s">
        <v>178</v>
      </c>
      <c r="K3825" s="320"/>
      <c r="L3825" s="321">
        <f>SUM(L3821:L3824)</f>
        <v>52020</v>
      </c>
    </row>
    <row r="3826" spans="5:13" ht="15" customHeight="1">
      <c r="F3826" s="300" t="s">
        <v>179</v>
      </c>
      <c r="G3826" s="301" t="s">
        <v>180</v>
      </c>
      <c r="H3826" s="302"/>
      <c r="I3826" s="302"/>
      <c r="J3826" s="351"/>
      <c r="K3826" s="328"/>
      <c r="L3826" s="310"/>
    </row>
    <row r="3827" spans="5:13" ht="15" customHeight="1">
      <c r="F3827" s="306"/>
      <c r="G3827" s="301" t="s">
        <v>785</v>
      </c>
      <c r="H3827" s="302"/>
      <c r="I3827" s="307" t="s">
        <v>221</v>
      </c>
      <c r="J3827" s="308">
        <v>3.1</v>
      </c>
      <c r="K3827" s="328">
        <f>VLOOKUP(G3827,Bahan,6,FALSE)</f>
        <v>55800</v>
      </c>
      <c r="L3827" s="310">
        <f>J3827*K3827</f>
        <v>172980</v>
      </c>
    </row>
    <row r="3828" spans="5:13" ht="15" customHeight="1">
      <c r="F3828" s="306"/>
      <c r="G3828" s="301" t="s">
        <v>183</v>
      </c>
      <c r="H3828" s="302"/>
      <c r="I3828" s="307" t="s">
        <v>38</v>
      </c>
      <c r="J3828" s="308">
        <v>9.6</v>
      </c>
      <c r="K3828" s="328">
        <f>VLOOKUP(G3828,Bahan,6,FALSE)</f>
        <v>1880</v>
      </c>
      <c r="L3828" s="310">
        <f>J3828*K3828</f>
        <v>18048</v>
      </c>
    </row>
    <row r="3829" spans="5:13" ht="15" customHeight="1">
      <c r="F3829" s="306"/>
      <c r="G3829" s="301" t="s">
        <v>758</v>
      </c>
      <c r="H3829" s="302"/>
      <c r="I3829" s="307" t="s">
        <v>45</v>
      </c>
      <c r="J3829" s="308">
        <v>1.5</v>
      </c>
      <c r="K3829" s="328">
        <f>VLOOKUP(G3829,Bahan,6,FALSE)</f>
        <v>2460</v>
      </c>
      <c r="L3829" s="310">
        <f>J3829*K3829</f>
        <v>3690</v>
      </c>
    </row>
    <row r="3830" spans="5:13" ht="15" customHeight="1" thickBot="1">
      <c r="F3830" s="306"/>
      <c r="G3830" s="301" t="s">
        <v>296</v>
      </c>
      <c r="H3830" s="302"/>
      <c r="I3830" s="307" t="s">
        <v>292</v>
      </c>
      <c r="J3830" s="308">
        <v>4.4999999999999998E-2</v>
      </c>
      <c r="K3830" s="328">
        <f>VLOOKUP(G3830,Bahan,6,FALSE)</f>
        <v>253510</v>
      </c>
      <c r="L3830" s="310">
        <f>J3830*K3830</f>
        <v>11407.949999999999</v>
      </c>
    </row>
    <row r="3831" spans="5:13" ht="15" customHeight="1" thickBot="1">
      <c r="F3831" s="316"/>
      <c r="G3831" s="317"/>
      <c r="H3831" s="318"/>
      <c r="I3831" s="318"/>
      <c r="J3831" s="319" t="s">
        <v>189</v>
      </c>
      <c r="K3831" s="320"/>
      <c r="L3831" s="321">
        <f>SUM(L3827:L3830)</f>
        <v>206125.95</v>
      </c>
    </row>
    <row r="3832" spans="5:13" ht="15" customHeight="1" thickBot="1">
      <c r="F3832" s="300" t="s">
        <v>190</v>
      </c>
      <c r="G3832" s="301" t="s">
        <v>191</v>
      </c>
      <c r="H3832" s="302"/>
      <c r="I3832" s="302"/>
      <c r="J3832" s="351"/>
      <c r="K3832" s="328">
        <v>0</v>
      </c>
      <c r="L3832" s="310">
        <f>J3832*K3832</f>
        <v>0</v>
      </c>
    </row>
    <row r="3833" spans="5:13" ht="15" customHeight="1" thickBot="1">
      <c r="F3833" s="316"/>
      <c r="G3833" s="317"/>
      <c r="H3833" s="318"/>
      <c r="I3833" s="318"/>
      <c r="J3833" s="319" t="s">
        <v>192</v>
      </c>
      <c r="K3833" s="320"/>
      <c r="L3833" s="321">
        <f>L3832</f>
        <v>0</v>
      </c>
    </row>
    <row r="3834" spans="5:13" ht="15" customHeight="1">
      <c r="F3834" s="344" t="s">
        <v>193</v>
      </c>
      <c r="G3834" s="345" t="s">
        <v>194</v>
      </c>
      <c r="H3834" s="346"/>
      <c r="I3834" s="346"/>
      <c r="J3834" s="347"/>
      <c r="K3834" s="348">
        <v>0</v>
      </c>
      <c r="L3834" s="310">
        <f>SUM(L3821:L3833)/2</f>
        <v>258145.95</v>
      </c>
    </row>
    <row r="3835" spans="5:13" ht="15" customHeight="1" thickBot="1">
      <c r="F3835" s="331" t="s">
        <v>195</v>
      </c>
      <c r="G3835" s="332" t="s">
        <v>196</v>
      </c>
      <c r="H3835" s="333"/>
      <c r="I3835" s="333"/>
      <c r="J3835" s="350">
        <v>0.1</v>
      </c>
      <c r="K3835" s="335"/>
      <c r="L3835" s="330">
        <f>J3835*L3834</f>
        <v>25814.595000000001</v>
      </c>
    </row>
    <row r="3836" spans="5:13" ht="15" customHeight="1" thickBot="1">
      <c r="F3836" s="340" t="s">
        <v>197</v>
      </c>
      <c r="G3836" s="341" t="s">
        <v>198</v>
      </c>
      <c r="H3836" s="318"/>
      <c r="I3836" s="318"/>
      <c r="J3836" s="342"/>
      <c r="K3836" s="320">
        <v>0</v>
      </c>
      <c r="L3836" s="321">
        <f>ROUNDDOWN(L3834+L3835,0)</f>
        <v>283960</v>
      </c>
    </row>
    <row r="3837" spans="5:13" ht="15" customHeight="1">
      <c r="F3837" s="298"/>
      <c r="G3837" s="298"/>
      <c r="J3837" s="343"/>
    </row>
    <row r="3838" spans="5:13" ht="15" customHeight="1" thickBot="1">
      <c r="E3838" s="356" t="s">
        <v>786</v>
      </c>
      <c r="F3838" s="295" t="s">
        <v>787</v>
      </c>
      <c r="J3838" s="343"/>
      <c r="M3838" s="299">
        <f>L3856</f>
        <v>395428</v>
      </c>
    </row>
    <row r="3839" spans="5:13" ht="15" customHeight="1" thickBot="1">
      <c r="F3839" s="340" t="s">
        <v>136</v>
      </c>
      <c r="G3839" s="341" t="s">
        <v>162</v>
      </c>
      <c r="H3839" s="352" t="s">
        <v>163</v>
      </c>
      <c r="I3839" s="352" t="s">
        <v>138</v>
      </c>
      <c r="J3839" s="353" t="s">
        <v>164</v>
      </c>
      <c r="K3839" s="341" t="s">
        <v>165</v>
      </c>
      <c r="L3839" s="354" t="s">
        <v>166</v>
      </c>
    </row>
    <row r="3840" spans="5:13" ht="15" customHeight="1">
      <c r="F3840" s="300" t="s">
        <v>167</v>
      </c>
      <c r="G3840" s="301" t="s">
        <v>168</v>
      </c>
      <c r="H3840" s="302"/>
      <c r="I3840" s="302"/>
      <c r="J3840" s="351"/>
      <c r="K3840" s="328"/>
      <c r="L3840" s="310"/>
    </row>
    <row r="3841" spans="6:12" ht="15" customHeight="1">
      <c r="F3841" s="306"/>
      <c r="G3841" s="301" t="s">
        <v>169</v>
      </c>
      <c r="H3841" s="307" t="s">
        <v>170</v>
      </c>
      <c r="I3841" s="307" t="s">
        <v>171</v>
      </c>
      <c r="J3841" s="308">
        <v>0.25</v>
      </c>
      <c r="K3841" s="309">
        <f>VLOOKUP(G3841,Upah,8,FALSE)</f>
        <v>125000</v>
      </c>
      <c r="L3841" s="310">
        <f>J3841*K3841</f>
        <v>31250</v>
      </c>
    </row>
    <row r="3842" spans="6:12" ht="15" customHeight="1">
      <c r="F3842" s="306"/>
      <c r="G3842" s="301" t="s">
        <v>308</v>
      </c>
      <c r="H3842" s="307" t="s">
        <v>217</v>
      </c>
      <c r="I3842" s="307" t="s">
        <v>171</v>
      </c>
      <c r="J3842" s="308">
        <v>0.125</v>
      </c>
      <c r="K3842" s="309">
        <f>VLOOKUP(G3842,Upah,8,FALSE)</f>
        <v>150000</v>
      </c>
      <c r="L3842" s="310">
        <f>J3842*K3842</f>
        <v>18750</v>
      </c>
    </row>
    <row r="3843" spans="6:12" ht="15" customHeight="1">
      <c r="F3843" s="306"/>
      <c r="G3843" s="301" t="s">
        <v>232</v>
      </c>
      <c r="H3843" s="307" t="s">
        <v>175</v>
      </c>
      <c r="I3843" s="307" t="s">
        <v>171</v>
      </c>
      <c r="J3843" s="308">
        <v>1.2999999999999999E-2</v>
      </c>
      <c r="K3843" s="309">
        <f>VLOOKUP(G3843,Upah,8,FALSE)</f>
        <v>165000</v>
      </c>
      <c r="L3843" s="310">
        <f>J3843*K3843</f>
        <v>2145</v>
      </c>
    </row>
    <row r="3844" spans="6:12" ht="15" customHeight="1" thickBot="1">
      <c r="F3844" s="306"/>
      <c r="G3844" s="301" t="s">
        <v>176</v>
      </c>
      <c r="H3844" s="307" t="s">
        <v>177</v>
      </c>
      <c r="I3844" s="307" t="s">
        <v>171</v>
      </c>
      <c r="J3844" s="308">
        <v>1.2999999999999999E-2</v>
      </c>
      <c r="K3844" s="309">
        <f>VLOOKUP(G3844,Upah,8,FALSE)</f>
        <v>170000</v>
      </c>
      <c r="L3844" s="310">
        <f>J3844*K3844</f>
        <v>2210</v>
      </c>
    </row>
    <row r="3845" spans="6:12" ht="15" customHeight="1" thickBot="1">
      <c r="F3845" s="316"/>
      <c r="G3845" s="317"/>
      <c r="H3845" s="318"/>
      <c r="I3845" s="318"/>
      <c r="J3845" s="319" t="s">
        <v>178</v>
      </c>
      <c r="K3845" s="320"/>
      <c r="L3845" s="321">
        <f>SUM(L3841:L3844)</f>
        <v>54355</v>
      </c>
    </row>
    <row r="3846" spans="6:12" ht="15" customHeight="1">
      <c r="F3846" s="300" t="s">
        <v>179</v>
      </c>
      <c r="G3846" s="301" t="s">
        <v>180</v>
      </c>
      <c r="H3846" s="302"/>
      <c r="I3846" s="302"/>
      <c r="J3846" s="351"/>
      <c r="K3846" s="328"/>
      <c r="L3846" s="310"/>
    </row>
    <row r="3847" spans="6:12" ht="15" customHeight="1">
      <c r="F3847" s="306"/>
      <c r="G3847" s="301" t="s">
        <v>788</v>
      </c>
      <c r="H3847" s="302"/>
      <c r="I3847" s="307" t="s">
        <v>221</v>
      </c>
      <c r="J3847" s="308">
        <v>6.63</v>
      </c>
      <c r="K3847" s="328">
        <f>VLOOKUP(G3847,Bahan,6,FALSE)</f>
        <v>41040</v>
      </c>
      <c r="L3847" s="310">
        <f>J3847*K3847</f>
        <v>272095.2</v>
      </c>
    </row>
    <row r="3848" spans="6:12" ht="15" customHeight="1">
      <c r="F3848" s="306"/>
      <c r="G3848" s="301" t="s">
        <v>183</v>
      </c>
      <c r="H3848" s="302"/>
      <c r="I3848" s="307" t="s">
        <v>38</v>
      </c>
      <c r="J3848" s="308">
        <v>9.8000000000000007</v>
      </c>
      <c r="K3848" s="328">
        <f>VLOOKUP(G3848,Bahan,6,FALSE)</f>
        <v>1880</v>
      </c>
      <c r="L3848" s="310">
        <f>J3848*K3848</f>
        <v>18424</v>
      </c>
    </row>
    <row r="3849" spans="6:12" ht="15" customHeight="1">
      <c r="F3849" s="306"/>
      <c r="G3849" s="301" t="s">
        <v>758</v>
      </c>
      <c r="H3849" s="302"/>
      <c r="I3849" s="307" t="s">
        <v>45</v>
      </c>
      <c r="J3849" s="308">
        <v>1.3</v>
      </c>
      <c r="K3849" s="328">
        <f>VLOOKUP(G3849,Bahan,6,FALSE)</f>
        <v>2460</v>
      </c>
      <c r="L3849" s="310">
        <f>J3849*K3849</f>
        <v>3198</v>
      </c>
    </row>
    <row r="3850" spans="6:12" ht="15" customHeight="1" thickBot="1">
      <c r="F3850" s="306"/>
      <c r="G3850" s="301" t="s">
        <v>296</v>
      </c>
      <c r="H3850" s="302"/>
      <c r="I3850" s="307" t="s">
        <v>292</v>
      </c>
      <c r="J3850" s="308">
        <v>4.4999999999999998E-2</v>
      </c>
      <c r="K3850" s="328">
        <f>VLOOKUP(G3850,Bahan,6,FALSE)</f>
        <v>253510</v>
      </c>
      <c r="L3850" s="310">
        <f>J3850*K3850</f>
        <v>11407.949999999999</v>
      </c>
    </row>
    <row r="3851" spans="6:12" ht="15" customHeight="1" thickBot="1">
      <c r="F3851" s="316"/>
      <c r="G3851" s="317"/>
      <c r="H3851" s="318"/>
      <c r="I3851" s="318"/>
      <c r="J3851" s="319" t="s">
        <v>189</v>
      </c>
      <c r="K3851" s="320"/>
      <c r="L3851" s="321">
        <f>SUM(L3847:L3850)</f>
        <v>305125.15000000002</v>
      </c>
    </row>
    <row r="3852" spans="6:12" ht="15" customHeight="1" thickBot="1">
      <c r="F3852" s="300" t="s">
        <v>190</v>
      </c>
      <c r="G3852" s="301" t="s">
        <v>191</v>
      </c>
      <c r="H3852" s="302"/>
      <c r="I3852" s="302"/>
      <c r="J3852" s="351"/>
      <c r="K3852" s="328">
        <v>0</v>
      </c>
      <c r="L3852" s="310">
        <f>J3852*K3852</f>
        <v>0</v>
      </c>
    </row>
    <row r="3853" spans="6:12" ht="15" customHeight="1" thickBot="1">
      <c r="F3853" s="316"/>
      <c r="G3853" s="317"/>
      <c r="H3853" s="318"/>
      <c r="I3853" s="318"/>
      <c r="J3853" s="319" t="s">
        <v>192</v>
      </c>
      <c r="K3853" s="320"/>
      <c r="L3853" s="321">
        <f>L3852</f>
        <v>0</v>
      </c>
    </row>
    <row r="3854" spans="6:12" ht="15" customHeight="1">
      <c r="F3854" s="344" t="s">
        <v>193</v>
      </c>
      <c r="G3854" s="345" t="s">
        <v>194</v>
      </c>
      <c r="H3854" s="346"/>
      <c r="I3854" s="346"/>
      <c r="J3854" s="347"/>
      <c r="K3854" s="348">
        <v>0</v>
      </c>
      <c r="L3854" s="310">
        <f>SUM(L3841:L3853)/2</f>
        <v>359480.15</v>
      </c>
    </row>
    <row r="3855" spans="6:12" ht="15" customHeight="1" thickBot="1">
      <c r="F3855" s="331" t="s">
        <v>195</v>
      </c>
      <c r="G3855" s="332" t="s">
        <v>196</v>
      </c>
      <c r="H3855" s="333"/>
      <c r="I3855" s="333"/>
      <c r="J3855" s="350">
        <v>0.1</v>
      </c>
      <c r="K3855" s="335"/>
      <c r="L3855" s="330">
        <f>J3855*L3854</f>
        <v>35948.015000000007</v>
      </c>
    </row>
    <row r="3856" spans="6:12" ht="15" customHeight="1" thickBot="1">
      <c r="F3856" s="340" t="s">
        <v>197</v>
      </c>
      <c r="G3856" s="341" t="s">
        <v>198</v>
      </c>
      <c r="H3856" s="318"/>
      <c r="I3856" s="318"/>
      <c r="J3856" s="342"/>
      <c r="K3856" s="320">
        <v>0</v>
      </c>
      <c r="L3856" s="321">
        <f>ROUNDDOWN(L3854+L3855,0)</f>
        <v>395428</v>
      </c>
    </row>
    <row r="3857" spans="5:13" ht="15" customHeight="1">
      <c r="F3857" s="298"/>
      <c r="G3857" s="298"/>
      <c r="J3857" s="343"/>
    </row>
    <row r="3858" spans="5:13" ht="15" customHeight="1" thickBot="1">
      <c r="E3858" s="356" t="s">
        <v>789</v>
      </c>
      <c r="F3858" s="295" t="s">
        <v>790</v>
      </c>
      <c r="J3858" s="343"/>
      <c r="M3858" s="299">
        <f>L3876</f>
        <v>618685</v>
      </c>
    </row>
    <row r="3859" spans="5:13" ht="15" customHeight="1" thickBot="1">
      <c r="F3859" s="340" t="s">
        <v>136</v>
      </c>
      <c r="G3859" s="341" t="s">
        <v>162</v>
      </c>
      <c r="H3859" s="352" t="s">
        <v>163</v>
      </c>
      <c r="I3859" s="352" t="s">
        <v>138</v>
      </c>
      <c r="J3859" s="353" t="s">
        <v>164</v>
      </c>
      <c r="K3859" s="341" t="s">
        <v>165</v>
      </c>
      <c r="L3859" s="354" t="s">
        <v>166</v>
      </c>
    </row>
    <row r="3860" spans="5:13" ht="15" customHeight="1">
      <c r="F3860" s="300" t="s">
        <v>167</v>
      </c>
      <c r="G3860" s="301" t="s">
        <v>168</v>
      </c>
      <c r="H3860" s="302"/>
      <c r="I3860" s="302"/>
      <c r="J3860" s="351"/>
      <c r="K3860" s="328"/>
      <c r="L3860" s="310"/>
    </row>
    <row r="3861" spans="5:13" ht="15" customHeight="1">
      <c r="F3861" s="306"/>
      <c r="G3861" s="301" t="s">
        <v>169</v>
      </c>
      <c r="H3861" s="307" t="s">
        <v>170</v>
      </c>
      <c r="I3861" s="307" t="s">
        <v>171</v>
      </c>
      <c r="J3861" s="308">
        <v>0.26</v>
      </c>
      <c r="K3861" s="309">
        <f>VLOOKUP(G3861,Upah,8,FALSE)</f>
        <v>125000</v>
      </c>
      <c r="L3861" s="310">
        <f>J3861*K3861</f>
        <v>32500</v>
      </c>
    </row>
    <row r="3862" spans="5:13" ht="15" customHeight="1">
      <c r="F3862" s="306"/>
      <c r="G3862" s="301" t="s">
        <v>308</v>
      </c>
      <c r="H3862" s="307" t="s">
        <v>217</v>
      </c>
      <c r="I3862" s="307" t="s">
        <v>171</v>
      </c>
      <c r="J3862" s="308">
        <v>0.13</v>
      </c>
      <c r="K3862" s="309">
        <f>VLOOKUP(G3862,Upah,8,FALSE)</f>
        <v>150000</v>
      </c>
      <c r="L3862" s="310">
        <f>J3862*K3862</f>
        <v>19500</v>
      </c>
    </row>
    <row r="3863" spans="5:13" ht="15" customHeight="1">
      <c r="F3863" s="306"/>
      <c r="G3863" s="301" t="s">
        <v>232</v>
      </c>
      <c r="H3863" s="307" t="s">
        <v>175</v>
      </c>
      <c r="I3863" s="307" t="s">
        <v>171</v>
      </c>
      <c r="J3863" s="308">
        <v>1.2999999999999999E-2</v>
      </c>
      <c r="K3863" s="309">
        <f>VLOOKUP(G3863,Upah,8,FALSE)</f>
        <v>165000</v>
      </c>
      <c r="L3863" s="310">
        <f>J3863*K3863</f>
        <v>2145</v>
      </c>
    </row>
    <row r="3864" spans="5:13" ht="15" customHeight="1" thickBot="1">
      <c r="F3864" s="306"/>
      <c r="G3864" s="301" t="s">
        <v>176</v>
      </c>
      <c r="H3864" s="307" t="s">
        <v>177</v>
      </c>
      <c r="I3864" s="307" t="s">
        <v>171</v>
      </c>
      <c r="J3864" s="308">
        <v>1.2999999999999999E-2</v>
      </c>
      <c r="K3864" s="309">
        <f>VLOOKUP(G3864,Upah,8,FALSE)</f>
        <v>170000</v>
      </c>
      <c r="L3864" s="310">
        <f>J3864*K3864</f>
        <v>2210</v>
      </c>
    </row>
    <row r="3865" spans="5:13" ht="15" customHeight="1" thickBot="1">
      <c r="F3865" s="316"/>
      <c r="G3865" s="317"/>
      <c r="H3865" s="318"/>
      <c r="I3865" s="318"/>
      <c r="J3865" s="319" t="s">
        <v>178</v>
      </c>
      <c r="K3865" s="320"/>
      <c r="L3865" s="321">
        <f>SUM(L3861:L3864)</f>
        <v>56355</v>
      </c>
    </row>
    <row r="3866" spans="5:13" ht="15" customHeight="1">
      <c r="F3866" s="300" t="s">
        <v>179</v>
      </c>
      <c r="G3866" s="301" t="s">
        <v>180</v>
      </c>
      <c r="H3866" s="302"/>
      <c r="I3866" s="302"/>
      <c r="J3866" s="351"/>
      <c r="K3866" s="328"/>
      <c r="L3866" s="310"/>
    </row>
    <row r="3867" spans="5:13" ht="15" customHeight="1">
      <c r="F3867" s="306"/>
      <c r="G3867" s="301" t="s">
        <v>791</v>
      </c>
      <c r="H3867" s="302"/>
      <c r="I3867" s="307" t="s">
        <v>221</v>
      </c>
      <c r="J3867" s="308">
        <v>11.87</v>
      </c>
      <c r="K3867" s="328">
        <f>VLOOKUP(G3867,Bahan,6,FALSE)</f>
        <v>39780</v>
      </c>
      <c r="L3867" s="310">
        <f>J3867*K3867</f>
        <v>472188.6</v>
      </c>
    </row>
    <row r="3868" spans="5:13" ht="15" customHeight="1">
      <c r="F3868" s="306"/>
      <c r="G3868" s="301" t="s">
        <v>183</v>
      </c>
      <c r="H3868" s="302"/>
      <c r="I3868" s="307" t="s">
        <v>38</v>
      </c>
      <c r="J3868" s="308">
        <v>10</v>
      </c>
      <c r="K3868" s="328">
        <f>VLOOKUP(G3868,Bahan,6,FALSE)</f>
        <v>1880</v>
      </c>
      <c r="L3868" s="310">
        <f>J3868*K3868</f>
        <v>18800</v>
      </c>
    </row>
    <row r="3869" spans="5:13" ht="15" customHeight="1">
      <c r="F3869" s="306"/>
      <c r="G3869" s="301" t="s">
        <v>758</v>
      </c>
      <c r="H3869" s="302"/>
      <c r="I3869" s="307" t="s">
        <v>45</v>
      </c>
      <c r="J3869" s="308">
        <v>1.5</v>
      </c>
      <c r="K3869" s="328">
        <f>VLOOKUP(G3869,Bahan,6,FALSE)</f>
        <v>2460</v>
      </c>
      <c r="L3869" s="310">
        <f>J3869*K3869</f>
        <v>3690</v>
      </c>
    </row>
    <row r="3870" spans="5:13" ht="15" customHeight="1" thickBot="1">
      <c r="F3870" s="306"/>
      <c r="G3870" s="301" t="s">
        <v>296</v>
      </c>
      <c r="H3870" s="302"/>
      <c r="I3870" s="307" t="s">
        <v>292</v>
      </c>
      <c r="J3870" s="308">
        <v>4.4999999999999998E-2</v>
      </c>
      <c r="K3870" s="328">
        <f>VLOOKUP(G3870,Bahan,6,FALSE)</f>
        <v>253510</v>
      </c>
      <c r="L3870" s="310">
        <f>J3870*K3870</f>
        <v>11407.949999999999</v>
      </c>
    </row>
    <row r="3871" spans="5:13" ht="15" customHeight="1" thickBot="1">
      <c r="F3871" s="316"/>
      <c r="G3871" s="317"/>
      <c r="H3871" s="318"/>
      <c r="I3871" s="318"/>
      <c r="J3871" s="319" t="s">
        <v>189</v>
      </c>
      <c r="K3871" s="320"/>
      <c r="L3871" s="321">
        <f>SUM(L3867:L3870)</f>
        <v>506086.55</v>
      </c>
    </row>
    <row r="3872" spans="5:13" ht="15" customHeight="1" thickBot="1">
      <c r="F3872" s="300" t="s">
        <v>190</v>
      </c>
      <c r="G3872" s="301" t="s">
        <v>191</v>
      </c>
      <c r="H3872" s="302"/>
      <c r="I3872" s="302"/>
      <c r="J3872" s="351"/>
      <c r="K3872" s="328">
        <v>0</v>
      </c>
      <c r="L3872" s="310">
        <f>J3872*K3872</f>
        <v>0</v>
      </c>
    </row>
    <row r="3873" spans="5:13" ht="15" customHeight="1" thickBot="1">
      <c r="F3873" s="316"/>
      <c r="G3873" s="317"/>
      <c r="H3873" s="318"/>
      <c r="I3873" s="318"/>
      <c r="J3873" s="319" t="s">
        <v>192</v>
      </c>
      <c r="K3873" s="320"/>
      <c r="L3873" s="321">
        <f>L3872</f>
        <v>0</v>
      </c>
    </row>
    <row r="3874" spans="5:13" ht="15" customHeight="1">
      <c r="F3874" s="344" t="s">
        <v>193</v>
      </c>
      <c r="G3874" s="345" t="s">
        <v>194</v>
      </c>
      <c r="H3874" s="346"/>
      <c r="I3874" s="346"/>
      <c r="J3874" s="347"/>
      <c r="K3874" s="348">
        <v>0</v>
      </c>
      <c r="L3874" s="310">
        <f>SUM(L3861:L3873)/2</f>
        <v>562441.54999999993</v>
      </c>
    </row>
    <row r="3875" spans="5:13" ht="15" customHeight="1" thickBot="1">
      <c r="F3875" s="331" t="s">
        <v>195</v>
      </c>
      <c r="G3875" s="332" t="s">
        <v>196</v>
      </c>
      <c r="H3875" s="333"/>
      <c r="I3875" s="333"/>
      <c r="J3875" s="350">
        <v>0.1</v>
      </c>
      <c r="K3875" s="335"/>
      <c r="L3875" s="330">
        <f>J3875*L3874</f>
        <v>56244.154999999999</v>
      </c>
    </row>
    <row r="3876" spans="5:13" ht="15" customHeight="1" thickBot="1">
      <c r="F3876" s="340" t="s">
        <v>197</v>
      </c>
      <c r="G3876" s="341" t="s">
        <v>198</v>
      </c>
      <c r="H3876" s="318"/>
      <c r="I3876" s="318"/>
      <c r="J3876" s="342"/>
      <c r="K3876" s="320">
        <v>0</v>
      </c>
      <c r="L3876" s="321">
        <f>ROUNDDOWN(L3874+L3875,0)</f>
        <v>618685</v>
      </c>
    </row>
    <row r="3877" spans="5:13" ht="15" customHeight="1">
      <c r="F3877" s="298"/>
      <c r="G3877" s="298"/>
      <c r="J3877" s="343"/>
    </row>
    <row r="3878" spans="5:13" ht="15" customHeight="1" thickBot="1">
      <c r="E3878" s="356" t="s">
        <v>792</v>
      </c>
      <c r="F3878" s="295" t="s">
        <v>793</v>
      </c>
      <c r="J3878" s="343"/>
      <c r="M3878" s="299">
        <f>L3895</f>
        <v>78279</v>
      </c>
    </row>
    <row r="3879" spans="5:13" ht="15" customHeight="1" thickBot="1">
      <c r="F3879" s="340" t="s">
        <v>136</v>
      </c>
      <c r="G3879" s="341" t="s">
        <v>162</v>
      </c>
      <c r="H3879" s="352" t="s">
        <v>163</v>
      </c>
      <c r="I3879" s="352" t="s">
        <v>138</v>
      </c>
      <c r="J3879" s="353" t="s">
        <v>164</v>
      </c>
      <c r="K3879" s="341" t="s">
        <v>165</v>
      </c>
      <c r="L3879" s="354" t="s">
        <v>166</v>
      </c>
    </row>
    <row r="3880" spans="5:13" ht="15" customHeight="1">
      <c r="F3880" s="300" t="s">
        <v>167</v>
      </c>
      <c r="G3880" s="301" t="s">
        <v>168</v>
      </c>
      <c r="H3880" s="302"/>
      <c r="I3880" s="302"/>
      <c r="J3880" s="351"/>
      <c r="K3880" s="328"/>
      <c r="L3880" s="310"/>
    </row>
    <row r="3881" spans="5:13" ht="15" customHeight="1">
      <c r="F3881" s="306"/>
      <c r="G3881" s="301" t="s">
        <v>169</v>
      </c>
      <c r="H3881" s="307" t="s">
        <v>170</v>
      </c>
      <c r="I3881" s="307" t="s">
        <v>171</v>
      </c>
      <c r="J3881" s="308">
        <v>0.09</v>
      </c>
      <c r="K3881" s="309">
        <f>VLOOKUP(G3881,Upah,8,FALSE)</f>
        <v>125000</v>
      </c>
      <c r="L3881" s="310">
        <f>J3881*K3881</f>
        <v>11250</v>
      </c>
    </row>
    <row r="3882" spans="5:13" ht="15" customHeight="1">
      <c r="F3882" s="306"/>
      <c r="G3882" s="301" t="s">
        <v>308</v>
      </c>
      <c r="H3882" s="307" t="s">
        <v>217</v>
      </c>
      <c r="I3882" s="307" t="s">
        <v>171</v>
      </c>
      <c r="J3882" s="308">
        <v>0.09</v>
      </c>
      <c r="K3882" s="309">
        <f>VLOOKUP(G3882,Upah,8,FALSE)</f>
        <v>150000</v>
      </c>
      <c r="L3882" s="310">
        <f>J3882*K3882</f>
        <v>13500</v>
      </c>
    </row>
    <row r="3883" spans="5:13" ht="15" customHeight="1">
      <c r="F3883" s="306"/>
      <c r="G3883" s="301" t="s">
        <v>232</v>
      </c>
      <c r="H3883" s="307" t="s">
        <v>175</v>
      </c>
      <c r="I3883" s="307" t="s">
        <v>171</v>
      </c>
      <c r="J3883" s="308">
        <v>8.9999999999999993E-3</v>
      </c>
      <c r="K3883" s="309">
        <f>VLOOKUP(G3883,Upah,8,FALSE)</f>
        <v>165000</v>
      </c>
      <c r="L3883" s="310">
        <f>J3883*K3883</f>
        <v>1485</v>
      </c>
    </row>
    <row r="3884" spans="5:13" ht="15" customHeight="1" thickBot="1">
      <c r="F3884" s="306"/>
      <c r="G3884" s="301" t="s">
        <v>176</v>
      </c>
      <c r="H3884" s="307" t="s">
        <v>177</v>
      </c>
      <c r="I3884" s="307" t="s">
        <v>171</v>
      </c>
      <c r="J3884" s="308">
        <v>5.0000000000000001E-3</v>
      </c>
      <c r="K3884" s="309">
        <f>VLOOKUP(G3884,Upah,8,FALSE)</f>
        <v>170000</v>
      </c>
      <c r="L3884" s="310">
        <f>J3884*K3884</f>
        <v>850</v>
      </c>
    </row>
    <row r="3885" spans="5:13" ht="15" customHeight="1" thickBot="1">
      <c r="F3885" s="316"/>
      <c r="G3885" s="317"/>
      <c r="H3885" s="318"/>
      <c r="I3885" s="318"/>
      <c r="J3885" s="319" t="s">
        <v>178</v>
      </c>
      <c r="K3885" s="320"/>
      <c r="L3885" s="321">
        <f>SUM(L3881:L3884)</f>
        <v>27085</v>
      </c>
    </row>
    <row r="3886" spans="5:13" ht="15" customHeight="1">
      <c r="F3886" s="300" t="s">
        <v>179</v>
      </c>
      <c r="G3886" s="301" t="s">
        <v>180</v>
      </c>
      <c r="H3886" s="302"/>
      <c r="I3886" s="302"/>
      <c r="J3886" s="351"/>
      <c r="K3886" s="328"/>
      <c r="L3886" s="310"/>
    </row>
    <row r="3887" spans="5:13" ht="15" customHeight="1">
      <c r="F3887" s="306"/>
      <c r="G3887" s="301" t="s">
        <v>794</v>
      </c>
      <c r="H3887" s="302"/>
      <c r="I3887" s="307" t="s">
        <v>221</v>
      </c>
      <c r="J3887" s="308">
        <v>5.3</v>
      </c>
      <c r="K3887" s="328">
        <f>VLOOKUP(G3887,Bahan,6,FALSE)</f>
        <v>7540</v>
      </c>
      <c r="L3887" s="310">
        <f>J3887*K3887</f>
        <v>39962</v>
      </c>
    </row>
    <row r="3888" spans="5:13" ht="15" customHeight="1">
      <c r="F3888" s="306"/>
      <c r="G3888" s="301" t="s">
        <v>183</v>
      </c>
      <c r="H3888" s="302"/>
      <c r="I3888" s="307" t="s">
        <v>38</v>
      </c>
      <c r="J3888" s="308">
        <v>1.65</v>
      </c>
      <c r="K3888" s="328">
        <f>VLOOKUP(G3888,Bahan,6,FALSE)</f>
        <v>1880</v>
      </c>
      <c r="L3888" s="310">
        <f>J3888*K3888</f>
        <v>3102</v>
      </c>
    </row>
    <row r="3889" spans="5:13" ht="15" customHeight="1" thickBot="1">
      <c r="F3889" s="306"/>
      <c r="G3889" s="301" t="s">
        <v>296</v>
      </c>
      <c r="H3889" s="302"/>
      <c r="I3889" s="307" t="s">
        <v>292</v>
      </c>
      <c r="J3889" s="308">
        <v>4.0000000000000001E-3</v>
      </c>
      <c r="K3889" s="328">
        <f>VLOOKUP(G3889,Bahan,6,FALSE)</f>
        <v>253510</v>
      </c>
      <c r="L3889" s="310">
        <f>J3889*K3889</f>
        <v>1014.0400000000001</v>
      </c>
    </row>
    <row r="3890" spans="5:13" ht="15" customHeight="1" thickBot="1">
      <c r="F3890" s="316"/>
      <c r="G3890" s="317"/>
      <c r="H3890" s="318"/>
      <c r="I3890" s="318"/>
      <c r="J3890" s="319" t="s">
        <v>189</v>
      </c>
      <c r="K3890" s="320"/>
      <c r="L3890" s="321">
        <f>SUM(L3887:L3889)</f>
        <v>44078.04</v>
      </c>
    </row>
    <row r="3891" spans="5:13" ht="15" customHeight="1" thickBot="1">
      <c r="F3891" s="300" t="s">
        <v>190</v>
      </c>
      <c r="G3891" s="301" t="s">
        <v>191</v>
      </c>
      <c r="H3891" s="302"/>
      <c r="I3891" s="302"/>
      <c r="J3891" s="351"/>
      <c r="K3891" s="328">
        <v>0</v>
      </c>
      <c r="L3891" s="310">
        <f>J3891*K3891</f>
        <v>0</v>
      </c>
    </row>
    <row r="3892" spans="5:13" ht="15" customHeight="1" thickBot="1">
      <c r="F3892" s="316"/>
      <c r="G3892" s="317"/>
      <c r="H3892" s="318"/>
      <c r="I3892" s="318"/>
      <c r="J3892" s="319" t="s">
        <v>192</v>
      </c>
      <c r="K3892" s="320"/>
      <c r="L3892" s="321">
        <f>L3891</f>
        <v>0</v>
      </c>
    </row>
    <row r="3893" spans="5:13" ht="15" customHeight="1">
      <c r="F3893" s="344" t="s">
        <v>193</v>
      </c>
      <c r="G3893" s="345" t="s">
        <v>194</v>
      </c>
      <c r="H3893" s="346"/>
      <c r="I3893" s="346"/>
      <c r="J3893" s="347"/>
      <c r="K3893" s="348">
        <v>0</v>
      </c>
      <c r="L3893" s="310">
        <f>SUM(L3881:L3892)/2</f>
        <v>71163.039999999994</v>
      </c>
    </row>
    <row r="3894" spans="5:13" ht="15" customHeight="1" thickBot="1">
      <c r="F3894" s="331" t="s">
        <v>195</v>
      </c>
      <c r="G3894" s="332" t="s">
        <v>196</v>
      </c>
      <c r="H3894" s="333"/>
      <c r="I3894" s="333"/>
      <c r="J3894" s="350">
        <v>0.1</v>
      </c>
      <c r="K3894" s="335"/>
      <c r="L3894" s="330">
        <f>J3894*L3893</f>
        <v>7116.3040000000001</v>
      </c>
    </row>
    <row r="3895" spans="5:13" ht="15" customHeight="1" thickBot="1">
      <c r="F3895" s="340" t="s">
        <v>197</v>
      </c>
      <c r="G3895" s="341" t="s">
        <v>198</v>
      </c>
      <c r="H3895" s="318"/>
      <c r="I3895" s="318"/>
      <c r="J3895" s="342"/>
      <c r="K3895" s="320">
        <v>0</v>
      </c>
      <c r="L3895" s="321">
        <f>ROUNDDOWN(L3893+L3894,0)</f>
        <v>78279</v>
      </c>
    </row>
    <row r="3896" spans="5:13" ht="15" customHeight="1">
      <c r="F3896" s="298"/>
      <c r="G3896" s="298"/>
      <c r="J3896" s="343"/>
    </row>
    <row r="3897" spans="5:13" ht="15" customHeight="1" thickBot="1">
      <c r="E3897" s="356" t="s">
        <v>795</v>
      </c>
      <c r="F3897" s="295" t="s">
        <v>796</v>
      </c>
      <c r="J3897" s="343"/>
      <c r="M3897" s="299">
        <f>L3914</f>
        <v>57657</v>
      </c>
    </row>
    <row r="3898" spans="5:13" ht="15" customHeight="1" thickBot="1">
      <c r="F3898" s="340" t="s">
        <v>136</v>
      </c>
      <c r="G3898" s="341" t="s">
        <v>162</v>
      </c>
      <c r="H3898" s="352" t="s">
        <v>163</v>
      </c>
      <c r="I3898" s="352" t="s">
        <v>138</v>
      </c>
      <c r="J3898" s="353" t="s">
        <v>164</v>
      </c>
      <c r="K3898" s="341" t="s">
        <v>165</v>
      </c>
      <c r="L3898" s="354" t="s">
        <v>166</v>
      </c>
    </row>
    <row r="3899" spans="5:13" ht="15" customHeight="1">
      <c r="F3899" s="300" t="s">
        <v>167</v>
      </c>
      <c r="G3899" s="301" t="s">
        <v>168</v>
      </c>
      <c r="H3899" s="302"/>
      <c r="I3899" s="302"/>
      <c r="J3899" s="351"/>
      <c r="K3899" s="328">
        <v>0</v>
      </c>
      <c r="L3899" s="310"/>
    </row>
    <row r="3900" spans="5:13" ht="15" customHeight="1">
      <c r="F3900" s="306"/>
      <c r="G3900" s="301" t="s">
        <v>169</v>
      </c>
      <c r="H3900" s="307" t="s">
        <v>170</v>
      </c>
      <c r="I3900" s="307" t="s">
        <v>171</v>
      </c>
      <c r="J3900" s="308">
        <v>0.09</v>
      </c>
      <c r="K3900" s="309">
        <f>VLOOKUP(G3900,Upah,8,FALSE)</f>
        <v>125000</v>
      </c>
      <c r="L3900" s="310">
        <f>J3900*K3900</f>
        <v>11250</v>
      </c>
    </row>
    <row r="3901" spans="5:13" ht="15" customHeight="1">
      <c r="F3901" s="306"/>
      <c r="G3901" s="301" t="s">
        <v>308</v>
      </c>
      <c r="H3901" s="307" t="s">
        <v>217</v>
      </c>
      <c r="I3901" s="307" t="s">
        <v>171</v>
      </c>
      <c r="J3901" s="308">
        <v>0.09</v>
      </c>
      <c r="K3901" s="309">
        <f>VLOOKUP(G3901,Upah,8,FALSE)</f>
        <v>150000</v>
      </c>
      <c r="L3901" s="310">
        <f>J3901*K3901</f>
        <v>13500</v>
      </c>
    </row>
    <row r="3902" spans="5:13" ht="15" customHeight="1">
      <c r="F3902" s="306"/>
      <c r="G3902" s="301" t="s">
        <v>232</v>
      </c>
      <c r="H3902" s="307" t="s">
        <v>175</v>
      </c>
      <c r="I3902" s="307" t="s">
        <v>171</v>
      </c>
      <c r="J3902" s="308">
        <v>8.9999999999999993E-3</v>
      </c>
      <c r="K3902" s="309">
        <f>VLOOKUP(G3902,Upah,8,FALSE)</f>
        <v>165000</v>
      </c>
      <c r="L3902" s="310">
        <f>J3902*K3902</f>
        <v>1485</v>
      </c>
    </row>
    <row r="3903" spans="5:13" ht="15" customHeight="1" thickBot="1">
      <c r="F3903" s="306"/>
      <c r="G3903" s="301" t="s">
        <v>176</v>
      </c>
      <c r="H3903" s="307" t="s">
        <v>177</v>
      </c>
      <c r="I3903" s="307" t="s">
        <v>171</v>
      </c>
      <c r="J3903" s="308">
        <v>5.0000000000000001E-3</v>
      </c>
      <c r="K3903" s="309">
        <f>VLOOKUP(G3903,Upah,8,FALSE)</f>
        <v>170000</v>
      </c>
      <c r="L3903" s="310">
        <f>J3903*K3903</f>
        <v>850</v>
      </c>
    </row>
    <row r="3904" spans="5:13" ht="15" customHeight="1" thickBot="1">
      <c r="F3904" s="316"/>
      <c r="G3904" s="317"/>
      <c r="H3904" s="318"/>
      <c r="I3904" s="318"/>
      <c r="J3904" s="319" t="s">
        <v>178</v>
      </c>
      <c r="K3904" s="320"/>
      <c r="L3904" s="321">
        <f>SUM(L3900:L3903)</f>
        <v>27085</v>
      </c>
    </row>
    <row r="3905" spans="5:13" ht="15" customHeight="1">
      <c r="F3905" s="300" t="s">
        <v>179</v>
      </c>
      <c r="G3905" s="301" t="s">
        <v>180</v>
      </c>
      <c r="H3905" s="302"/>
      <c r="I3905" s="302"/>
      <c r="J3905" s="351"/>
      <c r="K3905" s="328"/>
      <c r="L3905" s="310"/>
    </row>
    <row r="3906" spans="5:13" ht="15" customHeight="1">
      <c r="F3906" s="306"/>
      <c r="G3906" s="301" t="s">
        <v>797</v>
      </c>
      <c r="H3906" s="302"/>
      <c r="I3906" s="307" t="s">
        <v>221</v>
      </c>
      <c r="J3906" s="308">
        <v>3.53</v>
      </c>
      <c r="K3906" s="328">
        <f>VLOOKUP(G3906,Bahan,6,FALSE)</f>
        <v>6300</v>
      </c>
      <c r="L3906" s="310">
        <f>J3906*K3906</f>
        <v>22239</v>
      </c>
    </row>
    <row r="3907" spans="5:13" ht="15" customHeight="1">
      <c r="F3907" s="306"/>
      <c r="G3907" s="301" t="s">
        <v>183</v>
      </c>
      <c r="H3907" s="302"/>
      <c r="I3907" s="307" t="s">
        <v>38</v>
      </c>
      <c r="J3907" s="308">
        <v>1.24</v>
      </c>
      <c r="K3907" s="328">
        <f>VLOOKUP(G3907,Bahan,6,FALSE)</f>
        <v>1880</v>
      </c>
      <c r="L3907" s="310">
        <f>J3907*K3907</f>
        <v>2331.1999999999998</v>
      </c>
    </row>
    <row r="3908" spans="5:13" ht="15" customHeight="1" thickBot="1">
      <c r="F3908" s="306"/>
      <c r="G3908" s="301" t="s">
        <v>296</v>
      </c>
      <c r="H3908" s="302"/>
      <c r="I3908" s="307" t="s">
        <v>292</v>
      </c>
      <c r="J3908" s="308">
        <v>3.0000000000000001E-3</v>
      </c>
      <c r="K3908" s="328">
        <f>VLOOKUP(G3908,Bahan,6,FALSE)</f>
        <v>253510</v>
      </c>
      <c r="L3908" s="310">
        <f>J3908*K3908</f>
        <v>760.53</v>
      </c>
    </row>
    <row r="3909" spans="5:13" ht="15" customHeight="1" thickBot="1">
      <c r="F3909" s="316"/>
      <c r="G3909" s="317"/>
      <c r="H3909" s="318"/>
      <c r="I3909" s="318"/>
      <c r="J3909" s="319" t="s">
        <v>189</v>
      </c>
      <c r="K3909" s="320"/>
      <c r="L3909" s="321">
        <f>SUM(L3906:L3908)</f>
        <v>25330.73</v>
      </c>
    </row>
    <row r="3910" spans="5:13" ht="15" customHeight="1" thickBot="1">
      <c r="F3910" s="300" t="s">
        <v>190</v>
      </c>
      <c r="G3910" s="301" t="s">
        <v>191</v>
      </c>
      <c r="H3910" s="302"/>
      <c r="I3910" s="302"/>
      <c r="J3910" s="351"/>
      <c r="K3910" s="328">
        <v>0</v>
      </c>
      <c r="L3910" s="310">
        <f>J3910*K3910</f>
        <v>0</v>
      </c>
    </row>
    <row r="3911" spans="5:13" ht="15" customHeight="1" thickBot="1">
      <c r="F3911" s="316"/>
      <c r="G3911" s="317"/>
      <c r="H3911" s="318"/>
      <c r="I3911" s="318"/>
      <c r="J3911" s="319" t="s">
        <v>192</v>
      </c>
      <c r="K3911" s="320"/>
      <c r="L3911" s="321">
        <f>L3910</f>
        <v>0</v>
      </c>
    </row>
    <row r="3912" spans="5:13" ht="15" customHeight="1">
      <c r="F3912" s="344" t="s">
        <v>193</v>
      </c>
      <c r="G3912" s="345" t="s">
        <v>194</v>
      </c>
      <c r="H3912" s="346"/>
      <c r="I3912" s="346"/>
      <c r="J3912" s="347"/>
      <c r="K3912" s="348">
        <v>0</v>
      </c>
      <c r="L3912" s="310">
        <f>SUM(L3899:L3911)/2</f>
        <v>52415.729999999996</v>
      </c>
    </row>
    <row r="3913" spans="5:13" ht="15" customHeight="1" thickBot="1">
      <c r="F3913" s="331" t="s">
        <v>195</v>
      </c>
      <c r="G3913" s="332" t="s">
        <v>196</v>
      </c>
      <c r="H3913" s="333"/>
      <c r="I3913" s="333"/>
      <c r="J3913" s="350">
        <v>0.1</v>
      </c>
      <c r="K3913" s="335"/>
      <c r="L3913" s="330">
        <f>J3913*L3912</f>
        <v>5241.5730000000003</v>
      </c>
    </row>
    <row r="3914" spans="5:13" ht="15" customHeight="1" thickBot="1">
      <c r="F3914" s="340" t="s">
        <v>197</v>
      </c>
      <c r="G3914" s="341" t="s">
        <v>198</v>
      </c>
      <c r="H3914" s="318"/>
      <c r="I3914" s="318"/>
      <c r="J3914" s="342"/>
      <c r="K3914" s="320">
        <v>0</v>
      </c>
      <c r="L3914" s="321">
        <f>ROUNDDOWN(L3912+L3913,0)</f>
        <v>57657</v>
      </c>
    </row>
    <row r="3915" spans="5:13" ht="15" customHeight="1">
      <c r="F3915" s="298"/>
      <c r="G3915" s="298"/>
      <c r="J3915" s="343"/>
    </row>
    <row r="3916" spans="5:13" ht="15" customHeight="1" thickBot="1">
      <c r="E3916" s="356" t="s">
        <v>798</v>
      </c>
      <c r="F3916" s="295" t="s">
        <v>799</v>
      </c>
      <c r="J3916" s="343"/>
      <c r="M3916" s="299">
        <f>L3933</f>
        <v>53832</v>
      </c>
    </row>
    <row r="3917" spans="5:13" ht="15" customHeight="1" thickBot="1">
      <c r="F3917" s="340" t="s">
        <v>136</v>
      </c>
      <c r="G3917" s="341" t="s">
        <v>162</v>
      </c>
      <c r="H3917" s="352" t="s">
        <v>163</v>
      </c>
      <c r="I3917" s="352" t="s">
        <v>138</v>
      </c>
      <c r="J3917" s="353" t="s">
        <v>164</v>
      </c>
      <c r="K3917" s="341" t="s">
        <v>165</v>
      </c>
      <c r="L3917" s="354" t="s">
        <v>166</v>
      </c>
    </row>
    <row r="3918" spans="5:13" ht="15" customHeight="1">
      <c r="F3918" s="300" t="s">
        <v>167</v>
      </c>
      <c r="G3918" s="301" t="s">
        <v>168</v>
      </c>
      <c r="H3918" s="302"/>
      <c r="I3918" s="302"/>
      <c r="J3918" s="351"/>
      <c r="K3918" s="328"/>
      <c r="L3918" s="310"/>
    </row>
    <row r="3919" spans="5:13" ht="15" customHeight="1">
      <c r="F3919" s="306"/>
      <c r="G3919" s="301" t="s">
        <v>169</v>
      </c>
      <c r="H3919" s="307" t="s">
        <v>170</v>
      </c>
      <c r="I3919" s="307" t="s">
        <v>171</v>
      </c>
      <c r="J3919" s="308">
        <v>0.09</v>
      </c>
      <c r="K3919" s="309">
        <f>VLOOKUP(G3919,Upah,8,FALSE)</f>
        <v>125000</v>
      </c>
      <c r="L3919" s="310">
        <f>J3919*K3919</f>
        <v>11250</v>
      </c>
    </row>
    <row r="3920" spans="5:13" ht="15" customHeight="1">
      <c r="F3920" s="306"/>
      <c r="G3920" s="301" t="s">
        <v>308</v>
      </c>
      <c r="H3920" s="307" t="s">
        <v>217</v>
      </c>
      <c r="I3920" s="307" t="s">
        <v>171</v>
      </c>
      <c r="J3920" s="308">
        <v>0.09</v>
      </c>
      <c r="K3920" s="309">
        <f>VLOOKUP(G3920,Upah,8,FALSE)</f>
        <v>150000</v>
      </c>
      <c r="L3920" s="310">
        <f>J3920*K3920</f>
        <v>13500</v>
      </c>
    </row>
    <row r="3921" spans="5:13" ht="15" customHeight="1">
      <c r="F3921" s="306"/>
      <c r="G3921" s="301" t="s">
        <v>232</v>
      </c>
      <c r="H3921" s="307" t="s">
        <v>175</v>
      </c>
      <c r="I3921" s="307" t="s">
        <v>171</v>
      </c>
      <c r="J3921" s="308">
        <v>8.9999999999999993E-3</v>
      </c>
      <c r="K3921" s="309">
        <f>VLOOKUP(G3921,Upah,8,FALSE)</f>
        <v>165000</v>
      </c>
      <c r="L3921" s="310">
        <f>J3921*K3921</f>
        <v>1485</v>
      </c>
    </row>
    <row r="3922" spans="5:13" ht="15" customHeight="1" thickBot="1">
      <c r="F3922" s="306"/>
      <c r="G3922" s="301" t="s">
        <v>176</v>
      </c>
      <c r="H3922" s="307" t="s">
        <v>177</v>
      </c>
      <c r="I3922" s="307" t="s">
        <v>171</v>
      </c>
      <c r="J3922" s="308">
        <v>5.0000000000000001E-3</v>
      </c>
      <c r="K3922" s="309">
        <f>VLOOKUP(G3922,Upah,8,FALSE)</f>
        <v>170000</v>
      </c>
      <c r="L3922" s="310">
        <f>J3922*K3922</f>
        <v>850</v>
      </c>
    </row>
    <row r="3923" spans="5:13" ht="15" customHeight="1" thickBot="1">
      <c r="F3923" s="316"/>
      <c r="G3923" s="317"/>
      <c r="H3923" s="318"/>
      <c r="I3923" s="318"/>
      <c r="J3923" s="319" t="s">
        <v>178</v>
      </c>
      <c r="K3923" s="320"/>
      <c r="L3923" s="321">
        <f>SUM(L3919:L3922)</f>
        <v>27085</v>
      </c>
    </row>
    <row r="3924" spans="5:13" ht="15" customHeight="1">
      <c r="F3924" s="300" t="s">
        <v>179</v>
      </c>
      <c r="G3924" s="301" t="s">
        <v>180</v>
      </c>
      <c r="H3924" s="302"/>
      <c r="I3924" s="302"/>
      <c r="J3924" s="351"/>
      <c r="K3924" s="328"/>
      <c r="L3924" s="310"/>
    </row>
    <row r="3925" spans="5:13" ht="15" customHeight="1">
      <c r="F3925" s="306"/>
      <c r="G3925" s="301" t="s">
        <v>800</v>
      </c>
      <c r="H3925" s="302"/>
      <c r="I3925" s="307" t="s">
        <v>221</v>
      </c>
      <c r="J3925" s="308">
        <v>2.65</v>
      </c>
      <c r="K3925" s="328">
        <f>VLOOKUP(G3925,Bahan,6,FALSE)</f>
        <v>7080</v>
      </c>
      <c r="L3925" s="310">
        <f>J3925*K3925</f>
        <v>18762</v>
      </c>
    </row>
    <row r="3926" spans="5:13" ht="15" customHeight="1">
      <c r="F3926" s="306"/>
      <c r="G3926" s="301" t="s">
        <v>183</v>
      </c>
      <c r="H3926" s="302"/>
      <c r="I3926" s="307" t="s">
        <v>38</v>
      </c>
      <c r="J3926" s="308">
        <v>1.24</v>
      </c>
      <c r="K3926" s="328">
        <f>VLOOKUP(G3926,Bahan,6,FALSE)</f>
        <v>1880</v>
      </c>
      <c r="L3926" s="310">
        <f>J3926*K3926</f>
        <v>2331.1999999999998</v>
      </c>
    </row>
    <row r="3927" spans="5:13" ht="15" customHeight="1" thickBot="1">
      <c r="F3927" s="306"/>
      <c r="G3927" s="301" t="s">
        <v>219</v>
      </c>
      <c r="H3927" s="302"/>
      <c r="I3927" s="307" t="s">
        <v>292</v>
      </c>
      <c r="J3927" s="308">
        <v>3.0000000000000001E-3</v>
      </c>
      <c r="K3927" s="328">
        <f>VLOOKUP(G3927,Bahan,6,FALSE)</f>
        <v>253510</v>
      </c>
      <c r="L3927" s="310">
        <f>J3927*K3927</f>
        <v>760.53</v>
      </c>
    </row>
    <row r="3928" spans="5:13" ht="15" customHeight="1" thickBot="1">
      <c r="F3928" s="316"/>
      <c r="G3928" s="317"/>
      <c r="H3928" s="318"/>
      <c r="I3928" s="318"/>
      <c r="J3928" s="319" t="s">
        <v>189</v>
      </c>
      <c r="K3928" s="320"/>
      <c r="L3928" s="321">
        <f>SUM(L3925:L3927)</f>
        <v>21853.73</v>
      </c>
    </row>
    <row r="3929" spans="5:13" ht="15" customHeight="1" thickBot="1">
      <c r="F3929" s="300" t="s">
        <v>190</v>
      </c>
      <c r="G3929" s="301" t="s">
        <v>191</v>
      </c>
      <c r="H3929" s="302"/>
      <c r="I3929" s="302"/>
      <c r="J3929" s="351"/>
      <c r="K3929" s="328">
        <v>0</v>
      </c>
      <c r="L3929" s="310">
        <f>J3929*K3929</f>
        <v>0</v>
      </c>
    </row>
    <row r="3930" spans="5:13" ht="15" customHeight="1" thickBot="1">
      <c r="F3930" s="316"/>
      <c r="G3930" s="317"/>
      <c r="H3930" s="318"/>
      <c r="I3930" s="318"/>
      <c r="J3930" s="319" t="s">
        <v>192</v>
      </c>
      <c r="K3930" s="320"/>
      <c r="L3930" s="321">
        <f>L3929</f>
        <v>0</v>
      </c>
    </row>
    <row r="3931" spans="5:13" ht="15" customHeight="1">
      <c r="F3931" s="344" t="s">
        <v>193</v>
      </c>
      <c r="G3931" s="345" t="s">
        <v>194</v>
      </c>
      <c r="H3931" s="346"/>
      <c r="I3931" s="346"/>
      <c r="J3931" s="347"/>
      <c r="K3931" s="348">
        <v>0</v>
      </c>
      <c r="L3931" s="310">
        <f>SUM(L3918:L3930)/2</f>
        <v>48938.729999999996</v>
      </c>
    </row>
    <row r="3932" spans="5:13" ht="15" customHeight="1" thickBot="1">
      <c r="F3932" s="331" t="s">
        <v>195</v>
      </c>
      <c r="G3932" s="332" t="s">
        <v>196</v>
      </c>
      <c r="H3932" s="333"/>
      <c r="I3932" s="333"/>
      <c r="J3932" s="350">
        <v>0.1</v>
      </c>
      <c r="K3932" s="335"/>
      <c r="L3932" s="330">
        <f>J3932*L3931</f>
        <v>4893.8729999999996</v>
      </c>
    </row>
    <row r="3933" spans="5:13" ht="15" customHeight="1" thickBot="1">
      <c r="F3933" s="340" t="s">
        <v>197</v>
      </c>
      <c r="G3933" s="341" t="s">
        <v>198</v>
      </c>
      <c r="H3933" s="318"/>
      <c r="I3933" s="318"/>
      <c r="J3933" s="342"/>
      <c r="K3933" s="320">
        <v>0</v>
      </c>
      <c r="L3933" s="321">
        <f>ROUNDDOWN(L3931+L3932,0)</f>
        <v>53832</v>
      </c>
    </row>
    <row r="3934" spans="5:13" ht="15" customHeight="1">
      <c r="F3934" s="298"/>
      <c r="G3934" s="298"/>
      <c r="J3934" s="343"/>
    </row>
    <row r="3935" spans="5:13" ht="15" customHeight="1" thickBot="1">
      <c r="E3935" s="356" t="s">
        <v>801</v>
      </c>
      <c r="F3935" s="295" t="s">
        <v>802</v>
      </c>
      <c r="J3935" s="343"/>
      <c r="M3935" s="299">
        <f>L3953</f>
        <v>48095</v>
      </c>
    </row>
    <row r="3936" spans="5:13" ht="15" customHeight="1" thickBot="1">
      <c r="F3936" s="340" t="s">
        <v>136</v>
      </c>
      <c r="G3936" s="341" t="s">
        <v>162</v>
      </c>
      <c r="H3936" s="352" t="s">
        <v>163</v>
      </c>
      <c r="I3936" s="352" t="s">
        <v>138</v>
      </c>
      <c r="J3936" s="353" t="s">
        <v>164</v>
      </c>
      <c r="K3936" s="341" t="s">
        <v>165</v>
      </c>
      <c r="L3936" s="354" t="s">
        <v>166</v>
      </c>
    </row>
    <row r="3937" spans="6:12" ht="15" customHeight="1">
      <c r="F3937" s="300" t="s">
        <v>167</v>
      </c>
      <c r="G3937" s="301" t="s">
        <v>168</v>
      </c>
      <c r="H3937" s="302"/>
      <c r="I3937" s="302"/>
      <c r="J3937" s="351"/>
      <c r="K3937" s="328"/>
      <c r="L3937" s="310"/>
    </row>
    <row r="3938" spans="6:12" ht="15" customHeight="1">
      <c r="F3938" s="306"/>
      <c r="G3938" s="301" t="s">
        <v>169</v>
      </c>
      <c r="H3938" s="307" t="s">
        <v>170</v>
      </c>
      <c r="I3938" s="307" t="s">
        <v>171</v>
      </c>
      <c r="J3938" s="308">
        <v>0.09</v>
      </c>
      <c r="K3938" s="309">
        <f>VLOOKUP(G3938,Upah,8,FALSE)</f>
        <v>125000</v>
      </c>
      <c r="L3938" s="310">
        <f>J3938*K3938</f>
        <v>11250</v>
      </c>
    </row>
    <row r="3939" spans="6:12" ht="15" customHeight="1">
      <c r="F3939" s="306"/>
      <c r="G3939" s="301" t="s">
        <v>308</v>
      </c>
      <c r="H3939" s="307" t="s">
        <v>217</v>
      </c>
      <c r="I3939" s="307" t="s">
        <v>171</v>
      </c>
      <c r="J3939" s="308">
        <v>0.09</v>
      </c>
      <c r="K3939" s="309">
        <f>VLOOKUP(G3939,Upah,8,FALSE)</f>
        <v>150000</v>
      </c>
      <c r="L3939" s="310">
        <f>J3939*K3939</f>
        <v>13500</v>
      </c>
    </row>
    <row r="3940" spans="6:12" ht="15" customHeight="1">
      <c r="F3940" s="306"/>
      <c r="G3940" s="301" t="s">
        <v>232</v>
      </c>
      <c r="H3940" s="307" t="s">
        <v>175</v>
      </c>
      <c r="I3940" s="307" t="s">
        <v>171</v>
      </c>
      <c r="J3940" s="308">
        <v>8.9999999999999993E-3</v>
      </c>
      <c r="K3940" s="309">
        <f>VLOOKUP(G3940,Upah,8,FALSE)</f>
        <v>165000</v>
      </c>
      <c r="L3940" s="310">
        <f>J3940*K3940</f>
        <v>1485</v>
      </c>
    </row>
    <row r="3941" spans="6:12" ht="15" customHeight="1" thickBot="1">
      <c r="F3941" s="306"/>
      <c r="G3941" s="301" t="s">
        <v>176</v>
      </c>
      <c r="H3941" s="307" t="s">
        <v>177</v>
      </c>
      <c r="I3941" s="307" t="s">
        <v>171</v>
      </c>
      <c r="J3941" s="308">
        <v>5.0000000000000001E-3</v>
      </c>
      <c r="K3941" s="309">
        <f>VLOOKUP(G3941,Upah,8,FALSE)</f>
        <v>170000</v>
      </c>
      <c r="L3941" s="310">
        <f>J3941*K3941</f>
        <v>850</v>
      </c>
    </row>
    <row r="3942" spans="6:12" ht="15" customHeight="1" thickBot="1">
      <c r="F3942" s="316"/>
      <c r="G3942" s="317"/>
      <c r="H3942" s="318"/>
      <c r="I3942" s="318"/>
      <c r="J3942" s="319" t="s">
        <v>178</v>
      </c>
      <c r="K3942" s="320"/>
      <c r="L3942" s="321">
        <f>SUM(L3938:L3941)</f>
        <v>27085</v>
      </c>
    </row>
    <row r="3943" spans="6:12" ht="15" customHeight="1">
      <c r="F3943" s="300" t="s">
        <v>179</v>
      </c>
      <c r="G3943" s="301" t="s">
        <v>180</v>
      </c>
      <c r="H3943" s="302"/>
      <c r="I3943" s="302"/>
      <c r="J3943" s="351"/>
      <c r="K3943" s="328"/>
      <c r="L3943" s="310"/>
    </row>
    <row r="3944" spans="6:12" ht="15" customHeight="1">
      <c r="F3944" s="306"/>
      <c r="G3944" s="301" t="s">
        <v>803</v>
      </c>
      <c r="H3944" s="302"/>
      <c r="I3944" s="307" t="s">
        <v>221</v>
      </c>
      <c r="J3944" s="308">
        <v>2.65</v>
      </c>
      <c r="K3944" s="328">
        <f>VLOOKUP(G3944,Bahan,6,FALSE)</f>
        <v>5090</v>
      </c>
      <c r="L3944" s="310">
        <f>J3944*K3944</f>
        <v>13488.5</v>
      </c>
    </row>
    <row r="3945" spans="6:12" ht="15" customHeight="1">
      <c r="F3945" s="306"/>
      <c r="G3945" s="301" t="s">
        <v>183</v>
      </c>
      <c r="H3945" s="302"/>
      <c r="I3945" s="307" t="s">
        <v>38</v>
      </c>
      <c r="J3945" s="308">
        <v>1.1399999999999999</v>
      </c>
      <c r="K3945" s="328">
        <f>VLOOKUP(G3945,Bahan,6,FALSE)</f>
        <v>1880</v>
      </c>
      <c r="L3945" s="310">
        <f>J3945*K3945</f>
        <v>2143.1999999999998</v>
      </c>
    </row>
    <row r="3946" spans="6:12" ht="15" customHeight="1">
      <c r="F3946" s="306"/>
      <c r="G3946" s="301" t="s">
        <v>758</v>
      </c>
      <c r="H3946" s="302"/>
      <c r="I3946" s="307" t="s">
        <v>45</v>
      </c>
      <c r="J3946" s="308">
        <v>0.1</v>
      </c>
      <c r="K3946" s="328">
        <f>VLOOKUP(G3946,Bahan,6,FALSE)</f>
        <v>2460</v>
      </c>
      <c r="L3946" s="310">
        <f>J3946*K3946</f>
        <v>246</v>
      </c>
    </row>
    <row r="3947" spans="6:12" ht="15" customHeight="1" thickBot="1">
      <c r="F3947" s="306"/>
      <c r="G3947" s="301" t="s">
        <v>296</v>
      </c>
      <c r="H3947" s="302"/>
      <c r="I3947" s="307" t="s">
        <v>292</v>
      </c>
      <c r="J3947" s="308">
        <v>3.0000000000000001E-3</v>
      </c>
      <c r="K3947" s="328">
        <f>VLOOKUP(G3947,Bahan,6,FALSE)</f>
        <v>253510</v>
      </c>
      <c r="L3947" s="310">
        <f>J3947*K3947</f>
        <v>760.53</v>
      </c>
    </row>
    <row r="3948" spans="6:12" ht="15" customHeight="1" thickBot="1">
      <c r="F3948" s="316"/>
      <c r="G3948" s="317"/>
      <c r="H3948" s="318"/>
      <c r="I3948" s="318"/>
      <c r="J3948" s="319" t="s">
        <v>189</v>
      </c>
      <c r="K3948" s="320"/>
      <c r="L3948" s="321">
        <f>SUM(L3944:L3947)</f>
        <v>16638.23</v>
      </c>
    </row>
    <row r="3949" spans="6:12" ht="15" customHeight="1" thickBot="1">
      <c r="F3949" s="300" t="s">
        <v>190</v>
      </c>
      <c r="G3949" s="301" t="s">
        <v>191</v>
      </c>
      <c r="H3949" s="302"/>
      <c r="I3949" s="302"/>
      <c r="J3949" s="351"/>
      <c r="K3949" s="328">
        <v>0</v>
      </c>
      <c r="L3949" s="310">
        <f>J3949*K3949</f>
        <v>0</v>
      </c>
    </row>
    <row r="3950" spans="6:12" ht="15" customHeight="1" thickBot="1">
      <c r="F3950" s="316"/>
      <c r="G3950" s="317"/>
      <c r="H3950" s="318"/>
      <c r="I3950" s="318"/>
      <c r="J3950" s="319" t="s">
        <v>192</v>
      </c>
      <c r="K3950" s="320"/>
      <c r="L3950" s="321">
        <f>L3949</f>
        <v>0</v>
      </c>
    </row>
    <row r="3951" spans="6:12" ht="15" customHeight="1">
      <c r="F3951" s="344" t="s">
        <v>193</v>
      </c>
      <c r="G3951" s="345" t="s">
        <v>194</v>
      </c>
      <c r="H3951" s="346"/>
      <c r="I3951" s="346"/>
      <c r="J3951" s="347"/>
      <c r="K3951" s="348">
        <v>0</v>
      </c>
      <c r="L3951" s="310">
        <f>SUM(L3938:L3950)/2</f>
        <v>43723.229999999996</v>
      </c>
    </row>
    <row r="3952" spans="6:12" ht="15" customHeight="1" thickBot="1">
      <c r="F3952" s="331" t="s">
        <v>195</v>
      </c>
      <c r="G3952" s="332" t="s">
        <v>196</v>
      </c>
      <c r="H3952" s="333"/>
      <c r="I3952" s="333"/>
      <c r="J3952" s="350">
        <v>0.1</v>
      </c>
      <c r="K3952" s="335"/>
      <c r="L3952" s="330">
        <f>J3952*L3951</f>
        <v>4372.3229999999994</v>
      </c>
    </row>
    <row r="3953" spans="5:13" ht="15" customHeight="1" thickBot="1">
      <c r="F3953" s="340" t="s">
        <v>197</v>
      </c>
      <c r="G3953" s="341" t="s">
        <v>198</v>
      </c>
      <c r="H3953" s="318"/>
      <c r="I3953" s="318"/>
      <c r="J3953" s="342"/>
      <c r="K3953" s="320">
        <v>0</v>
      </c>
      <c r="L3953" s="321">
        <f>ROUNDDOWN(L3951+L3952,0)</f>
        <v>48095</v>
      </c>
    </row>
    <row r="3954" spans="5:13" ht="15" customHeight="1">
      <c r="F3954" s="298"/>
      <c r="G3954" s="298"/>
      <c r="J3954" s="343"/>
    </row>
    <row r="3955" spans="5:13" ht="15" customHeight="1" thickBot="1">
      <c r="E3955" s="356" t="s">
        <v>804</v>
      </c>
      <c r="F3955" s="295" t="s">
        <v>805</v>
      </c>
      <c r="J3955" s="343"/>
      <c r="M3955" s="299">
        <f>L3973</f>
        <v>55391</v>
      </c>
    </row>
    <row r="3956" spans="5:13" ht="15" customHeight="1" thickBot="1">
      <c r="F3956" s="340" t="s">
        <v>136</v>
      </c>
      <c r="G3956" s="341" t="s">
        <v>162</v>
      </c>
      <c r="H3956" s="352" t="s">
        <v>163</v>
      </c>
      <c r="I3956" s="352" t="s">
        <v>138</v>
      </c>
      <c r="J3956" s="353" t="s">
        <v>164</v>
      </c>
      <c r="K3956" s="341" t="s">
        <v>165</v>
      </c>
      <c r="L3956" s="354" t="s">
        <v>166</v>
      </c>
    </row>
    <row r="3957" spans="5:13" ht="15" customHeight="1">
      <c r="F3957" s="300" t="s">
        <v>167</v>
      </c>
      <c r="G3957" s="301" t="s">
        <v>168</v>
      </c>
      <c r="H3957" s="302"/>
      <c r="I3957" s="302"/>
      <c r="J3957" s="351"/>
      <c r="K3957" s="328"/>
      <c r="L3957" s="310"/>
    </row>
    <row r="3958" spans="5:13" ht="15" customHeight="1">
      <c r="F3958" s="306"/>
      <c r="G3958" s="301" t="s">
        <v>169</v>
      </c>
      <c r="H3958" s="307" t="s">
        <v>170</v>
      </c>
      <c r="I3958" s="307" t="s">
        <v>171</v>
      </c>
      <c r="J3958" s="308">
        <v>0.09</v>
      </c>
      <c r="K3958" s="309">
        <f>VLOOKUP(G3958,Upah,8,FALSE)</f>
        <v>125000</v>
      </c>
      <c r="L3958" s="310">
        <f>J3958*K3958</f>
        <v>11250</v>
      </c>
    </row>
    <row r="3959" spans="5:13" ht="15" customHeight="1">
      <c r="F3959" s="306"/>
      <c r="G3959" s="301" t="s">
        <v>308</v>
      </c>
      <c r="H3959" s="307" t="s">
        <v>217</v>
      </c>
      <c r="I3959" s="307" t="s">
        <v>171</v>
      </c>
      <c r="J3959" s="308">
        <v>0.09</v>
      </c>
      <c r="K3959" s="309">
        <f>VLOOKUP(G3959,Upah,8,FALSE)</f>
        <v>150000</v>
      </c>
      <c r="L3959" s="310">
        <f>J3959*K3959</f>
        <v>13500</v>
      </c>
    </row>
    <row r="3960" spans="5:13" ht="15" customHeight="1">
      <c r="F3960" s="306"/>
      <c r="G3960" s="301" t="s">
        <v>232</v>
      </c>
      <c r="H3960" s="307" t="s">
        <v>175</v>
      </c>
      <c r="I3960" s="307" t="s">
        <v>171</v>
      </c>
      <c r="J3960" s="308">
        <v>8.9999999999999993E-3</v>
      </c>
      <c r="K3960" s="309">
        <f>VLOOKUP(G3960,Upah,8,FALSE)</f>
        <v>165000</v>
      </c>
      <c r="L3960" s="310">
        <f>J3960*K3960</f>
        <v>1485</v>
      </c>
    </row>
    <row r="3961" spans="5:13" ht="15" customHeight="1" thickBot="1">
      <c r="F3961" s="306"/>
      <c r="G3961" s="301" t="s">
        <v>176</v>
      </c>
      <c r="H3961" s="307" t="s">
        <v>177</v>
      </c>
      <c r="I3961" s="307" t="s">
        <v>171</v>
      </c>
      <c r="J3961" s="308">
        <v>5.0000000000000001E-3</v>
      </c>
      <c r="K3961" s="309">
        <f>VLOOKUP(G3961,Upah,8,FALSE)</f>
        <v>170000</v>
      </c>
      <c r="L3961" s="310">
        <f>J3961*K3961</f>
        <v>850</v>
      </c>
    </row>
    <row r="3962" spans="5:13" ht="15" customHeight="1" thickBot="1">
      <c r="F3962" s="316"/>
      <c r="G3962" s="317"/>
      <c r="H3962" s="318"/>
      <c r="I3962" s="318"/>
      <c r="J3962" s="319" t="s">
        <v>178</v>
      </c>
      <c r="K3962" s="320"/>
      <c r="L3962" s="321">
        <f>SUM(L3958:L3961)</f>
        <v>27085</v>
      </c>
    </row>
    <row r="3963" spans="5:13" ht="15" customHeight="1">
      <c r="F3963" s="300" t="s">
        <v>179</v>
      </c>
      <c r="G3963" s="301" t="s">
        <v>180</v>
      </c>
      <c r="H3963" s="302"/>
      <c r="I3963" s="302"/>
      <c r="J3963" s="351"/>
      <c r="K3963" s="328"/>
      <c r="L3963" s="310"/>
    </row>
    <row r="3964" spans="5:13" ht="15" customHeight="1">
      <c r="F3964" s="306"/>
      <c r="G3964" s="301" t="s">
        <v>806</v>
      </c>
      <c r="H3964" s="302"/>
      <c r="I3964" s="307" t="s">
        <v>221</v>
      </c>
      <c r="J3964" s="308">
        <v>3.53</v>
      </c>
      <c r="K3964" s="328">
        <f>VLOOKUP(G3964,Bahan,6,FALSE)</f>
        <v>5700</v>
      </c>
      <c r="L3964" s="310">
        <f>J3964*K3964</f>
        <v>20121</v>
      </c>
    </row>
    <row r="3965" spans="5:13" ht="15" customHeight="1">
      <c r="F3965" s="306"/>
      <c r="G3965" s="301" t="s">
        <v>183</v>
      </c>
      <c r="H3965" s="302"/>
      <c r="I3965" s="307" t="s">
        <v>38</v>
      </c>
      <c r="J3965" s="308">
        <v>1.1399999999999999</v>
      </c>
      <c r="K3965" s="328">
        <f>VLOOKUP(G3965,Bahan,6,FALSE)</f>
        <v>1880</v>
      </c>
      <c r="L3965" s="310">
        <f>J3965*K3965</f>
        <v>2143.1999999999998</v>
      </c>
    </row>
    <row r="3966" spans="5:13" ht="15" customHeight="1">
      <c r="F3966" s="306"/>
      <c r="G3966" s="301" t="s">
        <v>758</v>
      </c>
      <c r="H3966" s="302"/>
      <c r="I3966" s="307" t="s">
        <v>45</v>
      </c>
      <c r="J3966" s="308">
        <v>0.1</v>
      </c>
      <c r="K3966" s="328">
        <f>VLOOKUP(G3966,Bahan,6,FALSE)</f>
        <v>2460</v>
      </c>
      <c r="L3966" s="310">
        <f>J3966*K3966</f>
        <v>246</v>
      </c>
    </row>
    <row r="3967" spans="5:13" ht="15" customHeight="1" thickBot="1">
      <c r="F3967" s="306"/>
      <c r="G3967" s="301" t="s">
        <v>296</v>
      </c>
      <c r="H3967" s="302"/>
      <c r="I3967" s="307" t="s">
        <v>292</v>
      </c>
      <c r="J3967" s="308">
        <v>3.0000000000000001E-3</v>
      </c>
      <c r="K3967" s="328">
        <f>VLOOKUP(G3967,Bahan,6,FALSE)</f>
        <v>253510</v>
      </c>
      <c r="L3967" s="310">
        <f>J3967*K3967</f>
        <v>760.53</v>
      </c>
    </row>
    <row r="3968" spans="5:13" ht="15" customHeight="1" thickBot="1">
      <c r="F3968" s="316"/>
      <c r="G3968" s="317"/>
      <c r="H3968" s="318"/>
      <c r="I3968" s="318"/>
      <c r="J3968" s="319" t="s">
        <v>189</v>
      </c>
      <c r="K3968" s="320"/>
      <c r="L3968" s="321">
        <f>SUM(L3964:L3967)</f>
        <v>23270.73</v>
      </c>
    </row>
    <row r="3969" spans="5:13" ht="15" customHeight="1" thickBot="1">
      <c r="F3969" s="300" t="s">
        <v>190</v>
      </c>
      <c r="G3969" s="301" t="s">
        <v>191</v>
      </c>
      <c r="H3969" s="302"/>
      <c r="I3969" s="302"/>
      <c r="J3969" s="351"/>
      <c r="K3969" s="328">
        <v>0</v>
      </c>
      <c r="L3969" s="310">
        <f>J3969*K3969</f>
        <v>0</v>
      </c>
    </row>
    <row r="3970" spans="5:13" ht="15" customHeight="1" thickBot="1">
      <c r="F3970" s="316"/>
      <c r="G3970" s="317"/>
      <c r="H3970" s="318"/>
      <c r="I3970" s="318"/>
      <c r="J3970" s="319" t="s">
        <v>192</v>
      </c>
      <c r="K3970" s="320"/>
      <c r="L3970" s="321">
        <f>L3969</f>
        <v>0</v>
      </c>
    </row>
    <row r="3971" spans="5:13" ht="15" customHeight="1">
      <c r="F3971" s="344" t="s">
        <v>193</v>
      </c>
      <c r="G3971" s="345" t="s">
        <v>194</v>
      </c>
      <c r="H3971" s="346"/>
      <c r="I3971" s="346"/>
      <c r="J3971" s="347"/>
      <c r="K3971" s="348">
        <v>0</v>
      </c>
      <c r="L3971" s="310">
        <f>SUM(L3958:L3970)/2</f>
        <v>50355.729999999996</v>
      </c>
    </row>
    <row r="3972" spans="5:13" ht="15" customHeight="1" thickBot="1">
      <c r="F3972" s="331" t="s">
        <v>195</v>
      </c>
      <c r="G3972" s="332" t="s">
        <v>196</v>
      </c>
      <c r="H3972" s="333"/>
      <c r="I3972" s="333"/>
      <c r="J3972" s="350">
        <v>0.1</v>
      </c>
      <c r="K3972" s="335"/>
      <c r="L3972" s="330">
        <f>J3972*L3971</f>
        <v>5035.5730000000003</v>
      </c>
    </row>
    <row r="3973" spans="5:13" ht="15" customHeight="1" thickBot="1">
      <c r="F3973" s="340" t="s">
        <v>197</v>
      </c>
      <c r="G3973" s="341" t="s">
        <v>198</v>
      </c>
      <c r="H3973" s="318"/>
      <c r="I3973" s="318"/>
      <c r="J3973" s="342"/>
      <c r="K3973" s="320">
        <v>0</v>
      </c>
      <c r="L3973" s="321">
        <f>ROUNDDOWN(L3971+L3972,0)</f>
        <v>55391</v>
      </c>
    </row>
    <row r="3974" spans="5:13" ht="15" customHeight="1">
      <c r="F3974" s="298"/>
      <c r="G3974" s="298"/>
      <c r="J3974" s="343"/>
    </row>
    <row r="3975" spans="5:13" ht="15" customHeight="1" thickBot="1">
      <c r="E3975" s="356" t="s">
        <v>807</v>
      </c>
      <c r="F3975" s="295" t="s">
        <v>808</v>
      </c>
      <c r="J3975" s="343"/>
      <c r="M3975" s="299">
        <f>L3993</f>
        <v>56199</v>
      </c>
    </row>
    <row r="3976" spans="5:13" ht="15" customHeight="1" thickBot="1">
      <c r="F3976" s="340" t="s">
        <v>136</v>
      </c>
      <c r="G3976" s="341" t="s">
        <v>162</v>
      </c>
      <c r="H3976" s="352" t="s">
        <v>163</v>
      </c>
      <c r="I3976" s="352" t="s">
        <v>138</v>
      </c>
      <c r="J3976" s="353" t="s">
        <v>164</v>
      </c>
      <c r="K3976" s="341" t="s">
        <v>165</v>
      </c>
      <c r="L3976" s="354" t="s">
        <v>166</v>
      </c>
    </row>
    <row r="3977" spans="5:13" ht="15" customHeight="1">
      <c r="F3977" s="300" t="s">
        <v>167</v>
      </c>
      <c r="G3977" s="301" t="s">
        <v>168</v>
      </c>
      <c r="H3977" s="302"/>
      <c r="I3977" s="302"/>
      <c r="J3977" s="351"/>
      <c r="K3977" s="328"/>
      <c r="L3977" s="310"/>
    </row>
    <row r="3978" spans="5:13" ht="15" customHeight="1">
      <c r="F3978" s="306"/>
      <c r="G3978" s="301" t="s">
        <v>169</v>
      </c>
      <c r="H3978" s="307" t="s">
        <v>170</v>
      </c>
      <c r="I3978" s="307" t="s">
        <v>171</v>
      </c>
      <c r="J3978" s="308">
        <v>0.09</v>
      </c>
      <c r="K3978" s="309">
        <f>VLOOKUP(G3978,Upah,8,FALSE)</f>
        <v>125000</v>
      </c>
      <c r="L3978" s="310">
        <f>J3978*K3978</f>
        <v>11250</v>
      </c>
    </row>
    <row r="3979" spans="5:13" ht="15" customHeight="1">
      <c r="F3979" s="306"/>
      <c r="G3979" s="301" t="s">
        <v>308</v>
      </c>
      <c r="H3979" s="307" t="s">
        <v>217</v>
      </c>
      <c r="I3979" s="307" t="s">
        <v>171</v>
      </c>
      <c r="J3979" s="308">
        <v>0.09</v>
      </c>
      <c r="K3979" s="309">
        <f>VLOOKUP(G3979,Upah,8,FALSE)</f>
        <v>150000</v>
      </c>
      <c r="L3979" s="310">
        <f>J3979*K3979</f>
        <v>13500</v>
      </c>
    </row>
    <row r="3980" spans="5:13" ht="15" customHeight="1">
      <c r="F3980" s="306"/>
      <c r="G3980" s="301" t="s">
        <v>232</v>
      </c>
      <c r="H3980" s="307" t="s">
        <v>175</v>
      </c>
      <c r="I3980" s="307" t="s">
        <v>171</v>
      </c>
      <c r="J3980" s="308">
        <v>8.9999999999999993E-3</v>
      </c>
      <c r="K3980" s="309">
        <f>VLOOKUP(G3980,Upah,8,FALSE)</f>
        <v>165000</v>
      </c>
      <c r="L3980" s="310">
        <f>J3980*K3980</f>
        <v>1485</v>
      </c>
    </row>
    <row r="3981" spans="5:13" ht="15" customHeight="1" thickBot="1">
      <c r="F3981" s="306"/>
      <c r="G3981" s="301" t="s">
        <v>176</v>
      </c>
      <c r="H3981" s="307" t="s">
        <v>177</v>
      </c>
      <c r="I3981" s="307" t="s">
        <v>171</v>
      </c>
      <c r="J3981" s="308">
        <v>5.0000000000000001E-3</v>
      </c>
      <c r="K3981" s="309">
        <f>VLOOKUP(G3981,Upah,8,FALSE)</f>
        <v>170000</v>
      </c>
      <c r="L3981" s="310">
        <f>J3981*K3981</f>
        <v>850</v>
      </c>
    </row>
    <row r="3982" spans="5:13" ht="15" customHeight="1" thickBot="1">
      <c r="F3982" s="316"/>
      <c r="G3982" s="317"/>
      <c r="H3982" s="318"/>
      <c r="I3982" s="318"/>
      <c r="J3982" s="319" t="s">
        <v>178</v>
      </c>
      <c r="K3982" s="320"/>
      <c r="L3982" s="321">
        <f>SUM(L3978:L3981)</f>
        <v>27085</v>
      </c>
    </row>
    <row r="3983" spans="5:13" ht="15" customHeight="1">
      <c r="F3983" s="300" t="s">
        <v>179</v>
      </c>
      <c r="G3983" s="301" t="s">
        <v>180</v>
      </c>
      <c r="H3983" s="302"/>
      <c r="I3983" s="302"/>
      <c r="J3983" s="351"/>
      <c r="K3983" s="328"/>
      <c r="L3983" s="310"/>
    </row>
    <row r="3984" spans="5:13" ht="15" customHeight="1">
      <c r="F3984" s="306"/>
      <c r="G3984" s="301" t="s">
        <v>809</v>
      </c>
      <c r="H3984" s="302"/>
      <c r="I3984" s="307" t="s">
        <v>221</v>
      </c>
      <c r="J3984" s="308">
        <v>2.65</v>
      </c>
      <c r="K3984" s="328">
        <f>VLOOKUP(G3984,Bahan,6,FALSE)</f>
        <v>7870</v>
      </c>
      <c r="L3984" s="310">
        <f>J3984*K3984</f>
        <v>20855.5</v>
      </c>
    </row>
    <row r="3985" spans="5:13" ht="15" customHeight="1">
      <c r="F3985" s="306"/>
      <c r="G3985" s="301" t="s">
        <v>183</v>
      </c>
      <c r="H3985" s="302"/>
      <c r="I3985" s="307" t="s">
        <v>38</v>
      </c>
      <c r="J3985" s="308">
        <v>1.1399999999999999</v>
      </c>
      <c r="K3985" s="328">
        <f>VLOOKUP(G3985,Bahan,6,FALSE)</f>
        <v>1880</v>
      </c>
      <c r="L3985" s="310">
        <f>J3985*K3985</f>
        <v>2143.1999999999998</v>
      </c>
    </row>
    <row r="3986" spans="5:13" ht="15" customHeight="1">
      <c r="F3986" s="306"/>
      <c r="G3986" s="301" t="s">
        <v>758</v>
      </c>
      <c r="H3986" s="302"/>
      <c r="I3986" s="307" t="s">
        <v>45</v>
      </c>
      <c r="J3986" s="308">
        <v>0.1</v>
      </c>
      <c r="K3986" s="328">
        <f>VLOOKUP(G3986,Bahan,6,FALSE)</f>
        <v>2460</v>
      </c>
      <c r="L3986" s="310">
        <f>J3986*K3986</f>
        <v>246</v>
      </c>
    </row>
    <row r="3987" spans="5:13" ht="15" customHeight="1" thickBot="1">
      <c r="F3987" s="306"/>
      <c r="G3987" s="301" t="s">
        <v>296</v>
      </c>
      <c r="H3987" s="302"/>
      <c r="I3987" s="307" t="s">
        <v>292</v>
      </c>
      <c r="J3987" s="308">
        <v>3.0000000000000001E-3</v>
      </c>
      <c r="K3987" s="328">
        <f>VLOOKUP(G3987,Bahan,6,FALSE)</f>
        <v>253510</v>
      </c>
      <c r="L3987" s="310">
        <f>J3987*K3987</f>
        <v>760.53</v>
      </c>
    </row>
    <row r="3988" spans="5:13" ht="15" customHeight="1" thickBot="1">
      <c r="F3988" s="316"/>
      <c r="G3988" s="317"/>
      <c r="H3988" s="318"/>
      <c r="I3988" s="318"/>
      <c r="J3988" s="319" t="s">
        <v>189</v>
      </c>
      <c r="K3988" s="320"/>
      <c r="L3988" s="321">
        <f>SUM(L3984:L3987)</f>
        <v>24005.23</v>
      </c>
    </row>
    <row r="3989" spans="5:13" ht="15" customHeight="1" thickBot="1">
      <c r="F3989" s="300" t="s">
        <v>190</v>
      </c>
      <c r="G3989" s="301" t="s">
        <v>191</v>
      </c>
      <c r="H3989" s="302"/>
      <c r="I3989" s="302"/>
      <c r="J3989" s="351"/>
      <c r="K3989" s="328">
        <v>0</v>
      </c>
      <c r="L3989" s="310">
        <f>J3989*K3989</f>
        <v>0</v>
      </c>
    </row>
    <row r="3990" spans="5:13" ht="15" customHeight="1" thickBot="1">
      <c r="F3990" s="316"/>
      <c r="G3990" s="317"/>
      <c r="H3990" s="318"/>
      <c r="I3990" s="318"/>
      <c r="J3990" s="319" t="s">
        <v>192</v>
      </c>
      <c r="K3990" s="320"/>
      <c r="L3990" s="321">
        <f>L3989</f>
        <v>0</v>
      </c>
    </row>
    <row r="3991" spans="5:13" ht="15" customHeight="1">
      <c r="F3991" s="344" t="s">
        <v>193</v>
      </c>
      <c r="G3991" s="345" t="s">
        <v>194</v>
      </c>
      <c r="H3991" s="346"/>
      <c r="I3991" s="346"/>
      <c r="J3991" s="347"/>
      <c r="K3991" s="348">
        <v>0</v>
      </c>
      <c r="L3991" s="310">
        <f>SUM(L3978:L3990)/2</f>
        <v>51090.229999999996</v>
      </c>
    </row>
    <row r="3992" spans="5:13" ht="15" customHeight="1" thickBot="1">
      <c r="F3992" s="331" t="s">
        <v>195</v>
      </c>
      <c r="G3992" s="332" t="s">
        <v>196</v>
      </c>
      <c r="H3992" s="333"/>
      <c r="I3992" s="333"/>
      <c r="J3992" s="350">
        <v>0.1</v>
      </c>
      <c r="K3992" s="335"/>
      <c r="L3992" s="330">
        <f>J3992*L3991</f>
        <v>5109.0230000000001</v>
      </c>
    </row>
    <row r="3993" spans="5:13" ht="15" customHeight="1" thickBot="1">
      <c r="F3993" s="340" t="s">
        <v>197</v>
      </c>
      <c r="G3993" s="341" t="s">
        <v>198</v>
      </c>
      <c r="H3993" s="318"/>
      <c r="I3993" s="318"/>
      <c r="J3993" s="342"/>
      <c r="K3993" s="320">
        <v>0</v>
      </c>
      <c r="L3993" s="321">
        <f>ROUNDDOWN(L3991+L3992,0)</f>
        <v>56199</v>
      </c>
    </row>
    <row r="3994" spans="5:13" ht="15" customHeight="1">
      <c r="F3994" s="298"/>
      <c r="G3994" s="298"/>
      <c r="J3994" s="343"/>
    </row>
    <row r="3995" spans="5:13" ht="15" customHeight="1" thickBot="1">
      <c r="E3995" s="356" t="s">
        <v>810</v>
      </c>
      <c r="F3995" s="295" t="s">
        <v>811</v>
      </c>
      <c r="J3995" s="343"/>
      <c r="M3995" s="299">
        <f>L4013</f>
        <v>56362</v>
      </c>
    </row>
    <row r="3996" spans="5:13" ht="15" customHeight="1" thickBot="1">
      <c r="F3996" s="340" t="s">
        <v>136</v>
      </c>
      <c r="G3996" s="341" t="s">
        <v>162</v>
      </c>
      <c r="H3996" s="352" t="s">
        <v>163</v>
      </c>
      <c r="I3996" s="352" t="s">
        <v>138</v>
      </c>
      <c r="J3996" s="353" t="s">
        <v>164</v>
      </c>
      <c r="K3996" s="341" t="s">
        <v>165</v>
      </c>
      <c r="L3996" s="354" t="s">
        <v>166</v>
      </c>
    </row>
    <row r="3997" spans="5:13" ht="15" customHeight="1">
      <c r="F3997" s="300" t="s">
        <v>167</v>
      </c>
      <c r="G3997" s="301" t="s">
        <v>168</v>
      </c>
      <c r="H3997" s="302"/>
      <c r="I3997" s="302"/>
      <c r="J3997" s="351"/>
      <c r="K3997" s="328"/>
      <c r="L3997" s="310"/>
    </row>
    <row r="3998" spans="5:13" ht="15" customHeight="1">
      <c r="F3998" s="306"/>
      <c r="G3998" s="301" t="s">
        <v>169</v>
      </c>
      <c r="H3998" s="307" t="s">
        <v>170</v>
      </c>
      <c r="I3998" s="307" t="s">
        <v>171</v>
      </c>
      <c r="J3998" s="308">
        <v>0.09</v>
      </c>
      <c r="K3998" s="309">
        <f>VLOOKUP(G3998,Upah,8,FALSE)</f>
        <v>125000</v>
      </c>
      <c r="L3998" s="310">
        <f>J3998*K3998</f>
        <v>11250</v>
      </c>
    </row>
    <row r="3999" spans="5:13" ht="15" customHeight="1">
      <c r="F3999" s="306"/>
      <c r="G3999" s="301" t="s">
        <v>308</v>
      </c>
      <c r="H3999" s="307" t="s">
        <v>175</v>
      </c>
      <c r="I3999" s="307" t="s">
        <v>171</v>
      </c>
      <c r="J3999" s="308">
        <v>0.09</v>
      </c>
      <c r="K3999" s="309">
        <f>VLOOKUP(G3999,Upah,8,FALSE)</f>
        <v>150000</v>
      </c>
      <c r="L3999" s="310">
        <f>J3999*K3999</f>
        <v>13500</v>
      </c>
    </row>
    <row r="4000" spans="5:13" ht="15" customHeight="1">
      <c r="F4000" s="306"/>
      <c r="G4000" s="301" t="s">
        <v>232</v>
      </c>
      <c r="H4000" s="307" t="s">
        <v>175</v>
      </c>
      <c r="I4000" s="307" t="s">
        <v>171</v>
      </c>
      <c r="J4000" s="308">
        <v>8.9999999999999993E-3</v>
      </c>
      <c r="K4000" s="309">
        <f>VLOOKUP(G4000,Upah,8,FALSE)</f>
        <v>165000</v>
      </c>
      <c r="L4000" s="310">
        <f>J4000*K4000</f>
        <v>1485</v>
      </c>
    </row>
    <row r="4001" spans="5:13" ht="15" customHeight="1" thickBot="1">
      <c r="F4001" s="306"/>
      <c r="G4001" s="301" t="s">
        <v>176</v>
      </c>
      <c r="H4001" s="307" t="s">
        <v>177</v>
      </c>
      <c r="I4001" s="307" t="s">
        <v>171</v>
      </c>
      <c r="J4001" s="308">
        <v>5.0000000000000001E-3</v>
      </c>
      <c r="K4001" s="309">
        <f>VLOOKUP(G4001,Upah,8,FALSE)</f>
        <v>170000</v>
      </c>
      <c r="L4001" s="310">
        <f>J4001*K4001</f>
        <v>850</v>
      </c>
    </row>
    <row r="4002" spans="5:13" ht="15" customHeight="1" thickBot="1">
      <c r="F4002" s="316"/>
      <c r="G4002" s="317"/>
      <c r="H4002" s="318"/>
      <c r="I4002" s="318"/>
      <c r="J4002" s="319" t="s">
        <v>178</v>
      </c>
      <c r="K4002" s="320"/>
      <c r="L4002" s="321">
        <f>SUM(L3998:L4001)</f>
        <v>27085</v>
      </c>
    </row>
    <row r="4003" spans="5:13" ht="15" customHeight="1">
      <c r="F4003" s="300" t="s">
        <v>179</v>
      </c>
      <c r="G4003" s="301" t="s">
        <v>180</v>
      </c>
      <c r="H4003" s="302"/>
      <c r="I4003" s="302"/>
      <c r="J4003" s="351"/>
      <c r="K4003" s="328"/>
      <c r="L4003" s="310"/>
    </row>
    <row r="4004" spans="5:13" ht="15" customHeight="1">
      <c r="F4004" s="306"/>
      <c r="G4004" s="301" t="s">
        <v>812</v>
      </c>
      <c r="H4004" s="302"/>
      <c r="I4004" s="307" t="s">
        <v>221</v>
      </c>
      <c r="J4004" s="308">
        <v>3.53</v>
      </c>
      <c r="K4004" s="328">
        <f>VLOOKUP(G4004,Bahan,6,FALSE)</f>
        <v>5950</v>
      </c>
      <c r="L4004" s="310">
        <f>J4004*K4004</f>
        <v>21003.5</v>
      </c>
    </row>
    <row r="4005" spans="5:13" ht="15" customHeight="1">
      <c r="F4005" s="306"/>
      <c r="G4005" s="301" t="s">
        <v>183</v>
      </c>
      <c r="H4005" s="302"/>
      <c r="I4005" s="307" t="s">
        <v>38</v>
      </c>
      <c r="J4005" s="308">
        <v>1.1399999999999999</v>
      </c>
      <c r="K4005" s="328">
        <f>VLOOKUP(G4005,Bahan,6,FALSE)</f>
        <v>1880</v>
      </c>
      <c r="L4005" s="310">
        <f>J4005*K4005</f>
        <v>2143.1999999999998</v>
      </c>
    </row>
    <row r="4006" spans="5:13" ht="15" customHeight="1">
      <c r="F4006" s="306"/>
      <c r="G4006" s="301" t="s">
        <v>758</v>
      </c>
      <c r="H4006" s="302"/>
      <c r="I4006" s="307" t="s">
        <v>45</v>
      </c>
      <c r="J4006" s="308">
        <v>0.1</v>
      </c>
      <c r="K4006" s="328">
        <f>VLOOKUP(G4006,Bahan,6,FALSE)</f>
        <v>2460</v>
      </c>
      <c r="L4006" s="310">
        <f>J4006*K4006</f>
        <v>246</v>
      </c>
    </row>
    <row r="4007" spans="5:13" ht="15" customHeight="1" thickBot="1">
      <c r="F4007" s="306"/>
      <c r="G4007" s="301" t="s">
        <v>296</v>
      </c>
      <c r="H4007" s="302"/>
      <c r="I4007" s="307" t="s">
        <v>292</v>
      </c>
      <c r="J4007" s="308">
        <v>3.0000000000000001E-3</v>
      </c>
      <c r="K4007" s="328">
        <f>VLOOKUP(G4007,Bahan,6,FALSE)</f>
        <v>253510</v>
      </c>
      <c r="L4007" s="310">
        <f>J4007*K4007</f>
        <v>760.53</v>
      </c>
    </row>
    <row r="4008" spans="5:13" ht="15" customHeight="1" thickBot="1">
      <c r="F4008" s="316"/>
      <c r="G4008" s="317"/>
      <c r="H4008" s="318"/>
      <c r="I4008" s="318"/>
      <c r="J4008" s="319" t="s">
        <v>189</v>
      </c>
      <c r="K4008" s="320"/>
      <c r="L4008" s="321">
        <f>SUM(L4004:L4007)</f>
        <v>24153.23</v>
      </c>
    </row>
    <row r="4009" spans="5:13" ht="15" customHeight="1" thickBot="1">
      <c r="F4009" s="300" t="s">
        <v>190</v>
      </c>
      <c r="G4009" s="301" t="s">
        <v>191</v>
      </c>
      <c r="H4009" s="302"/>
      <c r="I4009" s="302"/>
      <c r="J4009" s="351"/>
      <c r="K4009" s="328">
        <v>0</v>
      </c>
      <c r="L4009" s="310">
        <f>J4009*K4009</f>
        <v>0</v>
      </c>
    </row>
    <row r="4010" spans="5:13" ht="15" customHeight="1" thickBot="1">
      <c r="F4010" s="316"/>
      <c r="G4010" s="317"/>
      <c r="H4010" s="318"/>
      <c r="I4010" s="318"/>
      <c r="J4010" s="319" t="s">
        <v>192</v>
      </c>
      <c r="K4010" s="320"/>
      <c r="L4010" s="321">
        <f>L4009</f>
        <v>0</v>
      </c>
    </row>
    <row r="4011" spans="5:13" ht="15" customHeight="1">
      <c r="F4011" s="344" t="s">
        <v>193</v>
      </c>
      <c r="G4011" s="345" t="s">
        <v>194</v>
      </c>
      <c r="H4011" s="346"/>
      <c r="I4011" s="346"/>
      <c r="J4011" s="347"/>
      <c r="K4011" s="348">
        <v>0</v>
      </c>
      <c r="L4011" s="310">
        <f>SUM(L3998:L4010)/2</f>
        <v>51238.229999999996</v>
      </c>
    </row>
    <row r="4012" spans="5:13" ht="15" customHeight="1" thickBot="1">
      <c r="F4012" s="331" t="s">
        <v>195</v>
      </c>
      <c r="G4012" s="332" t="s">
        <v>196</v>
      </c>
      <c r="H4012" s="333"/>
      <c r="I4012" s="333"/>
      <c r="J4012" s="350">
        <v>0.1</v>
      </c>
      <c r="K4012" s="335"/>
      <c r="L4012" s="330">
        <f>J4012*L4011</f>
        <v>5123.8230000000003</v>
      </c>
    </row>
    <row r="4013" spans="5:13" ht="15" customHeight="1" thickBot="1">
      <c r="F4013" s="340" t="s">
        <v>197</v>
      </c>
      <c r="G4013" s="341" t="s">
        <v>198</v>
      </c>
      <c r="H4013" s="318"/>
      <c r="I4013" s="318"/>
      <c r="J4013" s="342"/>
      <c r="K4013" s="320">
        <v>0</v>
      </c>
      <c r="L4013" s="321">
        <f>ROUNDDOWN(L4011+L4012,0)</f>
        <v>56362</v>
      </c>
    </row>
    <row r="4014" spans="5:13" ht="15" customHeight="1">
      <c r="F4014" s="298"/>
      <c r="G4014" s="298"/>
      <c r="J4014" s="343"/>
    </row>
    <row r="4015" spans="5:13" ht="15" customHeight="1" thickBot="1">
      <c r="E4015" s="356" t="s">
        <v>813</v>
      </c>
      <c r="F4015" s="295" t="s">
        <v>814</v>
      </c>
      <c r="J4015" s="343"/>
      <c r="M4015" s="299">
        <f>L4033</f>
        <v>57744</v>
      </c>
    </row>
    <row r="4016" spans="5:13" ht="15" customHeight="1" thickBot="1">
      <c r="F4016" s="340" t="s">
        <v>136</v>
      </c>
      <c r="G4016" s="341" t="s">
        <v>162</v>
      </c>
      <c r="H4016" s="352" t="s">
        <v>163</v>
      </c>
      <c r="I4016" s="352" t="s">
        <v>138</v>
      </c>
      <c r="J4016" s="353" t="s">
        <v>164</v>
      </c>
      <c r="K4016" s="341" t="s">
        <v>165</v>
      </c>
      <c r="L4016" s="354" t="s">
        <v>166</v>
      </c>
    </row>
    <row r="4017" spans="6:12" ht="15" customHeight="1">
      <c r="F4017" s="300" t="s">
        <v>167</v>
      </c>
      <c r="G4017" s="301" t="s">
        <v>168</v>
      </c>
      <c r="H4017" s="302"/>
      <c r="I4017" s="302"/>
      <c r="J4017" s="351"/>
      <c r="K4017" s="328"/>
      <c r="L4017" s="310"/>
    </row>
    <row r="4018" spans="6:12" ht="15" customHeight="1">
      <c r="F4018" s="306"/>
      <c r="G4018" s="301" t="s">
        <v>169</v>
      </c>
      <c r="H4018" s="307" t="s">
        <v>170</v>
      </c>
      <c r="I4018" s="307" t="s">
        <v>171</v>
      </c>
      <c r="J4018" s="308">
        <v>0.09</v>
      </c>
      <c r="K4018" s="309">
        <f>VLOOKUP(G4018,Upah,8,FALSE)</f>
        <v>125000</v>
      </c>
      <c r="L4018" s="310">
        <f>J4018*K4018</f>
        <v>11250</v>
      </c>
    </row>
    <row r="4019" spans="6:12" ht="15" customHeight="1">
      <c r="F4019" s="306"/>
      <c r="G4019" s="301" t="s">
        <v>308</v>
      </c>
      <c r="H4019" s="307" t="s">
        <v>217</v>
      </c>
      <c r="I4019" s="307" t="s">
        <v>171</v>
      </c>
      <c r="J4019" s="308">
        <v>0.09</v>
      </c>
      <c r="K4019" s="309">
        <f>VLOOKUP(G4019,Upah,8,FALSE)</f>
        <v>150000</v>
      </c>
      <c r="L4019" s="310">
        <f>J4019*K4019</f>
        <v>13500</v>
      </c>
    </row>
    <row r="4020" spans="6:12" ht="15" customHeight="1">
      <c r="F4020" s="306"/>
      <c r="G4020" s="301" t="s">
        <v>232</v>
      </c>
      <c r="H4020" s="307" t="s">
        <v>175</v>
      </c>
      <c r="I4020" s="307" t="s">
        <v>171</v>
      </c>
      <c r="J4020" s="308">
        <v>8.9999999999999993E-3</v>
      </c>
      <c r="K4020" s="309">
        <f>VLOOKUP(G4020,Upah,8,FALSE)</f>
        <v>165000</v>
      </c>
      <c r="L4020" s="310">
        <f>J4020*K4020</f>
        <v>1485</v>
      </c>
    </row>
    <row r="4021" spans="6:12" ht="15" customHeight="1" thickBot="1">
      <c r="F4021" s="306"/>
      <c r="G4021" s="301" t="s">
        <v>176</v>
      </c>
      <c r="H4021" s="307" t="s">
        <v>177</v>
      </c>
      <c r="I4021" s="307" t="s">
        <v>171</v>
      </c>
      <c r="J4021" s="308">
        <v>5.0000000000000001E-3</v>
      </c>
      <c r="K4021" s="309">
        <f>VLOOKUP(G4021,Upah,8,FALSE)</f>
        <v>170000</v>
      </c>
      <c r="L4021" s="310">
        <f>J4021*K4021</f>
        <v>850</v>
      </c>
    </row>
    <row r="4022" spans="6:12" ht="15" customHeight="1" thickBot="1">
      <c r="F4022" s="316"/>
      <c r="G4022" s="317"/>
      <c r="H4022" s="318"/>
      <c r="I4022" s="318"/>
      <c r="J4022" s="319" t="s">
        <v>178</v>
      </c>
      <c r="K4022" s="320"/>
      <c r="L4022" s="321">
        <f>SUM(L4018:L4021)</f>
        <v>27085</v>
      </c>
    </row>
    <row r="4023" spans="6:12" ht="15" customHeight="1">
      <c r="F4023" s="300" t="s">
        <v>179</v>
      </c>
      <c r="G4023" s="301" t="s">
        <v>180</v>
      </c>
      <c r="H4023" s="302"/>
      <c r="I4023" s="302"/>
      <c r="J4023" s="351"/>
      <c r="K4023" s="328"/>
      <c r="L4023" s="310"/>
    </row>
    <row r="4024" spans="6:12" ht="15" customHeight="1">
      <c r="F4024" s="306"/>
      <c r="G4024" s="301" t="s">
        <v>815</v>
      </c>
      <c r="H4024" s="302"/>
      <c r="I4024" s="307" t="s">
        <v>221</v>
      </c>
      <c r="J4024" s="308">
        <v>2.65</v>
      </c>
      <c r="K4024" s="328">
        <f>VLOOKUP(G4024,Bahan,6,FALSE)</f>
        <v>8400</v>
      </c>
      <c r="L4024" s="310">
        <f>J4024*K4024</f>
        <v>22260</v>
      </c>
    </row>
    <row r="4025" spans="6:12" ht="15" customHeight="1">
      <c r="F4025" s="306"/>
      <c r="G4025" s="301" t="s">
        <v>183</v>
      </c>
      <c r="H4025" s="302"/>
      <c r="I4025" s="307" t="s">
        <v>38</v>
      </c>
      <c r="J4025" s="308">
        <v>1.1399999999999999</v>
      </c>
      <c r="K4025" s="328">
        <f>VLOOKUP(G4025,Bahan,6,FALSE)</f>
        <v>1880</v>
      </c>
      <c r="L4025" s="310">
        <f>J4025*K4025</f>
        <v>2143.1999999999998</v>
      </c>
    </row>
    <row r="4026" spans="6:12" ht="15" customHeight="1">
      <c r="F4026" s="306"/>
      <c r="G4026" s="301" t="s">
        <v>758</v>
      </c>
      <c r="H4026" s="302"/>
      <c r="I4026" s="307" t="s">
        <v>45</v>
      </c>
      <c r="J4026" s="308">
        <v>0.1</v>
      </c>
      <c r="K4026" s="328">
        <f>VLOOKUP(G4026,Bahan,6,FALSE)</f>
        <v>2460</v>
      </c>
      <c r="L4026" s="310">
        <f>J4026*K4026</f>
        <v>246</v>
      </c>
    </row>
    <row r="4027" spans="6:12" ht="15" customHeight="1" thickBot="1">
      <c r="F4027" s="306"/>
      <c r="G4027" s="301" t="s">
        <v>296</v>
      </c>
      <c r="H4027" s="302"/>
      <c r="I4027" s="307" t="s">
        <v>292</v>
      </c>
      <c r="J4027" s="308">
        <v>3.0000000000000001E-3</v>
      </c>
      <c r="K4027" s="328">
        <f>VLOOKUP(G4027,Bahan,6,FALSE)</f>
        <v>253510</v>
      </c>
      <c r="L4027" s="310">
        <f>J4027*K4027</f>
        <v>760.53</v>
      </c>
    </row>
    <row r="4028" spans="6:12" ht="15" customHeight="1" thickBot="1">
      <c r="F4028" s="316"/>
      <c r="G4028" s="317"/>
      <c r="H4028" s="318"/>
      <c r="I4028" s="318"/>
      <c r="J4028" s="319" t="s">
        <v>189</v>
      </c>
      <c r="K4028" s="320"/>
      <c r="L4028" s="321">
        <f>SUM(L4024:L4027)</f>
        <v>25409.73</v>
      </c>
    </row>
    <row r="4029" spans="6:12" ht="15" customHeight="1" thickBot="1">
      <c r="F4029" s="300" t="s">
        <v>190</v>
      </c>
      <c r="G4029" s="301" t="s">
        <v>191</v>
      </c>
      <c r="H4029" s="302"/>
      <c r="I4029" s="302"/>
      <c r="J4029" s="351"/>
      <c r="K4029" s="328">
        <v>0</v>
      </c>
      <c r="L4029" s="310">
        <f>J4029*K4029</f>
        <v>0</v>
      </c>
    </row>
    <row r="4030" spans="6:12" ht="15" customHeight="1" thickBot="1">
      <c r="F4030" s="316"/>
      <c r="G4030" s="317"/>
      <c r="H4030" s="318"/>
      <c r="I4030" s="318"/>
      <c r="J4030" s="319" t="s">
        <v>192</v>
      </c>
      <c r="K4030" s="320"/>
      <c r="L4030" s="321">
        <f>L4029</f>
        <v>0</v>
      </c>
    </row>
    <row r="4031" spans="6:12" ht="15" customHeight="1">
      <c r="F4031" s="344" t="s">
        <v>193</v>
      </c>
      <c r="G4031" s="345" t="s">
        <v>194</v>
      </c>
      <c r="H4031" s="346"/>
      <c r="I4031" s="346"/>
      <c r="J4031" s="347"/>
      <c r="K4031" s="348">
        <v>0</v>
      </c>
      <c r="L4031" s="310">
        <f>SUM(L4018:L4030)/2</f>
        <v>52494.729999999996</v>
      </c>
    </row>
    <row r="4032" spans="6:12" ht="15" customHeight="1" thickBot="1">
      <c r="F4032" s="331" t="s">
        <v>195</v>
      </c>
      <c r="G4032" s="332" t="s">
        <v>196</v>
      </c>
      <c r="H4032" s="333"/>
      <c r="I4032" s="333"/>
      <c r="J4032" s="350">
        <v>0.1</v>
      </c>
      <c r="K4032" s="335"/>
      <c r="L4032" s="330">
        <f>J4032*L4031</f>
        <v>5249.473</v>
      </c>
    </row>
    <row r="4033" spans="5:13" ht="15" customHeight="1" thickBot="1">
      <c r="F4033" s="340" t="s">
        <v>197</v>
      </c>
      <c r="G4033" s="341" t="s">
        <v>198</v>
      </c>
      <c r="H4033" s="318"/>
      <c r="I4033" s="318"/>
      <c r="J4033" s="342"/>
      <c r="K4033" s="320">
        <v>0</v>
      </c>
      <c r="L4033" s="321">
        <f>ROUNDDOWN(L4031+L4032,0)</f>
        <v>57744</v>
      </c>
    </row>
    <row r="4034" spans="5:13" ht="15" customHeight="1">
      <c r="F4034" s="298"/>
      <c r="G4034" s="298"/>
      <c r="J4034" s="343"/>
    </row>
    <row r="4035" spans="5:13" ht="15" customHeight="1" thickBot="1">
      <c r="E4035" s="356" t="s">
        <v>816</v>
      </c>
      <c r="F4035" s="295" t="s">
        <v>817</v>
      </c>
      <c r="J4035" s="343"/>
      <c r="M4035" s="299">
        <f>L4053</f>
        <v>85086</v>
      </c>
    </row>
    <row r="4036" spans="5:13" ht="15" customHeight="1" thickBot="1">
      <c r="F4036" s="340" t="s">
        <v>136</v>
      </c>
      <c r="G4036" s="341" t="s">
        <v>162</v>
      </c>
      <c r="H4036" s="352" t="s">
        <v>163</v>
      </c>
      <c r="I4036" s="352" t="s">
        <v>138</v>
      </c>
      <c r="J4036" s="353" t="s">
        <v>164</v>
      </c>
      <c r="K4036" s="341" t="s">
        <v>165</v>
      </c>
      <c r="L4036" s="354" t="s">
        <v>166</v>
      </c>
    </row>
    <row r="4037" spans="5:13" ht="15" customHeight="1">
      <c r="F4037" s="300" t="s">
        <v>167</v>
      </c>
      <c r="G4037" s="301" t="s">
        <v>168</v>
      </c>
      <c r="H4037" s="302"/>
      <c r="I4037" s="302"/>
      <c r="J4037" s="351"/>
      <c r="K4037" s="328"/>
      <c r="L4037" s="310"/>
    </row>
    <row r="4038" spans="5:13" ht="15" customHeight="1">
      <c r="F4038" s="306"/>
      <c r="G4038" s="301" t="s">
        <v>169</v>
      </c>
      <c r="H4038" s="307" t="s">
        <v>170</v>
      </c>
      <c r="I4038" s="307" t="s">
        <v>171</v>
      </c>
      <c r="J4038" s="308">
        <v>0.09</v>
      </c>
      <c r="K4038" s="309">
        <f>VLOOKUP(G4038,Upah,8,FALSE)</f>
        <v>125000</v>
      </c>
      <c r="L4038" s="310">
        <f>J4038*K4038</f>
        <v>11250</v>
      </c>
    </row>
    <row r="4039" spans="5:13" ht="15" customHeight="1">
      <c r="F4039" s="306"/>
      <c r="G4039" s="301" t="s">
        <v>308</v>
      </c>
      <c r="H4039" s="307" t="s">
        <v>217</v>
      </c>
      <c r="I4039" s="307" t="s">
        <v>171</v>
      </c>
      <c r="J4039" s="308">
        <v>0.09</v>
      </c>
      <c r="K4039" s="309">
        <f>VLOOKUP(G4039,Upah,8,FALSE)</f>
        <v>150000</v>
      </c>
      <c r="L4039" s="310">
        <f>J4039*K4039</f>
        <v>13500</v>
      </c>
    </row>
    <row r="4040" spans="5:13" ht="15" customHeight="1">
      <c r="F4040" s="306"/>
      <c r="G4040" s="301" t="s">
        <v>232</v>
      </c>
      <c r="H4040" s="307" t="s">
        <v>175</v>
      </c>
      <c r="I4040" s="307" t="s">
        <v>171</v>
      </c>
      <c r="J4040" s="308">
        <v>8.9999999999999993E-3</v>
      </c>
      <c r="K4040" s="309">
        <f>VLOOKUP(G4040,Upah,8,FALSE)</f>
        <v>165000</v>
      </c>
      <c r="L4040" s="310">
        <f>J4040*K4040</f>
        <v>1485</v>
      </c>
    </row>
    <row r="4041" spans="5:13" ht="15" customHeight="1" thickBot="1">
      <c r="F4041" s="306"/>
      <c r="G4041" s="301" t="s">
        <v>176</v>
      </c>
      <c r="H4041" s="307" t="s">
        <v>177</v>
      </c>
      <c r="I4041" s="307" t="s">
        <v>171</v>
      </c>
      <c r="J4041" s="308">
        <v>5.0000000000000001E-3</v>
      </c>
      <c r="K4041" s="309">
        <f>VLOOKUP(G4041,Upah,8,FALSE)</f>
        <v>170000</v>
      </c>
      <c r="L4041" s="310">
        <f>J4041*K4041</f>
        <v>850</v>
      </c>
    </row>
    <row r="4042" spans="5:13" ht="15" customHeight="1" thickBot="1">
      <c r="F4042" s="316"/>
      <c r="G4042" s="317"/>
      <c r="H4042" s="318"/>
      <c r="I4042" s="318"/>
      <c r="J4042" s="319" t="s">
        <v>178</v>
      </c>
      <c r="K4042" s="320"/>
      <c r="L4042" s="321">
        <f>SUM(L4038:L4041)</f>
        <v>27085</v>
      </c>
    </row>
    <row r="4043" spans="5:13" ht="15" customHeight="1">
      <c r="F4043" s="300" t="s">
        <v>179</v>
      </c>
      <c r="G4043" s="301" t="s">
        <v>180</v>
      </c>
      <c r="H4043" s="302"/>
      <c r="I4043" s="302"/>
      <c r="J4043" s="351"/>
      <c r="K4043" s="328"/>
      <c r="L4043" s="310"/>
    </row>
    <row r="4044" spans="5:13" ht="15" customHeight="1">
      <c r="F4044" s="306"/>
      <c r="G4044" s="301" t="s">
        <v>818</v>
      </c>
      <c r="H4044" s="302"/>
      <c r="I4044" s="307" t="s">
        <v>221</v>
      </c>
      <c r="J4044" s="308">
        <v>2.65</v>
      </c>
      <c r="K4044" s="328">
        <f>VLOOKUP(G4044,Bahan,6,FALSE)</f>
        <v>17780</v>
      </c>
      <c r="L4044" s="310">
        <f>J4044*K4044</f>
        <v>47117</v>
      </c>
    </row>
    <row r="4045" spans="5:13" ht="15" customHeight="1">
      <c r="F4045" s="306"/>
      <c r="G4045" s="301" t="s">
        <v>183</v>
      </c>
      <c r="H4045" s="302"/>
      <c r="I4045" s="307" t="s">
        <v>38</v>
      </c>
      <c r="J4045" s="308">
        <v>1.1399999999999999</v>
      </c>
      <c r="K4045" s="328">
        <f>VLOOKUP(G4045,Bahan,6,FALSE)</f>
        <v>1880</v>
      </c>
      <c r="L4045" s="310">
        <f>J4045*K4045</f>
        <v>2143.1999999999998</v>
      </c>
    </row>
    <row r="4046" spans="5:13" ht="15" customHeight="1">
      <c r="F4046" s="306"/>
      <c r="G4046" s="301" t="s">
        <v>758</v>
      </c>
      <c r="H4046" s="302"/>
      <c r="I4046" s="307" t="s">
        <v>45</v>
      </c>
      <c r="J4046" s="308">
        <v>0.1</v>
      </c>
      <c r="K4046" s="328">
        <f>VLOOKUP(G4046,Bahan,6,FALSE)</f>
        <v>2460</v>
      </c>
      <c r="L4046" s="310">
        <f>J4046*K4046</f>
        <v>246</v>
      </c>
    </row>
    <row r="4047" spans="5:13" ht="15" customHeight="1" thickBot="1">
      <c r="F4047" s="306"/>
      <c r="G4047" s="301" t="s">
        <v>296</v>
      </c>
      <c r="H4047" s="302"/>
      <c r="I4047" s="307" t="s">
        <v>292</v>
      </c>
      <c r="J4047" s="308">
        <v>3.0000000000000001E-3</v>
      </c>
      <c r="K4047" s="328">
        <f>VLOOKUP(G4047,Bahan,6,FALSE)</f>
        <v>253510</v>
      </c>
      <c r="L4047" s="310">
        <f>J4047*K4047</f>
        <v>760.53</v>
      </c>
    </row>
    <row r="4048" spans="5:13" ht="15" customHeight="1" thickBot="1">
      <c r="F4048" s="316"/>
      <c r="G4048" s="317"/>
      <c r="H4048" s="318"/>
      <c r="I4048" s="318"/>
      <c r="J4048" s="319" t="s">
        <v>189</v>
      </c>
      <c r="K4048" s="320"/>
      <c r="L4048" s="321">
        <f>SUM(L4044:L4047)</f>
        <v>50266.729999999996</v>
      </c>
    </row>
    <row r="4049" spans="5:13" ht="15" customHeight="1" thickBot="1">
      <c r="F4049" s="300" t="s">
        <v>190</v>
      </c>
      <c r="G4049" s="301" t="s">
        <v>191</v>
      </c>
      <c r="H4049" s="302"/>
      <c r="I4049" s="302"/>
      <c r="J4049" s="351"/>
      <c r="K4049" s="328">
        <v>0</v>
      </c>
      <c r="L4049" s="310">
        <f>J4049*K4049</f>
        <v>0</v>
      </c>
    </row>
    <row r="4050" spans="5:13" ht="15" customHeight="1" thickBot="1">
      <c r="F4050" s="316"/>
      <c r="G4050" s="317"/>
      <c r="H4050" s="318"/>
      <c r="I4050" s="318"/>
      <c r="J4050" s="319" t="s">
        <v>192</v>
      </c>
      <c r="K4050" s="320"/>
      <c r="L4050" s="321">
        <f>L4049</f>
        <v>0</v>
      </c>
    </row>
    <row r="4051" spans="5:13" ht="15" customHeight="1">
      <c r="F4051" s="344" t="s">
        <v>193</v>
      </c>
      <c r="G4051" s="345" t="s">
        <v>194</v>
      </c>
      <c r="H4051" s="346"/>
      <c r="I4051" s="346"/>
      <c r="J4051" s="347"/>
      <c r="K4051" s="348">
        <v>0</v>
      </c>
      <c r="L4051" s="310">
        <f>SUM(L4038:L4050)/2</f>
        <v>77351.73</v>
      </c>
    </row>
    <row r="4052" spans="5:13" ht="15" customHeight="1" thickBot="1">
      <c r="F4052" s="331" t="s">
        <v>195</v>
      </c>
      <c r="G4052" s="332" t="s">
        <v>196</v>
      </c>
      <c r="H4052" s="333"/>
      <c r="I4052" s="333"/>
      <c r="J4052" s="350">
        <v>0.1</v>
      </c>
      <c r="K4052" s="335"/>
      <c r="L4052" s="330">
        <f>J4052*L4051</f>
        <v>7735.1729999999998</v>
      </c>
    </row>
    <row r="4053" spans="5:13" ht="15" customHeight="1" thickBot="1">
      <c r="F4053" s="340" t="s">
        <v>197</v>
      </c>
      <c r="G4053" s="341" t="s">
        <v>198</v>
      </c>
      <c r="H4053" s="318"/>
      <c r="I4053" s="318"/>
      <c r="J4053" s="342"/>
      <c r="K4053" s="320">
        <v>0</v>
      </c>
      <c r="L4053" s="321">
        <f>ROUNDDOWN(L4051+L4052,0)</f>
        <v>85086</v>
      </c>
    </row>
    <row r="4054" spans="5:13" ht="15" customHeight="1">
      <c r="F4054" s="298"/>
      <c r="G4054" s="298"/>
      <c r="J4054" s="343"/>
    </row>
    <row r="4055" spans="5:13" ht="15" customHeight="1" thickBot="1">
      <c r="E4055" s="356" t="s">
        <v>819</v>
      </c>
      <c r="F4055" s="295" t="s">
        <v>820</v>
      </c>
      <c r="J4055" s="343"/>
      <c r="M4055" s="299">
        <f>L4073</f>
        <v>94337</v>
      </c>
    </row>
    <row r="4056" spans="5:13" ht="15" customHeight="1" thickBot="1">
      <c r="F4056" s="340" t="s">
        <v>136</v>
      </c>
      <c r="G4056" s="341" t="s">
        <v>162</v>
      </c>
      <c r="H4056" s="352" t="s">
        <v>163</v>
      </c>
      <c r="I4056" s="352" t="s">
        <v>138</v>
      </c>
      <c r="J4056" s="353" t="s">
        <v>164</v>
      </c>
      <c r="K4056" s="341" t="s">
        <v>165</v>
      </c>
      <c r="L4056" s="354" t="s">
        <v>166</v>
      </c>
    </row>
    <row r="4057" spans="5:13" ht="15" customHeight="1">
      <c r="F4057" s="300" t="s">
        <v>167</v>
      </c>
      <c r="G4057" s="301" t="s">
        <v>168</v>
      </c>
      <c r="H4057" s="302"/>
      <c r="I4057" s="302"/>
      <c r="J4057" s="351"/>
      <c r="K4057" s="328"/>
      <c r="L4057" s="310"/>
    </row>
    <row r="4058" spans="5:13" ht="15" customHeight="1">
      <c r="F4058" s="306"/>
      <c r="G4058" s="301" t="s">
        <v>169</v>
      </c>
      <c r="H4058" s="307" t="s">
        <v>170</v>
      </c>
      <c r="I4058" s="307" t="s">
        <v>171</v>
      </c>
      <c r="J4058" s="308">
        <v>0.09</v>
      </c>
      <c r="K4058" s="309">
        <f>VLOOKUP(G4058,Upah,8,FALSE)</f>
        <v>125000</v>
      </c>
      <c r="L4058" s="310">
        <f>J4058*K4058</f>
        <v>11250</v>
      </c>
    </row>
    <row r="4059" spans="5:13" ht="15" customHeight="1">
      <c r="F4059" s="306"/>
      <c r="G4059" s="301" t="s">
        <v>308</v>
      </c>
      <c r="H4059" s="307" t="s">
        <v>217</v>
      </c>
      <c r="I4059" s="307" t="s">
        <v>171</v>
      </c>
      <c r="J4059" s="308">
        <v>0.09</v>
      </c>
      <c r="K4059" s="309">
        <f>VLOOKUP(G4059,Upah,8,FALSE)</f>
        <v>150000</v>
      </c>
      <c r="L4059" s="310">
        <f>J4059*K4059</f>
        <v>13500</v>
      </c>
    </row>
    <row r="4060" spans="5:13" ht="15" customHeight="1">
      <c r="F4060" s="306"/>
      <c r="G4060" s="301" t="s">
        <v>232</v>
      </c>
      <c r="H4060" s="307" t="s">
        <v>175</v>
      </c>
      <c r="I4060" s="307" t="s">
        <v>171</v>
      </c>
      <c r="J4060" s="308">
        <v>8.9999999999999993E-3</v>
      </c>
      <c r="K4060" s="309">
        <f>VLOOKUP(G4060,Upah,8,FALSE)</f>
        <v>165000</v>
      </c>
      <c r="L4060" s="310">
        <f>J4060*K4060</f>
        <v>1485</v>
      </c>
    </row>
    <row r="4061" spans="5:13" ht="15" customHeight="1" thickBot="1">
      <c r="F4061" s="306"/>
      <c r="G4061" s="301" t="s">
        <v>176</v>
      </c>
      <c r="H4061" s="307" t="s">
        <v>177</v>
      </c>
      <c r="I4061" s="307" t="s">
        <v>171</v>
      </c>
      <c r="J4061" s="308">
        <v>5.0000000000000001E-3</v>
      </c>
      <c r="K4061" s="309">
        <f>VLOOKUP(G4061,Upah,8,FALSE)</f>
        <v>170000</v>
      </c>
      <c r="L4061" s="310">
        <f>J4061*K4061</f>
        <v>850</v>
      </c>
    </row>
    <row r="4062" spans="5:13" ht="15" customHeight="1" thickBot="1">
      <c r="F4062" s="316"/>
      <c r="G4062" s="317"/>
      <c r="H4062" s="318"/>
      <c r="I4062" s="318"/>
      <c r="J4062" s="319" t="s">
        <v>178</v>
      </c>
      <c r="K4062" s="320"/>
      <c r="L4062" s="321">
        <f>SUM(L4058:L4061)</f>
        <v>27085</v>
      </c>
    </row>
    <row r="4063" spans="5:13" ht="15" customHeight="1">
      <c r="F4063" s="300" t="s">
        <v>179</v>
      </c>
      <c r="G4063" s="301" t="s">
        <v>180</v>
      </c>
      <c r="H4063" s="302"/>
      <c r="I4063" s="302"/>
      <c r="J4063" s="351"/>
      <c r="K4063" s="328"/>
      <c r="L4063" s="310"/>
    </row>
    <row r="4064" spans="5:13" ht="15" customHeight="1">
      <c r="F4064" s="306"/>
      <c r="G4064" s="301" t="s">
        <v>821</v>
      </c>
      <c r="H4064" s="302"/>
      <c r="I4064" s="307" t="s">
        <v>221</v>
      </c>
      <c r="J4064" s="308">
        <v>3.53</v>
      </c>
      <c r="K4064" s="328">
        <f>VLOOKUP(G4064,Bahan,6,FALSE)</f>
        <v>15730</v>
      </c>
      <c r="L4064" s="310">
        <f>J4064*K4064</f>
        <v>55526.899999999994</v>
      </c>
    </row>
    <row r="4065" spans="5:13" ht="15" customHeight="1">
      <c r="F4065" s="306"/>
      <c r="G4065" s="301" t="s">
        <v>183</v>
      </c>
      <c r="H4065" s="302"/>
      <c r="I4065" s="307" t="s">
        <v>38</v>
      </c>
      <c r="J4065" s="308">
        <v>1.1399999999999999</v>
      </c>
      <c r="K4065" s="328">
        <f>VLOOKUP(G4065,Bahan,6,FALSE)</f>
        <v>1880</v>
      </c>
      <c r="L4065" s="310">
        <f>J4065*K4065</f>
        <v>2143.1999999999998</v>
      </c>
    </row>
    <row r="4066" spans="5:13" ht="15" customHeight="1">
      <c r="F4066" s="306"/>
      <c r="G4066" s="301" t="s">
        <v>758</v>
      </c>
      <c r="H4066" s="302"/>
      <c r="I4066" s="307" t="s">
        <v>45</v>
      </c>
      <c r="J4066" s="308">
        <v>0.1</v>
      </c>
      <c r="K4066" s="328">
        <f>VLOOKUP(G4066,Bahan,6,FALSE)</f>
        <v>2460</v>
      </c>
      <c r="L4066" s="310">
        <f>J4066*K4066</f>
        <v>246</v>
      </c>
    </row>
    <row r="4067" spans="5:13" ht="15" customHeight="1" thickBot="1">
      <c r="F4067" s="306"/>
      <c r="G4067" s="301" t="s">
        <v>296</v>
      </c>
      <c r="H4067" s="302"/>
      <c r="I4067" s="307" t="s">
        <v>292</v>
      </c>
      <c r="J4067" s="308">
        <v>3.0000000000000001E-3</v>
      </c>
      <c r="K4067" s="328">
        <f>VLOOKUP(G4067,Bahan,6,FALSE)</f>
        <v>253510</v>
      </c>
      <c r="L4067" s="310">
        <f>J4067*K4067</f>
        <v>760.53</v>
      </c>
    </row>
    <row r="4068" spans="5:13" ht="15" customHeight="1" thickBot="1">
      <c r="F4068" s="316"/>
      <c r="G4068" s="317"/>
      <c r="H4068" s="318"/>
      <c r="I4068" s="318"/>
      <c r="J4068" s="319" t="s">
        <v>189</v>
      </c>
      <c r="K4068" s="320"/>
      <c r="L4068" s="321">
        <f>SUM(L4064:L4067)</f>
        <v>58676.62999999999</v>
      </c>
    </row>
    <row r="4069" spans="5:13" ht="15" customHeight="1" thickBot="1">
      <c r="F4069" s="300" t="s">
        <v>190</v>
      </c>
      <c r="G4069" s="301" t="s">
        <v>191</v>
      </c>
      <c r="H4069" s="302"/>
      <c r="I4069" s="302"/>
      <c r="J4069" s="351"/>
      <c r="K4069" s="328">
        <v>0</v>
      </c>
      <c r="L4069" s="310">
        <f>J4069*K4069</f>
        <v>0</v>
      </c>
    </row>
    <row r="4070" spans="5:13" ht="15" customHeight="1" thickBot="1">
      <c r="F4070" s="316"/>
      <c r="G4070" s="317"/>
      <c r="H4070" s="318"/>
      <c r="I4070" s="318"/>
      <c r="J4070" s="319" t="s">
        <v>192</v>
      </c>
      <c r="K4070" s="320"/>
      <c r="L4070" s="321">
        <f>L4069</f>
        <v>0</v>
      </c>
    </row>
    <row r="4071" spans="5:13" ht="15" customHeight="1">
      <c r="F4071" s="344" t="s">
        <v>193</v>
      </c>
      <c r="G4071" s="345" t="s">
        <v>194</v>
      </c>
      <c r="H4071" s="346"/>
      <c r="I4071" s="346"/>
      <c r="J4071" s="347"/>
      <c r="K4071" s="348">
        <v>0</v>
      </c>
      <c r="L4071" s="310">
        <f>SUM(L4058:L4070)/2</f>
        <v>85761.62999999999</v>
      </c>
    </row>
    <row r="4072" spans="5:13" ht="15" customHeight="1" thickBot="1">
      <c r="F4072" s="331" t="s">
        <v>195</v>
      </c>
      <c r="G4072" s="332" t="s">
        <v>196</v>
      </c>
      <c r="H4072" s="333"/>
      <c r="I4072" s="333"/>
      <c r="J4072" s="350">
        <v>0.1</v>
      </c>
      <c r="K4072" s="335"/>
      <c r="L4072" s="330">
        <f>J4072*L4071</f>
        <v>8576.1629999999986</v>
      </c>
    </row>
    <row r="4073" spans="5:13" ht="15" customHeight="1" thickBot="1">
      <c r="F4073" s="340" t="s">
        <v>197</v>
      </c>
      <c r="G4073" s="341" t="s">
        <v>198</v>
      </c>
      <c r="H4073" s="318"/>
      <c r="I4073" s="318"/>
      <c r="J4073" s="342"/>
      <c r="K4073" s="320">
        <v>0</v>
      </c>
      <c r="L4073" s="321">
        <f>ROUNDDOWN(L4071+L4072,0)</f>
        <v>94337</v>
      </c>
    </row>
    <row r="4074" spans="5:13" ht="15" customHeight="1">
      <c r="F4074" s="298"/>
      <c r="G4074" s="298"/>
      <c r="J4074" s="343"/>
    </row>
    <row r="4075" spans="5:13" ht="15" customHeight="1" thickBot="1">
      <c r="E4075" s="356" t="s">
        <v>822</v>
      </c>
      <c r="F4075" s="295" t="s">
        <v>823</v>
      </c>
      <c r="J4075" s="343"/>
      <c r="M4075" s="299">
        <f>L4093</f>
        <v>56749</v>
      </c>
    </row>
    <row r="4076" spans="5:13" ht="15" customHeight="1" thickBot="1">
      <c r="F4076" s="340" t="s">
        <v>136</v>
      </c>
      <c r="G4076" s="341" t="s">
        <v>162</v>
      </c>
      <c r="H4076" s="352" t="s">
        <v>163</v>
      </c>
      <c r="I4076" s="352" t="s">
        <v>138</v>
      </c>
      <c r="J4076" s="353" t="s">
        <v>164</v>
      </c>
      <c r="K4076" s="341" t="s">
        <v>165</v>
      </c>
      <c r="L4076" s="354" t="s">
        <v>166</v>
      </c>
    </row>
    <row r="4077" spans="5:13" ht="15" customHeight="1">
      <c r="F4077" s="300" t="s">
        <v>167</v>
      </c>
      <c r="G4077" s="301" t="s">
        <v>168</v>
      </c>
      <c r="H4077" s="302"/>
      <c r="I4077" s="302"/>
      <c r="J4077" s="351"/>
      <c r="K4077" s="328"/>
      <c r="L4077" s="310"/>
    </row>
    <row r="4078" spans="5:13" ht="15" customHeight="1">
      <c r="F4078" s="306"/>
      <c r="G4078" s="301" t="s">
        <v>169</v>
      </c>
      <c r="H4078" s="307" t="s">
        <v>170</v>
      </c>
      <c r="I4078" s="307" t="s">
        <v>171</v>
      </c>
      <c r="J4078" s="308">
        <v>0.09</v>
      </c>
      <c r="K4078" s="309">
        <f>VLOOKUP(G4078,Upah,8,FALSE)</f>
        <v>125000</v>
      </c>
      <c r="L4078" s="310">
        <f>J4078*K4078</f>
        <v>11250</v>
      </c>
    </row>
    <row r="4079" spans="5:13" ht="15" customHeight="1">
      <c r="F4079" s="306"/>
      <c r="G4079" s="301" t="s">
        <v>308</v>
      </c>
      <c r="H4079" s="307" t="s">
        <v>217</v>
      </c>
      <c r="I4079" s="307" t="s">
        <v>171</v>
      </c>
      <c r="J4079" s="308">
        <v>0.09</v>
      </c>
      <c r="K4079" s="309">
        <f>VLOOKUP(G4079,Upah,8,FALSE)</f>
        <v>150000</v>
      </c>
      <c r="L4079" s="310">
        <f>J4079*K4079</f>
        <v>13500</v>
      </c>
    </row>
    <row r="4080" spans="5:13" ht="15" customHeight="1">
      <c r="F4080" s="306"/>
      <c r="G4080" s="301" t="s">
        <v>232</v>
      </c>
      <c r="H4080" s="307" t="s">
        <v>175</v>
      </c>
      <c r="I4080" s="307" t="s">
        <v>171</v>
      </c>
      <c r="J4080" s="308">
        <v>8.9999999999999993E-3</v>
      </c>
      <c r="K4080" s="309">
        <f>VLOOKUP(G4080,Upah,8,FALSE)</f>
        <v>165000</v>
      </c>
      <c r="L4080" s="310">
        <f>J4080*K4080</f>
        <v>1485</v>
      </c>
    </row>
    <row r="4081" spans="5:13" ht="15" customHeight="1" thickBot="1">
      <c r="F4081" s="306"/>
      <c r="G4081" s="301" t="s">
        <v>176</v>
      </c>
      <c r="H4081" s="307" t="s">
        <v>177</v>
      </c>
      <c r="I4081" s="307" t="s">
        <v>171</v>
      </c>
      <c r="J4081" s="308">
        <v>5.0000000000000001E-3</v>
      </c>
      <c r="K4081" s="309">
        <f>VLOOKUP(G4081,Upah,8,FALSE)</f>
        <v>170000</v>
      </c>
      <c r="L4081" s="310">
        <f>J4081*K4081</f>
        <v>850</v>
      </c>
    </row>
    <row r="4082" spans="5:13" ht="15" customHeight="1" thickBot="1">
      <c r="F4082" s="316"/>
      <c r="G4082" s="317"/>
      <c r="H4082" s="318"/>
      <c r="I4082" s="318"/>
      <c r="J4082" s="319" t="s">
        <v>178</v>
      </c>
      <c r="K4082" s="320"/>
      <c r="L4082" s="321">
        <f>SUM(L4078:L4081)</f>
        <v>27085</v>
      </c>
    </row>
    <row r="4083" spans="5:13" ht="15" customHeight="1">
      <c r="F4083" s="300" t="s">
        <v>179</v>
      </c>
      <c r="G4083" s="301" t="s">
        <v>180</v>
      </c>
      <c r="H4083" s="302"/>
      <c r="I4083" s="302"/>
      <c r="J4083" s="351"/>
      <c r="K4083" s="328"/>
      <c r="L4083" s="310"/>
    </row>
    <row r="4084" spans="5:13" ht="15" customHeight="1">
      <c r="F4084" s="306"/>
      <c r="G4084" s="301" t="s">
        <v>824</v>
      </c>
      <c r="H4084" s="302"/>
      <c r="I4084" s="307" t="s">
        <v>221</v>
      </c>
      <c r="J4084" s="308">
        <v>2.63</v>
      </c>
      <c r="K4084" s="328">
        <f>VLOOKUP(G4084,Bahan,6,FALSE)</f>
        <v>8120</v>
      </c>
      <c r="L4084" s="310">
        <f>J4084*K4084</f>
        <v>21355.599999999999</v>
      </c>
    </row>
    <row r="4085" spans="5:13" ht="15" customHeight="1">
      <c r="F4085" s="306"/>
      <c r="G4085" s="301" t="s">
        <v>183</v>
      </c>
      <c r="H4085" s="302"/>
      <c r="I4085" s="307" t="s">
        <v>38</v>
      </c>
      <c r="J4085" s="308">
        <v>1.1399999999999999</v>
      </c>
      <c r="K4085" s="328">
        <f>VLOOKUP(G4085,Bahan,6,FALSE)</f>
        <v>1880</v>
      </c>
      <c r="L4085" s="310">
        <f>J4085*K4085</f>
        <v>2143.1999999999998</v>
      </c>
    </row>
    <row r="4086" spans="5:13" ht="15" customHeight="1">
      <c r="F4086" s="306"/>
      <c r="G4086" s="301" t="s">
        <v>758</v>
      </c>
      <c r="H4086" s="302"/>
      <c r="I4086" s="307" t="s">
        <v>45</v>
      </c>
      <c r="J4086" s="308">
        <v>0.1</v>
      </c>
      <c r="K4086" s="328">
        <f>VLOOKUP(G4086,Bahan,6,FALSE)</f>
        <v>2460</v>
      </c>
      <c r="L4086" s="310">
        <f>J4086*K4086</f>
        <v>246</v>
      </c>
    </row>
    <row r="4087" spans="5:13" ht="15" customHeight="1" thickBot="1">
      <c r="F4087" s="306"/>
      <c r="G4087" s="301" t="s">
        <v>296</v>
      </c>
      <c r="H4087" s="302"/>
      <c r="I4087" s="307" t="s">
        <v>292</v>
      </c>
      <c r="J4087" s="308">
        <v>3.0000000000000001E-3</v>
      </c>
      <c r="K4087" s="328">
        <f>VLOOKUP(G4087,Bahan,6,FALSE)</f>
        <v>253510</v>
      </c>
      <c r="L4087" s="310">
        <f>J4087*K4087</f>
        <v>760.53</v>
      </c>
    </row>
    <row r="4088" spans="5:13" ht="15" customHeight="1" thickBot="1">
      <c r="F4088" s="316"/>
      <c r="G4088" s="317"/>
      <c r="H4088" s="318"/>
      <c r="I4088" s="318"/>
      <c r="J4088" s="319" t="s">
        <v>189</v>
      </c>
      <c r="K4088" s="320"/>
      <c r="L4088" s="321">
        <f>SUM(L4084:L4087)</f>
        <v>24505.329999999998</v>
      </c>
    </row>
    <row r="4089" spans="5:13" ht="15" customHeight="1" thickBot="1">
      <c r="F4089" s="300" t="s">
        <v>190</v>
      </c>
      <c r="G4089" s="301" t="s">
        <v>191</v>
      </c>
      <c r="H4089" s="302"/>
      <c r="I4089" s="302"/>
      <c r="J4089" s="351"/>
      <c r="K4089" s="328">
        <v>0</v>
      </c>
      <c r="L4089" s="310">
        <f>J4089*K4089</f>
        <v>0</v>
      </c>
    </row>
    <row r="4090" spans="5:13" ht="15" customHeight="1" thickBot="1">
      <c r="F4090" s="316"/>
      <c r="G4090" s="317"/>
      <c r="H4090" s="318"/>
      <c r="I4090" s="318"/>
      <c r="J4090" s="319" t="s">
        <v>192</v>
      </c>
      <c r="K4090" s="320"/>
      <c r="L4090" s="321">
        <f>L4089</f>
        <v>0</v>
      </c>
    </row>
    <row r="4091" spans="5:13" ht="15" customHeight="1">
      <c r="F4091" s="344" t="s">
        <v>193</v>
      </c>
      <c r="G4091" s="345" t="s">
        <v>194</v>
      </c>
      <c r="H4091" s="346"/>
      <c r="I4091" s="346"/>
      <c r="J4091" s="347"/>
      <c r="K4091" s="348">
        <v>0</v>
      </c>
      <c r="L4091" s="310">
        <f>SUM(L4078:L4090)/2</f>
        <v>51590.33</v>
      </c>
    </row>
    <row r="4092" spans="5:13" ht="15" customHeight="1" thickBot="1">
      <c r="F4092" s="380" t="s">
        <v>195</v>
      </c>
      <c r="G4092" s="381" t="s">
        <v>196</v>
      </c>
      <c r="H4092" s="382"/>
      <c r="I4092" s="382"/>
      <c r="J4092" s="423">
        <v>0.1</v>
      </c>
      <c r="K4092" s="384"/>
      <c r="L4092" s="367">
        <f>J4092*L4091</f>
        <v>5159.0330000000004</v>
      </c>
    </row>
    <row r="4093" spans="5:13" ht="15" customHeight="1" thickBot="1">
      <c r="F4093" s="340" t="s">
        <v>197</v>
      </c>
      <c r="G4093" s="341" t="s">
        <v>198</v>
      </c>
      <c r="H4093" s="318"/>
      <c r="I4093" s="318"/>
      <c r="J4093" s="342"/>
      <c r="K4093" s="320">
        <v>0</v>
      </c>
      <c r="L4093" s="321">
        <f>ROUNDDOWN(L4091+L4092,0)</f>
        <v>56749</v>
      </c>
    </row>
    <row r="4094" spans="5:13" ht="15" customHeight="1">
      <c r="F4094" s="298"/>
      <c r="G4094" s="298"/>
      <c r="J4094" s="343"/>
    </row>
    <row r="4095" spans="5:13" ht="15" customHeight="1" thickBot="1">
      <c r="E4095" s="356" t="s">
        <v>825</v>
      </c>
      <c r="F4095" s="295" t="s">
        <v>826</v>
      </c>
      <c r="J4095" s="343"/>
      <c r="M4095" s="299">
        <f>L4113</f>
        <v>60594</v>
      </c>
    </row>
    <row r="4096" spans="5:13" ht="15" customHeight="1" thickBot="1">
      <c r="F4096" s="340" t="s">
        <v>136</v>
      </c>
      <c r="G4096" s="341" t="s">
        <v>162</v>
      </c>
      <c r="H4096" s="352" t="s">
        <v>163</v>
      </c>
      <c r="I4096" s="352" t="s">
        <v>138</v>
      </c>
      <c r="J4096" s="353" t="s">
        <v>164</v>
      </c>
      <c r="K4096" s="341" t="s">
        <v>165</v>
      </c>
      <c r="L4096" s="354" t="s">
        <v>166</v>
      </c>
    </row>
    <row r="4097" spans="6:12" ht="15" customHeight="1">
      <c r="F4097" s="300" t="s">
        <v>167</v>
      </c>
      <c r="G4097" s="301" t="s">
        <v>168</v>
      </c>
      <c r="H4097" s="302"/>
      <c r="I4097" s="302"/>
      <c r="J4097" s="351"/>
      <c r="K4097" s="328"/>
      <c r="L4097" s="310"/>
    </row>
    <row r="4098" spans="6:12" ht="15" customHeight="1">
      <c r="F4098" s="306"/>
      <c r="G4098" s="301" t="s">
        <v>169</v>
      </c>
      <c r="H4098" s="307" t="s">
        <v>170</v>
      </c>
      <c r="I4098" s="307" t="s">
        <v>171</v>
      </c>
      <c r="J4098" s="308">
        <v>0.09</v>
      </c>
      <c r="K4098" s="309">
        <f>VLOOKUP(G4098,Upah,8,FALSE)</f>
        <v>125000</v>
      </c>
      <c r="L4098" s="310">
        <f>J4098*K4098</f>
        <v>11250</v>
      </c>
    </row>
    <row r="4099" spans="6:12" ht="15" customHeight="1">
      <c r="F4099" s="306"/>
      <c r="G4099" s="301" t="s">
        <v>308</v>
      </c>
      <c r="H4099" s="307" t="s">
        <v>217</v>
      </c>
      <c r="I4099" s="307" t="s">
        <v>171</v>
      </c>
      <c r="J4099" s="308">
        <v>0.09</v>
      </c>
      <c r="K4099" s="309">
        <f>VLOOKUP(G4099,Upah,8,FALSE)</f>
        <v>150000</v>
      </c>
      <c r="L4099" s="310">
        <f>J4099*K4099</f>
        <v>13500</v>
      </c>
    </row>
    <row r="4100" spans="6:12" ht="15" customHeight="1">
      <c r="F4100" s="306"/>
      <c r="G4100" s="301" t="s">
        <v>232</v>
      </c>
      <c r="H4100" s="307" t="s">
        <v>175</v>
      </c>
      <c r="I4100" s="307" t="s">
        <v>171</v>
      </c>
      <c r="J4100" s="308">
        <v>8.9999999999999993E-3</v>
      </c>
      <c r="K4100" s="309">
        <f>VLOOKUP(G4100,Upah,8,FALSE)</f>
        <v>165000</v>
      </c>
      <c r="L4100" s="310">
        <f>J4100*K4100</f>
        <v>1485</v>
      </c>
    </row>
    <row r="4101" spans="6:12" ht="15" customHeight="1" thickBot="1">
      <c r="F4101" s="306"/>
      <c r="G4101" s="301" t="s">
        <v>176</v>
      </c>
      <c r="H4101" s="307" t="s">
        <v>177</v>
      </c>
      <c r="I4101" s="307" t="s">
        <v>171</v>
      </c>
      <c r="J4101" s="308">
        <v>5.0000000000000001E-3</v>
      </c>
      <c r="K4101" s="309">
        <f>VLOOKUP(G4101,Upah,8,FALSE)</f>
        <v>170000</v>
      </c>
      <c r="L4101" s="310">
        <f>J4101*K4101</f>
        <v>850</v>
      </c>
    </row>
    <row r="4102" spans="6:12" ht="15" customHeight="1" thickBot="1">
      <c r="F4102" s="316"/>
      <c r="G4102" s="317"/>
      <c r="H4102" s="318"/>
      <c r="I4102" s="318"/>
      <c r="J4102" s="319" t="s">
        <v>178</v>
      </c>
      <c r="K4102" s="320"/>
      <c r="L4102" s="321">
        <f>SUM(L4098:L4101)</f>
        <v>27085</v>
      </c>
    </row>
    <row r="4103" spans="6:12" ht="15" customHeight="1">
      <c r="F4103" s="300" t="s">
        <v>179</v>
      </c>
      <c r="G4103" s="301" t="s">
        <v>180</v>
      </c>
      <c r="H4103" s="302"/>
      <c r="I4103" s="302"/>
      <c r="J4103" s="351"/>
      <c r="K4103" s="328"/>
      <c r="L4103" s="310"/>
    </row>
    <row r="4104" spans="6:12" ht="15" customHeight="1">
      <c r="F4104" s="306"/>
      <c r="G4104" s="301" t="s">
        <v>827</v>
      </c>
      <c r="H4104" s="302"/>
      <c r="I4104" s="307" t="s">
        <v>221</v>
      </c>
      <c r="J4104" s="308">
        <v>3.53</v>
      </c>
      <c r="K4104" s="328">
        <f>VLOOKUP(G4104,Bahan,6,FALSE)</f>
        <v>7040</v>
      </c>
      <c r="L4104" s="310">
        <f>J4104*K4104</f>
        <v>24851.199999999997</v>
      </c>
    </row>
    <row r="4105" spans="6:12" ht="15" customHeight="1">
      <c r="F4105" s="306"/>
      <c r="G4105" s="301" t="s">
        <v>183</v>
      </c>
      <c r="H4105" s="302"/>
      <c r="I4105" s="307" t="s">
        <v>38</v>
      </c>
      <c r="J4105" s="308">
        <v>1.1399999999999999</v>
      </c>
      <c r="K4105" s="328">
        <f>VLOOKUP(G4105,Bahan,6,FALSE)</f>
        <v>1880</v>
      </c>
      <c r="L4105" s="310">
        <f>J4105*K4105</f>
        <v>2143.1999999999998</v>
      </c>
    </row>
    <row r="4106" spans="6:12" ht="15" customHeight="1">
      <c r="F4106" s="306"/>
      <c r="G4106" s="301" t="s">
        <v>758</v>
      </c>
      <c r="H4106" s="302"/>
      <c r="I4106" s="307" t="s">
        <v>45</v>
      </c>
      <c r="J4106" s="308">
        <v>0.1</v>
      </c>
      <c r="K4106" s="328">
        <f>VLOOKUP(G4106,Bahan,6,FALSE)</f>
        <v>2460</v>
      </c>
      <c r="L4106" s="310">
        <f>J4106*K4106</f>
        <v>246</v>
      </c>
    </row>
    <row r="4107" spans="6:12" ht="15" customHeight="1" thickBot="1">
      <c r="F4107" s="306"/>
      <c r="G4107" s="301" t="s">
        <v>296</v>
      </c>
      <c r="H4107" s="302"/>
      <c r="I4107" s="307" t="s">
        <v>292</v>
      </c>
      <c r="J4107" s="308">
        <v>3.0000000000000001E-3</v>
      </c>
      <c r="K4107" s="328">
        <f>VLOOKUP(G4107,Bahan,6,FALSE)</f>
        <v>253510</v>
      </c>
      <c r="L4107" s="310">
        <f>J4107*K4107</f>
        <v>760.53</v>
      </c>
    </row>
    <row r="4108" spans="6:12" ht="15" customHeight="1" thickBot="1">
      <c r="F4108" s="316"/>
      <c r="G4108" s="317"/>
      <c r="H4108" s="318"/>
      <c r="I4108" s="318"/>
      <c r="J4108" s="319" t="s">
        <v>189</v>
      </c>
      <c r="K4108" s="320"/>
      <c r="L4108" s="321">
        <f>SUM(L4104:L4107)</f>
        <v>28000.929999999997</v>
      </c>
    </row>
    <row r="4109" spans="6:12" ht="15" customHeight="1" thickBot="1">
      <c r="F4109" s="300" t="s">
        <v>190</v>
      </c>
      <c r="G4109" s="301" t="s">
        <v>191</v>
      </c>
      <c r="H4109" s="302"/>
      <c r="I4109" s="302"/>
      <c r="J4109" s="351"/>
      <c r="K4109" s="328">
        <v>0</v>
      </c>
      <c r="L4109" s="310">
        <f>J4109*K4109</f>
        <v>0</v>
      </c>
    </row>
    <row r="4110" spans="6:12" ht="15" customHeight="1" thickBot="1">
      <c r="F4110" s="316"/>
      <c r="G4110" s="317"/>
      <c r="H4110" s="318"/>
      <c r="I4110" s="318"/>
      <c r="J4110" s="319" t="s">
        <v>192</v>
      </c>
      <c r="K4110" s="320"/>
      <c r="L4110" s="321">
        <f>L4109</f>
        <v>0</v>
      </c>
    </row>
    <row r="4111" spans="6:12" ht="15" customHeight="1">
      <c r="F4111" s="344" t="s">
        <v>193</v>
      </c>
      <c r="G4111" s="345" t="s">
        <v>194</v>
      </c>
      <c r="H4111" s="346"/>
      <c r="I4111" s="346"/>
      <c r="J4111" s="347"/>
      <c r="K4111" s="348">
        <v>0</v>
      </c>
      <c r="L4111" s="310">
        <f>SUM(L4098:L4110)/2</f>
        <v>55085.929999999993</v>
      </c>
    </row>
    <row r="4112" spans="6:12" ht="15" customHeight="1" thickBot="1">
      <c r="F4112" s="331" t="s">
        <v>195</v>
      </c>
      <c r="G4112" s="332" t="s">
        <v>196</v>
      </c>
      <c r="H4112" s="333"/>
      <c r="I4112" s="333"/>
      <c r="J4112" s="350">
        <v>0.1</v>
      </c>
      <c r="K4112" s="335"/>
      <c r="L4112" s="330">
        <f>J4112*L4111</f>
        <v>5508.5929999999998</v>
      </c>
    </row>
    <row r="4113" spans="5:13" ht="15" customHeight="1" thickBot="1">
      <c r="F4113" s="340" t="s">
        <v>197</v>
      </c>
      <c r="G4113" s="341" t="s">
        <v>198</v>
      </c>
      <c r="H4113" s="318"/>
      <c r="I4113" s="318"/>
      <c r="J4113" s="342"/>
      <c r="K4113" s="320">
        <v>0</v>
      </c>
      <c r="L4113" s="321">
        <f>ROUNDDOWN(L4111+L4112,0)</f>
        <v>60594</v>
      </c>
    </row>
    <row r="4114" spans="5:13" ht="15" customHeight="1">
      <c r="F4114" s="298"/>
      <c r="G4114" s="298"/>
      <c r="J4114" s="343"/>
    </row>
    <row r="4115" spans="5:13" ht="15" customHeight="1" thickBot="1">
      <c r="E4115" s="356" t="s">
        <v>828</v>
      </c>
      <c r="F4115" s="295" t="s">
        <v>829</v>
      </c>
      <c r="J4115" s="343"/>
      <c r="M4115" s="299">
        <f>L4133</f>
        <v>68863</v>
      </c>
    </row>
    <row r="4116" spans="5:13" ht="15" customHeight="1" thickBot="1">
      <c r="F4116" s="340" t="s">
        <v>136</v>
      </c>
      <c r="G4116" s="341" t="s">
        <v>162</v>
      </c>
      <c r="H4116" s="352" t="s">
        <v>163</v>
      </c>
      <c r="I4116" s="352" t="s">
        <v>138</v>
      </c>
      <c r="J4116" s="353" t="s">
        <v>164</v>
      </c>
      <c r="K4116" s="341" t="s">
        <v>165</v>
      </c>
      <c r="L4116" s="354" t="s">
        <v>166</v>
      </c>
    </row>
    <row r="4117" spans="5:13" ht="15" customHeight="1">
      <c r="F4117" s="300" t="s">
        <v>167</v>
      </c>
      <c r="G4117" s="301" t="s">
        <v>168</v>
      </c>
      <c r="H4117" s="302"/>
      <c r="I4117" s="302"/>
      <c r="J4117" s="351"/>
      <c r="K4117" s="328"/>
      <c r="L4117" s="310"/>
    </row>
    <row r="4118" spans="5:13" ht="15" customHeight="1">
      <c r="F4118" s="306"/>
      <c r="G4118" s="301" t="s">
        <v>169</v>
      </c>
      <c r="H4118" s="307" t="s">
        <v>170</v>
      </c>
      <c r="I4118" s="307" t="s">
        <v>171</v>
      </c>
      <c r="J4118" s="308">
        <v>0.09</v>
      </c>
      <c r="K4118" s="309">
        <f>VLOOKUP(G4118,Upah,8,FALSE)</f>
        <v>125000</v>
      </c>
      <c r="L4118" s="310">
        <f>J4118*K4118</f>
        <v>11250</v>
      </c>
    </row>
    <row r="4119" spans="5:13" ht="15" customHeight="1">
      <c r="F4119" s="306"/>
      <c r="G4119" s="301" t="s">
        <v>308</v>
      </c>
      <c r="H4119" s="307" t="s">
        <v>217</v>
      </c>
      <c r="I4119" s="307" t="s">
        <v>171</v>
      </c>
      <c r="J4119" s="308">
        <v>0.09</v>
      </c>
      <c r="K4119" s="309">
        <f>VLOOKUP(G4119,Upah,8,FALSE)</f>
        <v>150000</v>
      </c>
      <c r="L4119" s="310">
        <f>J4119*K4119</f>
        <v>13500</v>
      </c>
    </row>
    <row r="4120" spans="5:13" ht="15" customHeight="1">
      <c r="F4120" s="306"/>
      <c r="G4120" s="301" t="s">
        <v>232</v>
      </c>
      <c r="H4120" s="307" t="s">
        <v>175</v>
      </c>
      <c r="I4120" s="307" t="s">
        <v>171</v>
      </c>
      <c r="J4120" s="308">
        <v>8.9999999999999993E-3</v>
      </c>
      <c r="K4120" s="309">
        <f>VLOOKUP(G4120,Upah,8,FALSE)</f>
        <v>165000</v>
      </c>
      <c r="L4120" s="310">
        <f>J4120*K4120</f>
        <v>1485</v>
      </c>
    </row>
    <row r="4121" spans="5:13" ht="15" customHeight="1" thickBot="1">
      <c r="F4121" s="306"/>
      <c r="G4121" s="301" t="s">
        <v>176</v>
      </c>
      <c r="H4121" s="307" t="s">
        <v>177</v>
      </c>
      <c r="I4121" s="307" t="s">
        <v>171</v>
      </c>
      <c r="J4121" s="308">
        <v>5.0000000000000001E-3</v>
      </c>
      <c r="K4121" s="309">
        <f>VLOOKUP(G4121,Upah,8,FALSE)</f>
        <v>170000</v>
      </c>
      <c r="L4121" s="310">
        <f>J4121*K4121</f>
        <v>850</v>
      </c>
    </row>
    <row r="4122" spans="5:13" ht="15" customHeight="1" thickBot="1">
      <c r="F4122" s="316"/>
      <c r="G4122" s="317"/>
      <c r="H4122" s="318"/>
      <c r="I4122" s="318"/>
      <c r="J4122" s="319" t="s">
        <v>178</v>
      </c>
      <c r="K4122" s="320"/>
      <c r="L4122" s="321">
        <f>SUM(L4118:L4121)</f>
        <v>27085</v>
      </c>
    </row>
    <row r="4123" spans="5:13" ht="15" customHeight="1">
      <c r="F4123" s="300" t="s">
        <v>179</v>
      </c>
      <c r="G4123" s="301" t="s">
        <v>180</v>
      </c>
      <c r="H4123" s="302"/>
      <c r="I4123" s="302"/>
      <c r="J4123" s="351"/>
      <c r="K4123" s="328"/>
      <c r="L4123" s="310"/>
    </row>
    <row r="4124" spans="5:13" ht="15" customHeight="1">
      <c r="F4124" s="306"/>
      <c r="G4124" s="301" t="s">
        <v>830</v>
      </c>
      <c r="H4124" s="302"/>
      <c r="I4124" s="307" t="s">
        <v>221</v>
      </c>
      <c r="J4124" s="308">
        <v>1.7</v>
      </c>
      <c r="K4124" s="328">
        <f>VLOOKUP(G4124,Bahan,6,FALSE)</f>
        <v>19040</v>
      </c>
      <c r="L4124" s="310">
        <f>J4124*K4124</f>
        <v>32368</v>
      </c>
    </row>
    <row r="4125" spans="5:13" ht="15" customHeight="1">
      <c r="F4125" s="306"/>
      <c r="G4125" s="301" t="s">
        <v>183</v>
      </c>
      <c r="H4125" s="302"/>
      <c r="I4125" s="307" t="s">
        <v>38</v>
      </c>
      <c r="J4125" s="308">
        <v>1.1399999999999999</v>
      </c>
      <c r="K4125" s="328">
        <f>VLOOKUP(G4125,Bahan,6,FALSE)</f>
        <v>1880</v>
      </c>
      <c r="L4125" s="310">
        <f>J4125*K4125</f>
        <v>2143.1999999999998</v>
      </c>
    </row>
    <row r="4126" spans="5:13" ht="15" customHeight="1">
      <c r="F4126" s="306"/>
      <c r="G4126" s="301" t="s">
        <v>758</v>
      </c>
      <c r="H4126" s="302"/>
      <c r="I4126" s="307" t="s">
        <v>45</v>
      </c>
      <c r="J4126" s="308">
        <v>0.1</v>
      </c>
      <c r="K4126" s="328">
        <f>VLOOKUP(G4126,Bahan,6,FALSE)</f>
        <v>2460</v>
      </c>
      <c r="L4126" s="310">
        <f>J4126*K4126</f>
        <v>246</v>
      </c>
    </row>
    <row r="4127" spans="5:13" ht="15" customHeight="1" thickBot="1">
      <c r="F4127" s="306"/>
      <c r="G4127" s="301" t="s">
        <v>296</v>
      </c>
      <c r="H4127" s="302"/>
      <c r="I4127" s="307" t="s">
        <v>292</v>
      </c>
      <c r="J4127" s="308">
        <v>3.0000000000000001E-3</v>
      </c>
      <c r="K4127" s="328">
        <f>VLOOKUP(G4127,Bahan,6,FALSE)</f>
        <v>253510</v>
      </c>
      <c r="L4127" s="310">
        <f>J4127*K4127</f>
        <v>760.53</v>
      </c>
    </row>
    <row r="4128" spans="5:13" ht="15" customHeight="1" thickBot="1">
      <c r="F4128" s="316"/>
      <c r="G4128" s="317"/>
      <c r="H4128" s="318"/>
      <c r="I4128" s="318"/>
      <c r="J4128" s="319" t="s">
        <v>189</v>
      </c>
      <c r="K4128" s="320"/>
      <c r="L4128" s="321">
        <f>SUM(L4124:L4127)</f>
        <v>35517.729999999996</v>
      </c>
    </row>
    <row r="4129" spans="5:13" ht="15" customHeight="1" thickBot="1">
      <c r="F4129" s="300" t="s">
        <v>190</v>
      </c>
      <c r="G4129" s="301" t="s">
        <v>191</v>
      </c>
      <c r="H4129" s="302"/>
      <c r="I4129" s="302"/>
      <c r="J4129" s="351"/>
      <c r="K4129" s="328">
        <v>0</v>
      </c>
      <c r="L4129" s="310">
        <f>J4129*K4129</f>
        <v>0</v>
      </c>
    </row>
    <row r="4130" spans="5:13" ht="15" customHeight="1" thickBot="1">
      <c r="F4130" s="316"/>
      <c r="G4130" s="317"/>
      <c r="H4130" s="318"/>
      <c r="I4130" s="318"/>
      <c r="J4130" s="319" t="s">
        <v>192</v>
      </c>
      <c r="K4130" s="320"/>
      <c r="L4130" s="321">
        <f>L4129</f>
        <v>0</v>
      </c>
    </row>
    <row r="4131" spans="5:13" ht="15" customHeight="1">
      <c r="F4131" s="344" t="s">
        <v>193</v>
      </c>
      <c r="G4131" s="345" t="s">
        <v>194</v>
      </c>
      <c r="H4131" s="346"/>
      <c r="I4131" s="346"/>
      <c r="J4131" s="347"/>
      <c r="K4131" s="348">
        <v>0</v>
      </c>
      <c r="L4131" s="310">
        <f>SUM(L4118:L4130)/2</f>
        <v>62602.729999999996</v>
      </c>
    </row>
    <row r="4132" spans="5:13" ht="15" customHeight="1" thickBot="1">
      <c r="F4132" s="331" t="s">
        <v>195</v>
      </c>
      <c r="G4132" s="332" t="s">
        <v>196</v>
      </c>
      <c r="H4132" s="333"/>
      <c r="I4132" s="333"/>
      <c r="J4132" s="350">
        <v>0.1</v>
      </c>
      <c r="K4132" s="335"/>
      <c r="L4132" s="330">
        <f>J4132*L4131</f>
        <v>6260.2730000000001</v>
      </c>
    </row>
    <row r="4133" spans="5:13" ht="15" customHeight="1" thickBot="1">
      <c r="F4133" s="340" t="s">
        <v>197</v>
      </c>
      <c r="G4133" s="341" t="s">
        <v>198</v>
      </c>
      <c r="H4133" s="318"/>
      <c r="I4133" s="318"/>
      <c r="J4133" s="342"/>
      <c r="K4133" s="320">
        <v>0</v>
      </c>
      <c r="L4133" s="321">
        <f>ROUNDDOWN(L4131+L4132,0)</f>
        <v>68863</v>
      </c>
    </row>
    <row r="4134" spans="5:13" ht="15" customHeight="1">
      <c r="F4134" s="298"/>
      <c r="G4134" s="298"/>
      <c r="J4134" s="343"/>
    </row>
    <row r="4135" spans="5:13" ht="15" customHeight="1" thickBot="1">
      <c r="E4135" s="356" t="s">
        <v>831</v>
      </c>
      <c r="F4135" s="295" t="s">
        <v>832</v>
      </c>
      <c r="J4135" s="343"/>
      <c r="M4135" s="299">
        <f>L4153</f>
        <v>85728</v>
      </c>
    </row>
    <row r="4136" spans="5:13" ht="15" customHeight="1" thickBot="1">
      <c r="F4136" s="340" t="s">
        <v>136</v>
      </c>
      <c r="G4136" s="341" t="s">
        <v>162</v>
      </c>
      <c r="H4136" s="352" t="s">
        <v>163</v>
      </c>
      <c r="I4136" s="352" t="s">
        <v>138</v>
      </c>
      <c r="J4136" s="353" t="s">
        <v>164</v>
      </c>
      <c r="K4136" s="341" t="s">
        <v>165</v>
      </c>
      <c r="L4136" s="354" t="s">
        <v>166</v>
      </c>
    </row>
    <row r="4137" spans="5:13" ht="15" customHeight="1">
      <c r="F4137" s="300" t="s">
        <v>167</v>
      </c>
      <c r="G4137" s="301" t="s">
        <v>168</v>
      </c>
      <c r="H4137" s="302"/>
      <c r="I4137" s="302"/>
      <c r="J4137" s="351"/>
      <c r="K4137" s="328"/>
      <c r="L4137" s="310"/>
    </row>
    <row r="4138" spans="5:13" ht="15" customHeight="1">
      <c r="F4138" s="306"/>
      <c r="G4138" s="301" t="s">
        <v>169</v>
      </c>
      <c r="H4138" s="307" t="s">
        <v>170</v>
      </c>
      <c r="I4138" s="307" t="s">
        <v>171</v>
      </c>
      <c r="J4138" s="308">
        <v>0.09</v>
      </c>
      <c r="K4138" s="309">
        <f>VLOOKUP(G4138,Upah,8,FALSE)</f>
        <v>125000</v>
      </c>
      <c r="L4138" s="310">
        <f>J4138*K4138</f>
        <v>11250</v>
      </c>
    </row>
    <row r="4139" spans="5:13" ht="15" customHeight="1">
      <c r="F4139" s="306"/>
      <c r="G4139" s="301" t="s">
        <v>308</v>
      </c>
      <c r="H4139" s="307" t="s">
        <v>217</v>
      </c>
      <c r="I4139" s="307" t="s">
        <v>171</v>
      </c>
      <c r="J4139" s="308">
        <v>0.09</v>
      </c>
      <c r="K4139" s="309">
        <f>VLOOKUP(G4139,Upah,8,FALSE)</f>
        <v>150000</v>
      </c>
      <c r="L4139" s="310">
        <f>J4139*K4139</f>
        <v>13500</v>
      </c>
    </row>
    <row r="4140" spans="5:13" ht="15" customHeight="1">
      <c r="F4140" s="306"/>
      <c r="G4140" s="301" t="s">
        <v>232</v>
      </c>
      <c r="H4140" s="307" t="s">
        <v>175</v>
      </c>
      <c r="I4140" s="307" t="s">
        <v>171</v>
      </c>
      <c r="J4140" s="308">
        <v>8.9999999999999993E-3</v>
      </c>
      <c r="K4140" s="309">
        <f>VLOOKUP(G4140,Upah,8,FALSE)</f>
        <v>165000</v>
      </c>
      <c r="L4140" s="310">
        <f>J4140*K4140</f>
        <v>1485</v>
      </c>
    </row>
    <row r="4141" spans="5:13" ht="15" customHeight="1" thickBot="1">
      <c r="F4141" s="306"/>
      <c r="G4141" s="301" t="s">
        <v>176</v>
      </c>
      <c r="H4141" s="307" t="s">
        <v>177</v>
      </c>
      <c r="I4141" s="307" t="s">
        <v>171</v>
      </c>
      <c r="J4141" s="308">
        <v>5.0000000000000001E-3</v>
      </c>
      <c r="K4141" s="309">
        <f>VLOOKUP(G4141,Upah,8,FALSE)</f>
        <v>170000</v>
      </c>
      <c r="L4141" s="310">
        <f>J4141*K4141</f>
        <v>850</v>
      </c>
    </row>
    <row r="4142" spans="5:13" ht="15" customHeight="1" thickBot="1">
      <c r="F4142" s="316"/>
      <c r="G4142" s="317"/>
      <c r="H4142" s="318"/>
      <c r="I4142" s="318"/>
      <c r="J4142" s="319" t="s">
        <v>178</v>
      </c>
      <c r="K4142" s="320"/>
      <c r="L4142" s="321">
        <f>SUM(L4138:L4141)</f>
        <v>27085</v>
      </c>
    </row>
    <row r="4143" spans="5:13" ht="15" customHeight="1">
      <c r="F4143" s="300" t="s">
        <v>179</v>
      </c>
      <c r="G4143" s="301" t="s">
        <v>180</v>
      </c>
      <c r="H4143" s="302"/>
      <c r="I4143" s="302"/>
      <c r="J4143" s="351"/>
      <c r="K4143" s="328"/>
      <c r="L4143" s="310"/>
    </row>
    <row r="4144" spans="5:13" ht="15" customHeight="1">
      <c r="F4144" s="306"/>
      <c r="G4144" s="301" t="s">
        <v>833</v>
      </c>
      <c r="H4144" s="302"/>
      <c r="I4144" s="307" t="s">
        <v>221</v>
      </c>
      <c r="J4144" s="308">
        <v>2.65</v>
      </c>
      <c r="K4144" s="328">
        <f>VLOOKUP(G4144,Bahan,6,FALSE)</f>
        <v>18000</v>
      </c>
      <c r="L4144" s="310">
        <f>J4144*K4144</f>
        <v>47700</v>
      </c>
    </row>
    <row r="4145" spans="5:13" ht="15" customHeight="1">
      <c r="F4145" s="306"/>
      <c r="G4145" s="301" t="s">
        <v>183</v>
      </c>
      <c r="H4145" s="302"/>
      <c r="I4145" s="307" t="s">
        <v>38</v>
      </c>
      <c r="J4145" s="308">
        <v>1.1399999999999999</v>
      </c>
      <c r="K4145" s="328">
        <f>VLOOKUP(G4145,Bahan,6,FALSE)</f>
        <v>1880</v>
      </c>
      <c r="L4145" s="310">
        <f>J4145*K4145</f>
        <v>2143.1999999999998</v>
      </c>
    </row>
    <row r="4146" spans="5:13" ht="15" customHeight="1">
      <c r="F4146" s="306"/>
      <c r="G4146" s="301" t="s">
        <v>758</v>
      </c>
      <c r="H4146" s="302"/>
      <c r="I4146" s="307" t="s">
        <v>45</v>
      </c>
      <c r="J4146" s="308">
        <v>0.1</v>
      </c>
      <c r="K4146" s="328">
        <f>VLOOKUP(G4146,Bahan,6,FALSE)</f>
        <v>2460</v>
      </c>
      <c r="L4146" s="310">
        <f>J4146*K4146</f>
        <v>246</v>
      </c>
    </row>
    <row r="4147" spans="5:13" ht="15" customHeight="1" thickBot="1">
      <c r="F4147" s="306"/>
      <c r="G4147" s="301" t="s">
        <v>296</v>
      </c>
      <c r="H4147" s="302"/>
      <c r="I4147" s="307" t="s">
        <v>292</v>
      </c>
      <c r="J4147" s="308">
        <v>3.0000000000000001E-3</v>
      </c>
      <c r="K4147" s="328">
        <f>VLOOKUP(G4147,Bahan,6,FALSE)</f>
        <v>253510</v>
      </c>
      <c r="L4147" s="310">
        <f>J4147*K4147</f>
        <v>760.53</v>
      </c>
    </row>
    <row r="4148" spans="5:13" ht="15" customHeight="1" thickBot="1">
      <c r="F4148" s="316"/>
      <c r="G4148" s="317"/>
      <c r="H4148" s="318"/>
      <c r="I4148" s="318"/>
      <c r="J4148" s="319" t="s">
        <v>189</v>
      </c>
      <c r="K4148" s="320"/>
      <c r="L4148" s="321">
        <f>SUM(L4144:L4147)</f>
        <v>50849.729999999996</v>
      </c>
    </row>
    <row r="4149" spans="5:13" ht="15" customHeight="1" thickBot="1">
      <c r="F4149" s="300" t="s">
        <v>190</v>
      </c>
      <c r="G4149" s="301" t="s">
        <v>191</v>
      </c>
      <c r="H4149" s="302"/>
      <c r="I4149" s="302"/>
      <c r="J4149" s="351"/>
      <c r="K4149" s="328">
        <v>0</v>
      </c>
      <c r="L4149" s="310">
        <f>J4149*K4149</f>
        <v>0</v>
      </c>
    </row>
    <row r="4150" spans="5:13" ht="15" customHeight="1" thickBot="1">
      <c r="F4150" s="316"/>
      <c r="G4150" s="317"/>
      <c r="H4150" s="318"/>
      <c r="I4150" s="318"/>
      <c r="J4150" s="319" t="s">
        <v>192</v>
      </c>
      <c r="K4150" s="320"/>
      <c r="L4150" s="321">
        <f>L4149</f>
        <v>0</v>
      </c>
    </row>
    <row r="4151" spans="5:13" ht="15" customHeight="1">
      <c r="F4151" s="344" t="s">
        <v>193</v>
      </c>
      <c r="G4151" s="345" t="s">
        <v>194</v>
      </c>
      <c r="H4151" s="346"/>
      <c r="I4151" s="346"/>
      <c r="J4151" s="347"/>
      <c r="K4151" s="348">
        <v>0</v>
      </c>
      <c r="L4151" s="310">
        <f>SUM(L4138:L4150)/2</f>
        <v>77934.73</v>
      </c>
    </row>
    <row r="4152" spans="5:13" ht="15" customHeight="1" thickBot="1">
      <c r="F4152" s="331" t="s">
        <v>195</v>
      </c>
      <c r="G4152" s="332" t="s">
        <v>196</v>
      </c>
      <c r="H4152" s="333"/>
      <c r="I4152" s="333"/>
      <c r="J4152" s="350">
        <v>0.1</v>
      </c>
      <c r="K4152" s="335"/>
      <c r="L4152" s="330">
        <f>J4152*L4151</f>
        <v>7793.473</v>
      </c>
    </row>
    <row r="4153" spans="5:13" ht="15" customHeight="1" thickBot="1">
      <c r="F4153" s="340" t="s">
        <v>197</v>
      </c>
      <c r="G4153" s="341" t="s">
        <v>198</v>
      </c>
      <c r="H4153" s="318"/>
      <c r="I4153" s="318"/>
      <c r="J4153" s="342"/>
      <c r="K4153" s="320">
        <v>0</v>
      </c>
      <c r="L4153" s="321">
        <f>ROUNDDOWN(L4151+L4152,0)</f>
        <v>85728</v>
      </c>
    </row>
    <row r="4154" spans="5:13" ht="15" customHeight="1">
      <c r="F4154" s="298"/>
      <c r="G4154" s="298"/>
      <c r="J4154" s="343"/>
    </row>
    <row r="4155" spans="5:13" ht="15" customHeight="1" thickBot="1">
      <c r="E4155" s="356" t="s">
        <v>834</v>
      </c>
      <c r="F4155" s="295" t="s">
        <v>835</v>
      </c>
      <c r="J4155" s="343"/>
      <c r="M4155" s="299">
        <f>L4173</f>
        <v>101210</v>
      </c>
    </row>
    <row r="4156" spans="5:13" ht="15" customHeight="1" thickBot="1">
      <c r="F4156" s="340" t="s">
        <v>136</v>
      </c>
      <c r="G4156" s="341" t="s">
        <v>162</v>
      </c>
      <c r="H4156" s="352" t="s">
        <v>163</v>
      </c>
      <c r="I4156" s="352" t="s">
        <v>138</v>
      </c>
      <c r="J4156" s="353" t="s">
        <v>164</v>
      </c>
      <c r="K4156" s="341" t="s">
        <v>165</v>
      </c>
      <c r="L4156" s="354" t="s">
        <v>166</v>
      </c>
    </row>
    <row r="4157" spans="5:13" ht="15" customHeight="1">
      <c r="F4157" s="300" t="s">
        <v>167</v>
      </c>
      <c r="G4157" s="301" t="s">
        <v>168</v>
      </c>
      <c r="H4157" s="302"/>
      <c r="I4157" s="302"/>
      <c r="J4157" s="351"/>
      <c r="K4157" s="328"/>
      <c r="L4157" s="310"/>
    </row>
    <row r="4158" spans="5:13" ht="15" customHeight="1">
      <c r="F4158" s="306"/>
      <c r="G4158" s="301" t="s">
        <v>169</v>
      </c>
      <c r="H4158" s="307" t="s">
        <v>170</v>
      </c>
      <c r="I4158" s="307" t="s">
        <v>171</v>
      </c>
      <c r="J4158" s="308">
        <v>0.09</v>
      </c>
      <c r="K4158" s="309">
        <f>VLOOKUP(G4158,Upah,8,FALSE)</f>
        <v>125000</v>
      </c>
      <c r="L4158" s="310">
        <f>J4158*K4158</f>
        <v>11250</v>
      </c>
    </row>
    <row r="4159" spans="5:13" ht="15" customHeight="1">
      <c r="F4159" s="306"/>
      <c r="G4159" s="301" t="s">
        <v>308</v>
      </c>
      <c r="H4159" s="307" t="s">
        <v>217</v>
      </c>
      <c r="I4159" s="307" t="s">
        <v>171</v>
      </c>
      <c r="J4159" s="308">
        <v>0.09</v>
      </c>
      <c r="K4159" s="309">
        <f>VLOOKUP(G4159,Upah,8,FALSE)</f>
        <v>150000</v>
      </c>
      <c r="L4159" s="310">
        <f>J4159*K4159</f>
        <v>13500</v>
      </c>
    </row>
    <row r="4160" spans="5:13" ht="15" customHeight="1">
      <c r="F4160" s="306"/>
      <c r="G4160" s="301" t="s">
        <v>232</v>
      </c>
      <c r="H4160" s="307" t="s">
        <v>175</v>
      </c>
      <c r="I4160" s="307" t="s">
        <v>171</v>
      </c>
      <c r="J4160" s="308">
        <v>8.9999999999999993E-3</v>
      </c>
      <c r="K4160" s="309">
        <f>VLOOKUP(G4160,Upah,8,FALSE)</f>
        <v>165000</v>
      </c>
      <c r="L4160" s="310">
        <f>J4160*K4160</f>
        <v>1485</v>
      </c>
    </row>
    <row r="4161" spans="5:13" ht="15" customHeight="1" thickBot="1">
      <c r="F4161" s="306"/>
      <c r="G4161" s="301" t="s">
        <v>176</v>
      </c>
      <c r="H4161" s="307" t="s">
        <v>177</v>
      </c>
      <c r="I4161" s="307" t="s">
        <v>171</v>
      </c>
      <c r="J4161" s="308">
        <v>5.0000000000000001E-3</v>
      </c>
      <c r="K4161" s="309">
        <f>VLOOKUP(G4161,Upah,8,FALSE)</f>
        <v>170000</v>
      </c>
      <c r="L4161" s="310">
        <f>J4161*K4161</f>
        <v>850</v>
      </c>
    </row>
    <row r="4162" spans="5:13" ht="15" customHeight="1" thickBot="1">
      <c r="F4162" s="316"/>
      <c r="G4162" s="317"/>
      <c r="H4162" s="318"/>
      <c r="I4162" s="318"/>
      <c r="J4162" s="319" t="s">
        <v>178</v>
      </c>
      <c r="K4162" s="320"/>
      <c r="L4162" s="321">
        <f>SUM(L4158:L4161)</f>
        <v>27085</v>
      </c>
    </row>
    <row r="4163" spans="5:13" ht="15" customHeight="1">
      <c r="F4163" s="300" t="s">
        <v>179</v>
      </c>
      <c r="G4163" s="301" t="s">
        <v>180</v>
      </c>
      <c r="H4163" s="302"/>
      <c r="I4163" s="302"/>
      <c r="J4163" s="351"/>
      <c r="K4163" s="328"/>
      <c r="L4163" s="310"/>
    </row>
    <row r="4164" spans="5:13" ht="15" customHeight="1">
      <c r="F4164" s="306"/>
      <c r="G4164" s="301" t="s">
        <v>836</v>
      </c>
      <c r="H4164" s="302"/>
      <c r="I4164" s="307" t="s">
        <v>221</v>
      </c>
      <c r="J4164" s="308">
        <v>3.53</v>
      </c>
      <c r="K4164" s="328">
        <f>VLOOKUP(G4164,Bahan,6,FALSE)</f>
        <v>17500</v>
      </c>
      <c r="L4164" s="310">
        <f>J4164*K4164</f>
        <v>61775</v>
      </c>
    </row>
    <row r="4165" spans="5:13" ht="15" customHeight="1">
      <c r="F4165" s="306"/>
      <c r="G4165" s="301" t="s">
        <v>183</v>
      </c>
      <c r="H4165" s="302"/>
      <c r="I4165" s="307" t="s">
        <v>38</v>
      </c>
      <c r="J4165" s="308">
        <v>1.1399999999999999</v>
      </c>
      <c r="K4165" s="328">
        <f>VLOOKUP(G4165,Bahan,6,FALSE)</f>
        <v>1880</v>
      </c>
      <c r="L4165" s="310">
        <f>J4165*K4165</f>
        <v>2143.1999999999998</v>
      </c>
    </row>
    <row r="4166" spans="5:13" ht="15" customHeight="1">
      <c r="F4166" s="306"/>
      <c r="G4166" s="301" t="s">
        <v>758</v>
      </c>
      <c r="H4166" s="302"/>
      <c r="I4166" s="307" t="s">
        <v>45</v>
      </c>
      <c r="J4166" s="308">
        <v>0.1</v>
      </c>
      <c r="K4166" s="328">
        <f>VLOOKUP(G4166,Bahan,6,FALSE)</f>
        <v>2460</v>
      </c>
      <c r="L4166" s="310">
        <f>J4166*K4166</f>
        <v>246</v>
      </c>
    </row>
    <row r="4167" spans="5:13" ht="15" customHeight="1" thickBot="1">
      <c r="F4167" s="306"/>
      <c r="G4167" s="301" t="s">
        <v>296</v>
      </c>
      <c r="H4167" s="302"/>
      <c r="I4167" s="307" t="s">
        <v>292</v>
      </c>
      <c r="J4167" s="308">
        <v>3.0000000000000001E-3</v>
      </c>
      <c r="K4167" s="328">
        <f>VLOOKUP(G4167,Bahan,6,FALSE)</f>
        <v>253510</v>
      </c>
      <c r="L4167" s="310">
        <f>J4167*K4167</f>
        <v>760.53</v>
      </c>
    </row>
    <row r="4168" spans="5:13" ht="15" customHeight="1" thickBot="1">
      <c r="F4168" s="316"/>
      <c r="G4168" s="317"/>
      <c r="H4168" s="318"/>
      <c r="I4168" s="318"/>
      <c r="J4168" s="319" t="s">
        <v>189</v>
      </c>
      <c r="K4168" s="320"/>
      <c r="L4168" s="321">
        <f>SUM(L4164:L4167)</f>
        <v>64924.729999999996</v>
      </c>
    </row>
    <row r="4169" spans="5:13" ht="15" customHeight="1" thickBot="1">
      <c r="F4169" s="300" t="s">
        <v>190</v>
      </c>
      <c r="G4169" s="301" t="s">
        <v>191</v>
      </c>
      <c r="H4169" s="302"/>
      <c r="I4169" s="302"/>
      <c r="J4169" s="351"/>
      <c r="K4169" s="328">
        <v>0</v>
      </c>
      <c r="L4169" s="310">
        <f>J4169*K4169</f>
        <v>0</v>
      </c>
    </row>
    <row r="4170" spans="5:13" ht="15" customHeight="1" thickBot="1">
      <c r="F4170" s="316"/>
      <c r="G4170" s="317"/>
      <c r="H4170" s="318"/>
      <c r="I4170" s="318"/>
      <c r="J4170" s="319" t="s">
        <v>192</v>
      </c>
      <c r="K4170" s="320"/>
      <c r="L4170" s="321">
        <f>L4169</f>
        <v>0</v>
      </c>
    </row>
    <row r="4171" spans="5:13" ht="15" customHeight="1">
      <c r="F4171" s="344" t="s">
        <v>193</v>
      </c>
      <c r="G4171" s="345" t="s">
        <v>194</v>
      </c>
      <c r="H4171" s="346"/>
      <c r="I4171" s="346"/>
      <c r="J4171" s="347"/>
      <c r="K4171" s="348">
        <v>0</v>
      </c>
      <c r="L4171" s="310">
        <f>SUM(L4158:L4170)/2</f>
        <v>92009.73</v>
      </c>
    </row>
    <row r="4172" spans="5:13" ht="15" customHeight="1" thickBot="1">
      <c r="F4172" s="331" t="s">
        <v>195</v>
      </c>
      <c r="G4172" s="332" t="s">
        <v>196</v>
      </c>
      <c r="H4172" s="333"/>
      <c r="I4172" s="333"/>
      <c r="J4172" s="350">
        <v>0.1</v>
      </c>
      <c r="K4172" s="335"/>
      <c r="L4172" s="330">
        <f>J4172*L4171</f>
        <v>9200.973</v>
      </c>
    </row>
    <row r="4173" spans="5:13" ht="15" customHeight="1" thickBot="1">
      <c r="F4173" s="340" t="s">
        <v>197</v>
      </c>
      <c r="G4173" s="341" t="s">
        <v>198</v>
      </c>
      <c r="H4173" s="318"/>
      <c r="I4173" s="318"/>
      <c r="J4173" s="342"/>
      <c r="K4173" s="320">
        <v>0</v>
      </c>
      <c r="L4173" s="321">
        <f>ROUNDDOWN(L4171+L4172,0)</f>
        <v>101210</v>
      </c>
    </row>
    <row r="4174" spans="5:13" ht="15" customHeight="1">
      <c r="F4174" s="298"/>
      <c r="G4174" s="298"/>
      <c r="J4174" s="343"/>
    </row>
    <row r="4175" spans="5:13" ht="15" customHeight="1" thickBot="1">
      <c r="E4175" s="356" t="s">
        <v>837</v>
      </c>
      <c r="F4175" s="295" t="s">
        <v>838</v>
      </c>
      <c r="J4175" s="343"/>
      <c r="M4175" s="299">
        <f>L4191</f>
        <v>86317</v>
      </c>
    </row>
    <row r="4176" spans="5:13" ht="15" customHeight="1" thickBot="1">
      <c r="F4176" s="340" t="s">
        <v>136</v>
      </c>
      <c r="G4176" s="341" t="s">
        <v>162</v>
      </c>
      <c r="H4176" s="352" t="s">
        <v>163</v>
      </c>
      <c r="I4176" s="352" t="s">
        <v>138</v>
      </c>
      <c r="J4176" s="353" t="s">
        <v>164</v>
      </c>
      <c r="K4176" s="341" t="s">
        <v>165</v>
      </c>
      <c r="L4176" s="354" t="s">
        <v>166</v>
      </c>
    </row>
    <row r="4177" spans="6:12" ht="15" customHeight="1">
      <c r="F4177" s="300" t="s">
        <v>167</v>
      </c>
      <c r="G4177" s="301" t="s">
        <v>168</v>
      </c>
      <c r="H4177" s="302"/>
      <c r="I4177" s="302"/>
      <c r="J4177" s="351"/>
      <c r="K4177" s="328"/>
      <c r="L4177" s="310"/>
    </row>
    <row r="4178" spans="6:12" ht="15" customHeight="1">
      <c r="F4178" s="306"/>
      <c r="G4178" s="301" t="s">
        <v>169</v>
      </c>
      <c r="H4178" s="307" t="s">
        <v>170</v>
      </c>
      <c r="I4178" s="307" t="s">
        <v>171</v>
      </c>
      <c r="J4178" s="308">
        <v>0.36</v>
      </c>
      <c r="K4178" s="309">
        <f>VLOOKUP(G4178,Upah,8,FALSE)</f>
        <v>125000</v>
      </c>
      <c r="L4178" s="310">
        <f>J4178*K4178</f>
        <v>45000</v>
      </c>
    </row>
    <row r="4179" spans="6:12" ht="15" customHeight="1">
      <c r="F4179" s="306"/>
      <c r="G4179" s="301" t="s">
        <v>308</v>
      </c>
      <c r="H4179" s="307" t="s">
        <v>217</v>
      </c>
      <c r="I4179" s="307" t="s">
        <v>171</v>
      </c>
      <c r="J4179" s="308">
        <v>0.18</v>
      </c>
      <c r="K4179" s="309">
        <f>VLOOKUP(G4179,Upah,8,FALSE)</f>
        <v>150000</v>
      </c>
      <c r="L4179" s="310">
        <f>J4179*K4179</f>
        <v>27000</v>
      </c>
    </row>
    <row r="4180" spans="6:12" ht="15" customHeight="1">
      <c r="F4180" s="306"/>
      <c r="G4180" s="301" t="s">
        <v>232</v>
      </c>
      <c r="H4180" s="307" t="s">
        <v>175</v>
      </c>
      <c r="I4180" s="307" t="s">
        <v>171</v>
      </c>
      <c r="J4180" s="308">
        <v>1.7999999999999999E-2</v>
      </c>
      <c r="K4180" s="309">
        <f>VLOOKUP(G4180,Upah,8,FALSE)</f>
        <v>165000</v>
      </c>
      <c r="L4180" s="310">
        <f>J4180*K4180</f>
        <v>2970</v>
      </c>
    </row>
    <row r="4181" spans="6:12" ht="15" customHeight="1" thickBot="1">
      <c r="F4181" s="306"/>
      <c r="G4181" s="301" t="s">
        <v>176</v>
      </c>
      <c r="H4181" s="307" t="s">
        <v>177</v>
      </c>
      <c r="I4181" s="307" t="s">
        <v>171</v>
      </c>
      <c r="J4181" s="308">
        <v>1.7999999999999999E-2</v>
      </c>
      <c r="K4181" s="309">
        <f>VLOOKUP(G4181,Upah,8,FALSE)</f>
        <v>170000</v>
      </c>
      <c r="L4181" s="310">
        <f>J4181*K4181</f>
        <v>3059.9999999999995</v>
      </c>
    </row>
    <row r="4182" spans="6:12" ht="15" customHeight="1" thickBot="1">
      <c r="F4182" s="316"/>
      <c r="G4182" s="317"/>
      <c r="H4182" s="318"/>
      <c r="I4182" s="318"/>
      <c r="J4182" s="319" t="s">
        <v>178</v>
      </c>
      <c r="K4182" s="320"/>
      <c r="L4182" s="321">
        <f>SUM(L4178:L4181)</f>
        <v>78030</v>
      </c>
    </row>
    <row r="4183" spans="6:12" ht="15" customHeight="1">
      <c r="F4183" s="300" t="s">
        <v>179</v>
      </c>
      <c r="G4183" s="301" t="s">
        <v>180</v>
      </c>
      <c r="H4183" s="302"/>
      <c r="I4183" s="302"/>
      <c r="J4183" s="351"/>
      <c r="K4183" s="328"/>
      <c r="L4183" s="310"/>
    </row>
    <row r="4184" spans="6:12" ht="15" customHeight="1">
      <c r="F4184" s="306"/>
      <c r="G4184" s="301" t="s">
        <v>839</v>
      </c>
      <c r="H4184" s="302"/>
      <c r="I4184" s="307" t="s">
        <v>292</v>
      </c>
      <c r="J4184" s="308">
        <v>3.5999999999999997E-2</v>
      </c>
      <c r="K4184" s="328">
        <f>VLOOKUP(G4184,Bahan,6,FALSE)</f>
        <v>5400</v>
      </c>
      <c r="L4184" s="310">
        <f>J4184*K4184</f>
        <v>194.39999999999998</v>
      </c>
    </row>
    <row r="4185" spans="6:12" ht="15" customHeight="1" thickBot="1">
      <c r="F4185" s="306"/>
      <c r="G4185" s="301" t="s">
        <v>840</v>
      </c>
      <c r="H4185" s="302"/>
      <c r="I4185" s="307" t="s">
        <v>45</v>
      </c>
      <c r="J4185" s="308">
        <v>0.1</v>
      </c>
      <c r="K4185" s="328">
        <f>VLOOKUP(G4185,Bahan,6,FALSE)</f>
        <v>2460</v>
      </c>
      <c r="L4185" s="310">
        <f>J4185*K4185</f>
        <v>246</v>
      </c>
    </row>
    <row r="4186" spans="6:12" ht="15" customHeight="1" thickBot="1">
      <c r="F4186" s="316"/>
      <c r="G4186" s="317"/>
      <c r="H4186" s="318"/>
      <c r="I4186" s="318"/>
      <c r="J4186" s="319" t="s">
        <v>189</v>
      </c>
      <c r="K4186" s="320"/>
      <c r="L4186" s="321">
        <f>SUM(L4184:L4185)</f>
        <v>440.4</v>
      </c>
    </row>
    <row r="4187" spans="6:12" ht="15" customHeight="1" thickBot="1">
      <c r="F4187" s="300" t="s">
        <v>190</v>
      </c>
      <c r="G4187" s="301" t="s">
        <v>191</v>
      </c>
      <c r="H4187" s="302"/>
      <c r="I4187" s="302"/>
      <c r="J4187" s="351"/>
      <c r="K4187" s="328">
        <v>0</v>
      </c>
      <c r="L4187" s="310">
        <f>J4187*K4187</f>
        <v>0</v>
      </c>
    </row>
    <row r="4188" spans="6:12" ht="15" customHeight="1" thickBot="1">
      <c r="F4188" s="316"/>
      <c r="G4188" s="317"/>
      <c r="H4188" s="318"/>
      <c r="I4188" s="318"/>
      <c r="J4188" s="319" t="s">
        <v>192</v>
      </c>
      <c r="K4188" s="320"/>
      <c r="L4188" s="321">
        <f>L4187</f>
        <v>0</v>
      </c>
    </row>
    <row r="4189" spans="6:12" ht="15" customHeight="1">
      <c r="F4189" s="344" t="s">
        <v>193</v>
      </c>
      <c r="G4189" s="345" t="s">
        <v>194</v>
      </c>
      <c r="H4189" s="346"/>
      <c r="I4189" s="346"/>
      <c r="J4189" s="347"/>
      <c r="K4189" s="348">
        <v>0</v>
      </c>
      <c r="L4189" s="310">
        <f>SUM(L4178:L4188)/2</f>
        <v>78470.399999999994</v>
      </c>
    </row>
    <row r="4190" spans="6:12" ht="15" customHeight="1" thickBot="1">
      <c r="F4190" s="331" t="s">
        <v>195</v>
      </c>
      <c r="G4190" s="332" t="s">
        <v>196</v>
      </c>
      <c r="H4190" s="333"/>
      <c r="I4190" s="333"/>
      <c r="J4190" s="350">
        <v>0.1</v>
      </c>
      <c r="K4190" s="335"/>
      <c r="L4190" s="330">
        <f>J4190*L4189</f>
        <v>7847.04</v>
      </c>
    </row>
    <row r="4191" spans="6:12" ht="15" customHeight="1" thickBot="1">
      <c r="F4191" s="340" t="s">
        <v>197</v>
      </c>
      <c r="G4191" s="341" t="s">
        <v>198</v>
      </c>
      <c r="H4191" s="318"/>
      <c r="I4191" s="318"/>
      <c r="J4191" s="342"/>
      <c r="K4191" s="320">
        <v>0</v>
      </c>
      <c r="L4191" s="321">
        <f>ROUNDDOWN(L4189+L4190,0)</f>
        <v>86317</v>
      </c>
    </row>
    <row r="4192" spans="6:12" ht="15" customHeight="1">
      <c r="F4192" s="298"/>
      <c r="G4192" s="298"/>
      <c r="J4192" s="343"/>
    </row>
    <row r="4193" spans="5:13" ht="15" customHeight="1" thickBot="1">
      <c r="E4193" s="356" t="s">
        <v>841</v>
      </c>
      <c r="F4193" s="295" t="s">
        <v>842</v>
      </c>
      <c r="J4193" s="343"/>
      <c r="M4193" s="299">
        <f>L4211</f>
        <v>314594</v>
      </c>
    </row>
    <row r="4194" spans="5:13" ht="15" customHeight="1" thickBot="1">
      <c r="F4194" s="340" t="s">
        <v>136</v>
      </c>
      <c r="G4194" s="341" t="s">
        <v>162</v>
      </c>
      <c r="H4194" s="352" t="s">
        <v>163</v>
      </c>
      <c r="I4194" s="352" t="s">
        <v>138</v>
      </c>
      <c r="J4194" s="353" t="s">
        <v>164</v>
      </c>
      <c r="K4194" s="341" t="s">
        <v>165</v>
      </c>
      <c r="L4194" s="354" t="s">
        <v>166</v>
      </c>
    </row>
    <row r="4195" spans="5:13" ht="15" customHeight="1">
      <c r="F4195" s="300" t="s">
        <v>167</v>
      </c>
      <c r="G4195" s="301" t="s">
        <v>168</v>
      </c>
      <c r="H4195" s="302"/>
      <c r="I4195" s="302"/>
      <c r="J4195" s="351"/>
      <c r="K4195" s="328"/>
      <c r="L4195" s="310"/>
    </row>
    <row r="4196" spans="5:13" ht="15" customHeight="1">
      <c r="F4196" s="306"/>
      <c r="G4196" s="301" t="s">
        <v>169</v>
      </c>
      <c r="H4196" s="307" t="s">
        <v>170</v>
      </c>
      <c r="I4196" s="307" t="s">
        <v>171</v>
      </c>
      <c r="J4196" s="308">
        <v>0.7</v>
      </c>
      <c r="K4196" s="309">
        <f>VLOOKUP(G4196,Upah,8,FALSE)</f>
        <v>125000</v>
      </c>
      <c r="L4196" s="310">
        <f>J4196*K4196</f>
        <v>87500</v>
      </c>
    </row>
    <row r="4197" spans="5:13" ht="15" customHeight="1">
      <c r="F4197" s="306"/>
      <c r="G4197" s="301" t="s">
        <v>308</v>
      </c>
      <c r="H4197" s="307" t="s">
        <v>217</v>
      </c>
      <c r="I4197" s="307" t="s">
        <v>171</v>
      </c>
      <c r="J4197" s="308">
        <v>0.35</v>
      </c>
      <c r="K4197" s="309">
        <f>VLOOKUP(G4197,Upah,8,FALSE)</f>
        <v>150000</v>
      </c>
      <c r="L4197" s="310">
        <f>J4197*K4197</f>
        <v>52500</v>
      </c>
    </row>
    <row r="4198" spans="5:13" ht="15" customHeight="1">
      <c r="F4198" s="306"/>
      <c r="G4198" s="301" t="s">
        <v>232</v>
      </c>
      <c r="H4198" s="307" t="s">
        <v>175</v>
      </c>
      <c r="I4198" s="307" t="s">
        <v>171</v>
      </c>
      <c r="J4198" s="308">
        <v>3.5000000000000003E-2</v>
      </c>
      <c r="K4198" s="309">
        <f>VLOOKUP(G4198,Upah,8,FALSE)</f>
        <v>165000</v>
      </c>
      <c r="L4198" s="310">
        <f>J4198*K4198</f>
        <v>5775.0000000000009</v>
      </c>
    </row>
    <row r="4199" spans="5:13" ht="15" customHeight="1" thickBot="1">
      <c r="F4199" s="306"/>
      <c r="G4199" s="301" t="s">
        <v>176</v>
      </c>
      <c r="H4199" s="307" t="s">
        <v>177</v>
      </c>
      <c r="I4199" s="307" t="s">
        <v>171</v>
      </c>
      <c r="J4199" s="308">
        <v>3.5000000000000003E-2</v>
      </c>
      <c r="K4199" s="309">
        <f>VLOOKUP(G4199,Upah,8,FALSE)</f>
        <v>170000</v>
      </c>
      <c r="L4199" s="310">
        <f>J4199*K4199</f>
        <v>5950.0000000000009</v>
      </c>
    </row>
    <row r="4200" spans="5:13" ht="15" customHeight="1" thickBot="1">
      <c r="F4200" s="316"/>
      <c r="G4200" s="317"/>
      <c r="H4200" s="318"/>
      <c r="I4200" s="318"/>
      <c r="J4200" s="319" t="s">
        <v>178</v>
      </c>
      <c r="K4200" s="320"/>
      <c r="L4200" s="321">
        <f>SUM(L4196:L4199)</f>
        <v>151725</v>
      </c>
    </row>
    <row r="4201" spans="5:13" ht="15" customHeight="1">
      <c r="F4201" s="300" t="s">
        <v>179</v>
      </c>
      <c r="G4201" s="301" t="s">
        <v>180</v>
      </c>
      <c r="H4201" s="302"/>
      <c r="I4201" s="302"/>
      <c r="J4201" s="351"/>
      <c r="K4201" s="328"/>
      <c r="L4201" s="310"/>
    </row>
    <row r="4202" spans="5:13" ht="15" customHeight="1">
      <c r="F4202" s="306"/>
      <c r="G4202" s="301" t="s">
        <v>843</v>
      </c>
      <c r="H4202" s="302"/>
      <c r="I4202" s="307" t="s">
        <v>221</v>
      </c>
      <c r="J4202" s="308">
        <v>53</v>
      </c>
      <c r="K4202" s="328">
        <f>VLOOKUP(G4202,Bahan,6,FALSE)</f>
        <v>1900</v>
      </c>
      <c r="L4202" s="310">
        <f>J4202*K4202</f>
        <v>100700</v>
      </c>
    </row>
    <row r="4203" spans="5:13" ht="15" customHeight="1">
      <c r="F4203" s="306"/>
      <c r="G4203" s="301" t="s">
        <v>183</v>
      </c>
      <c r="H4203" s="302"/>
      <c r="I4203" s="307" t="s">
        <v>45</v>
      </c>
      <c r="J4203" s="308">
        <v>8.19</v>
      </c>
      <c r="K4203" s="328">
        <f>VLOOKUP(G4203,Bahan,6,FALSE)</f>
        <v>1880</v>
      </c>
      <c r="L4203" s="310">
        <f>J4203*K4203</f>
        <v>15397.199999999999</v>
      </c>
    </row>
    <row r="4204" spans="5:13" ht="15" customHeight="1">
      <c r="F4204" s="306"/>
      <c r="G4204" s="301" t="s">
        <v>219</v>
      </c>
      <c r="H4204" s="302"/>
      <c r="I4204" s="307" t="s">
        <v>292</v>
      </c>
      <c r="J4204" s="308">
        <v>4.4999999999999998E-2</v>
      </c>
      <c r="K4204" s="328">
        <f>VLOOKUP(G4204,Bahan,6,FALSE)</f>
        <v>253510</v>
      </c>
      <c r="L4204" s="310">
        <f>J4204*K4204</f>
        <v>11407.949999999999</v>
      </c>
    </row>
    <row r="4205" spans="5:13" ht="15" customHeight="1" thickBot="1">
      <c r="F4205" s="306"/>
      <c r="G4205" s="301" t="s">
        <v>840</v>
      </c>
      <c r="H4205" s="302"/>
      <c r="I4205" s="307" t="s">
        <v>45</v>
      </c>
      <c r="J4205" s="308">
        <v>2.75</v>
      </c>
      <c r="K4205" s="328">
        <f>VLOOKUP(G4205,Bahan,6,FALSE)</f>
        <v>2460</v>
      </c>
      <c r="L4205" s="310">
        <f>J4205*K4205</f>
        <v>6765</v>
      </c>
    </row>
    <row r="4206" spans="5:13" ht="15" customHeight="1" thickBot="1">
      <c r="F4206" s="316"/>
      <c r="G4206" s="317"/>
      <c r="H4206" s="318"/>
      <c r="I4206" s="318"/>
      <c r="J4206" s="319" t="s">
        <v>189</v>
      </c>
      <c r="K4206" s="320"/>
      <c r="L4206" s="321">
        <f>SUM(L4202:L4205)</f>
        <v>134270.15</v>
      </c>
    </row>
    <row r="4207" spans="5:13" ht="15" customHeight="1" thickBot="1">
      <c r="F4207" s="300" t="s">
        <v>190</v>
      </c>
      <c r="G4207" s="301" t="s">
        <v>191</v>
      </c>
      <c r="H4207" s="302"/>
      <c r="I4207" s="302"/>
      <c r="J4207" s="351"/>
      <c r="K4207" s="328">
        <v>0</v>
      </c>
      <c r="L4207" s="310">
        <f>J4207*K4207</f>
        <v>0</v>
      </c>
    </row>
    <row r="4208" spans="5:13" ht="15" customHeight="1" thickBot="1">
      <c r="F4208" s="316"/>
      <c r="G4208" s="317"/>
      <c r="H4208" s="318"/>
      <c r="I4208" s="318"/>
      <c r="J4208" s="319" t="s">
        <v>192</v>
      </c>
      <c r="K4208" s="320"/>
      <c r="L4208" s="321">
        <f>L4207</f>
        <v>0</v>
      </c>
    </row>
    <row r="4209" spans="5:13" ht="15" customHeight="1">
      <c r="F4209" s="344" t="s">
        <v>193</v>
      </c>
      <c r="G4209" s="345" t="s">
        <v>194</v>
      </c>
      <c r="H4209" s="346"/>
      <c r="I4209" s="346"/>
      <c r="J4209" s="347"/>
      <c r="K4209" s="348">
        <v>0</v>
      </c>
      <c r="L4209" s="310">
        <f>SUM(L4196:L4208)/2</f>
        <v>285995.15000000002</v>
      </c>
    </row>
    <row r="4210" spans="5:13" ht="15" customHeight="1" thickBot="1">
      <c r="F4210" s="331" t="s">
        <v>195</v>
      </c>
      <c r="G4210" s="332" t="s">
        <v>196</v>
      </c>
      <c r="H4210" s="333"/>
      <c r="I4210" s="333"/>
      <c r="J4210" s="350">
        <v>0.1</v>
      </c>
      <c r="K4210" s="335"/>
      <c r="L4210" s="330">
        <f>J4210*L4209</f>
        <v>28599.515000000003</v>
      </c>
    </row>
    <row r="4211" spans="5:13" ht="15" customHeight="1" thickBot="1">
      <c r="F4211" s="340" t="s">
        <v>197</v>
      </c>
      <c r="G4211" s="341" t="s">
        <v>198</v>
      </c>
      <c r="H4211" s="318"/>
      <c r="I4211" s="318"/>
      <c r="J4211" s="342"/>
      <c r="K4211" s="320">
        <v>0</v>
      </c>
      <c r="L4211" s="321">
        <f>ROUNDDOWN(L4209+L4210,0)</f>
        <v>314594</v>
      </c>
    </row>
    <row r="4212" spans="5:13" ht="15" customHeight="1">
      <c r="F4212" s="298"/>
      <c r="G4212" s="298"/>
      <c r="J4212" s="343"/>
    </row>
    <row r="4213" spans="5:13" ht="15" customHeight="1" thickBot="1">
      <c r="E4213" s="356" t="s">
        <v>844</v>
      </c>
      <c r="F4213" s="295" t="s">
        <v>845</v>
      </c>
      <c r="J4213" s="343"/>
      <c r="M4213" s="299">
        <f>L4231</f>
        <v>426582</v>
      </c>
    </row>
    <row r="4214" spans="5:13" ht="15" customHeight="1" thickBot="1">
      <c r="F4214" s="340" t="s">
        <v>136</v>
      </c>
      <c r="G4214" s="341" t="s">
        <v>162</v>
      </c>
      <c r="H4214" s="352" t="s">
        <v>163</v>
      </c>
      <c r="I4214" s="352" t="s">
        <v>138</v>
      </c>
      <c r="J4214" s="353" t="s">
        <v>164</v>
      </c>
      <c r="K4214" s="341" t="s">
        <v>165</v>
      </c>
      <c r="L4214" s="354" t="s">
        <v>166</v>
      </c>
    </row>
    <row r="4215" spans="5:13" ht="15" customHeight="1">
      <c r="F4215" s="300" t="s">
        <v>167</v>
      </c>
      <c r="G4215" s="301" t="s">
        <v>168</v>
      </c>
      <c r="H4215" s="302"/>
      <c r="I4215" s="302"/>
      <c r="J4215" s="351"/>
      <c r="K4215" s="328"/>
      <c r="L4215" s="310"/>
    </row>
    <row r="4216" spans="5:13" ht="15" customHeight="1">
      <c r="F4216" s="306"/>
      <c r="G4216" s="301" t="s">
        <v>169</v>
      </c>
      <c r="H4216" s="307" t="s">
        <v>170</v>
      </c>
      <c r="I4216" s="307" t="s">
        <v>171</v>
      </c>
      <c r="J4216" s="308">
        <v>0.7</v>
      </c>
      <c r="K4216" s="309">
        <f>VLOOKUP(G4216,Upah,8,FALSE)</f>
        <v>125000</v>
      </c>
      <c r="L4216" s="310">
        <f>J4216*K4216</f>
        <v>87500</v>
      </c>
    </row>
    <row r="4217" spans="5:13" ht="15" customHeight="1">
      <c r="F4217" s="306"/>
      <c r="G4217" s="301" t="s">
        <v>308</v>
      </c>
      <c r="H4217" s="307" t="s">
        <v>217</v>
      </c>
      <c r="I4217" s="307" t="s">
        <v>171</v>
      </c>
      <c r="J4217" s="308">
        <v>0.35</v>
      </c>
      <c r="K4217" s="309">
        <f>VLOOKUP(G4217,Upah,8,FALSE)</f>
        <v>150000</v>
      </c>
      <c r="L4217" s="310">
        <f>J4217*K4217</f>
        <v>52500</v>
      </c>
    </row>
    <row r="4218" spans="5:13" ht="15" customHeight="1">
      <c r="F4218" s="306"/>
      <c r="G4218" s="301" t="s">
        <v>232</v>
      </c>
      <c r="H4218" s="307" t="s">
        <v>175</v>
      </c>
      <c r="I4218" s="307" t="s">
        <v>171</v>
      </c>
      <c r="J4218" s="308">
        <v>3.5000000000000003E-2</v>
      </c>
      <c r="K4218" s="309">
        <f>VLOOKUP(G4218,Upah,8,FALSE)</f>
        <v>165000</v>
      </c>
      <c r="L4218" s="310">
        <f>J4218*K4218</f>
        <v>5775.0000000000009</v>
      </c>
    </row>
    <row r="4219" spans="5:13" ht="15" customHeight="1" thickBot="1">
      <c r="F4219" s="306"/>
      <c r="G4219" s="301" t="s">
        <v>176</v>
      </c>
      <c r="H4219" s="307" t="s">
        <v>177</v>
      </c>
      <c r="I4219" s="307" t="s">
        <v>171</v>
      </c>
      <c r="J4219" s="308">
        <v>3.5000000000000003E-2</v>
      </c>
      <c r="K4219" s="309">
        <f>VLOOKUP(G4219,Upah,8,FALSE)</f>
        <v>170000</v>
      </c>
      <c r="L4219" s="310">
        <f>J4219*K4219</f>
        <v>5950.0000000000009</v>
      </c>
    </row>
    <row r="4220" spans="5:13" ht="15" customHeight="1" thickBot="1">
      <c r="F4220" s="316"/>
      <c r="G4220" s="317"/>
      <c r="H4220" s="318"/>
      <c r="I4220" s="318"/>
      <c r="J4220" s="319" t="s">
        <v>178</v>
      </c>
      <c r="K4220" s="320"/>
      <c r="L4220" s="321">
        <f>SUM(L4216:L4219)</f>
        <v>151725</v>
      </c>
    </row>
    <row r="4221" spans="5:13" ht="15" customHeight="1">
      <c r="F4221" s="300" t="s">
        <v>179</v>
      </c>
      <c r="G4221" s="301" t="s">
        <v>180</v>
      </c>
      <c r="H4221" s="302"/>
      <c r="I4221" s="302"/>
      <c r="J4221" s="351"/>
      <c r="K4221" s="328"/>
      <c r="L4221" s="310"/>
    </row>
    <row r="4222" spans="5:13" ht="15" customHeight="1">
      <c r="F4222" s="306"/>
      <c r="G4222" s="301" t="s">
        <v>846</v>
      </c>
      <c r="H4222" s="302"/>
      <c r="I4222" s="307" t="s">
        <v>221</v>
      </c>
      <c r="J4222" s="308">
        <v>106</v>
      </c>
      <c r="K4222" s="328">
        <f>VLOOKUP(G4222,Bahan,6,FALSE)</f>
        <v>1900</v>
      </c>
      <c r="L4222" s="310">
        <f>J4222*K4222</f>
        <v>201400</v>
      </c>
    </row>
    <row r="4223" spans="5:13" ht="15" customHeight="1">
      <c r="F4223" s="306"/>
      <c r="G4223" s="301" t="s">
        <v>183</v>
      </c>
      <c r="H4223" s="302"/>
      <c r="I4223" s="307" t="s">
        <v>45</v>
      </c>
      <c r="J4223" s="308">
        <v>8.19</v>
      </c>
      <c r="K4223" s="328">
        <f>VLOOKUP(G4223,Bahan,6,FALSE)</f>
        <v>1880</v>
      </c>
      <c r="L4223" s="310">
        <f>J4223*K4223</f>
        <v>15397.199999999999</v>
      </c>
    </row>
    <row r="4224" spans="5:13" ht="15" customHeight="1">
      <c r="F4224" s="306"/>
      <c r="G4224" s="301" t="s">
        <v>296</v>
      </c>
      <c r="H4224" s="302"/>
      <c r="I4224" s="307" t="s">
        <v>292</v>
      </c>
      <c r="J4224" s="308">
        <v>4.4999999999999998E-2</v>
      </c>
      <c r="K4224" s="328">
        <f>VLOOKUP(G4224,Bahan,6,FALSE)</f>
        <v>253510</v>
      </c>
      <c r="L4224" s="310">
        <f>J4224*K4224</f>
        <v>11407.949999999999</v>
      </c>
    </row>
    <row r="4225" spans="5:13" ht="15" customHeight="1" thickBot="1">
      <c r="F4225" s="306"/>
      <c r="G4225" s="301" t="s">
        <v>758</v>
      </c>
      <c r="H4225" s="302"/>
      <c r="I4225" s="307" t="s">
        <v>45</v>
      </c>
      <c r="J4225" s="308">
        <v>3.2</v>
      </c>
      <c r="K4225" s="328">
        <f>VLOOKUP(G4225,Bahan,6,FALSE)</f>
        <v>2460</v>
      </c>
      <c r="L4225" s="310">
        <f>J4225*K4225</f>
        <v>7872</v>
      </c>
    </row>
    <row r="4226" spans="5:13" ht="15" customHeight="1" thickBot="1">
      <c r="F4226" s="316"/>
      <c r="G4226" s="317"/>
      <c r="H4226" s="318"/>
      <c r="I4226" s="318"/>
      <c r="J4226" s="319" t="s">
        <v>189</v>
      </c>
      <c r="K4226" s="320"/>
      <c r="L4226" s="321">
        <f>SUM(L4222:L4225)</f>
        <v>236077.15000000002</v>
      </c>
    </row>
    <row r="4227" spans="5:13" ht="15" customHeight="1" thickBot="1">
      <c r="F4227" s="300" t="s">
        <v>190</v>
      </c>
      <c r="G4227" s="301" t="s">
        <v>191</v>
      </c>
      <c r="H4227" s="302"/>
      <c r="I4227" s="302"/>
      <c r="J4227" s="351"/>
      <c r="K4227" s="328">
        <v>0</v>
      </c>
      <c r="L4227" s="310">
        <f>J4227*K4227</f>
        <v>0</v>
      </c>
    </row>
    <row r="4228" spans="5:13" ht="15" customHeight="1" thickBot="1">
      <c r="F4228" s="316"/>
      <c r="G4228" s="317"/>
      <c r="H4228" s="318"/>
      <c r="I4228" s="318"/>
      <c r="J4228" s="319" t="s">
        <v>192</v>
      </c>
      <c r="K4228" s="320"/>
      <c r="L4228" s="321">
        <f>L4227</f>
        <v>0</v>
      </c>
    </row>
    <row r="4229" spans="5:13" ht="15" customHeight="1">
      <c r="F4229" s="344" t="s">
        <v>193</v>
      </c>
      <c r="G4229" s="345" t="s">
        <v>194</v>
      </c>
      <c r="H4229" s="346"/>
      <c r="I4229" s="346"/>
      <c r="J4229" s="347"/>
      <c r="K4229" s="348">
        <v>0</v>
      </c>
      <c r="L4229" s="310">
        <f>SUM(L4216:L4228)/2</f>
        <v>387802.15</v>
      </c>
    </row>
    <row r="4230" spans="5:13" ht="15" customHeight="1" thickBot="1">
      <c r="F4230" s="331" t="s">
        <v>195</v>
      </c>
      <c r="G4230" s="332" t="s">
        <v>196</v>
      </c>
      <c r="H4230" s="333"/>
      <c r="I4230" s="333"/>
      <c r="J4230" s="350">
        <v>0.1</v>
      </c>
      <c r="K4230" s="335"/>
      <c r="L4230" s="330">
        <f>J4230*L4229</f>
        <v>38780.215000000004</v>
      </c>
    </row>
    <row r="4231" spans="5:13" ht="15" customHeight="1" thickBot="1">
      <c r="F4231" s="340" t="s">
        <v>197</v>
      </c>
      <c r="G4231" s="341" t="s">
        <v>198</v>
      </c>
      <c r="H4231" s="318"/>
      <c r="I4231" s="318"/>
      <c r="J4231" s="342"/>
      <c r="K4231" s="320">
        <v>0</v>
      </c>
      <c r="L4231" s="321">
        <f>ROUNDDOWN(L4229+L4230,0)</f>
        <v>426582</v>
      </c>
    </row>
    <row r="4232" spans="5:13" ht="15" customHeight="1">
      <c r="F4232" s="298"/>
      <c r="G4232" s="298"/>
      <c r="J4232" s="343"/>
    </row>
    <row r="4233" spans="5:13" ht="15" customHeight="1" thickBot="1">
      <c r="E4233" s="356" t="s">
        <v>847</v>
      </c>
      <c r="F4233" s="295" t="s">
        <v>848</v>
      </c>
      <c r="J4233" s="343"/>
      <c r="M4233" s="299">
        <f>L4251</f>
        <v>299766</v>
      </c>
    </row>
    <row r="4234" spans="5:13" ht="15" customHeight="1" thickBot="1">
      <c r="F4234" s="340" t="s">
        <v>136</v>
      </c>
      <c r="G4234" s="341" t="s">
        <v>162</v>
      </c>
      <c r="H4234" s="352" t="s">
        <v>163</v>
      </c>
      <c r="I4234" s="352" t="s">
        <v>138</v>
      </c>
      <c r="J4234" s="353" t="s">
        <v>164</v>
      </c>
      <c r="K4234" s="341" t="s">
        <v>165</v>
      </c>
      <c r="L4234" s="354" t="s">
        <v>166</v>
      </c>
    </row>
    <row r="4235" spans="5:13" ht="15" customHeight="1">
      <c r="F4235" s="300" t="s">
        <v>167</v>
      </c>
      <c r="G4235" s="301" t="s">
        <v>168</v>
      </c>
      <c r="H4235" s="302"/>
      <c r="I4235" s="302"/>
      <c r="J4235" s="351"/>
      <c r="K4235" s="328"/>
      <c r="L4235" s="310"/>
    </row>
    <row r="4236" spans="5:13" ht="15" customHeight="1">
      <c r="F4236" s="306"/>
      <c r="G4236" s="301" t="s">
        <v>169</v>
      </c>
      <c r="H4236" s="307" t="s">
        <v>170</v>
      </c>
      <c r="I4236" s="307" t="s">
        <v>171</v>
      </c>
      <c r="J4236" s="308">
        <v>0.7</v>
      </c>
      <c r="K4236" s="309">
        <f>VLOOKUP(G4236,Upah,8,FALSE)</f>
        <v>125000</v>
      </c>
      <c r="L4236" s="310">
        <f>J4236*K4236</f>
        <v>87500</v>
      </c>
    </row>
    <row r="4237" spans="5:13" ht="15" customHeight="1">
      <c r="F4237" s="306"/>
      <c r="G4237" s="301" t="s">
        <v>308</v>
      </c>
      <c r="H4237" s="307" t="s">
        <v>217</v>
      </c>
      <c r="I4237" s="307" t="s">
        <v>171</v>
      </c>
      <c r="J4237" s="308">
        <v>0.35</v>
      </c>
      <c r="K4237" s="309">
        <f>VLOOKUP(G4237,Upah,8,FALSE)</f>
        <v>150000</v>
      </c>
      <c r="L4237" s="310">
        <f>J4237*K4237</f>
        <v>52500</v>
      </c>
    </row>
    <row r="4238" spans="5:13" ht="15" customHeight="1">
      <c r="F4238" s="306"/>
      <c r="G4238" s="301" t="s">
        <v>232</v>
      </c>
      <c r="H4238" s="307" t="s">
        <v>175</v>
      </c>
      <c r="I4238" s="307" t="s">
        <v>171</v>
      </c>
      <c r="J4238" s="308">
        <v>3.5000000000000003E-2</v>
      </c>
      <c r="K4238" s="309">
        <f>VLOOKUP(G4238,Upah,8,FALSE)</f>
        <v>165000</v>
      </c>
      <c r="L4238" s="310">
        <f>J4238*K4238</f>
        <v>5775.0000000000009</v>
      </c>
    </row>
    <row r="4239" spans="5:13" ht="15" customHeight="1" thickBot="1">
      <c r="F4239" s="306"/>
      <c r="G4239" s="301" t="s">
        <v>176</v>
      </c>
      <c r="H4239" s="307" t="s">
        <v>177</v>
      </c>
      <c r="I4239" s="307" t="s">
        <v>171</v>
      </c>
      <c r="J4239" s="308">
        <v>3.5000000000000003E-2</v>
      </c>
      <c r="K4239" s="309">
        <f>VLOOKUP(G4239,Upah,8,FALSE)</f>
        <v>170000</v>
      </c>
      <c r="L4239" s="310">
        <f>J4239*K4239</f>
        <v>5950.0000000000009</v>
      </c>
    </row>
    <row r="4240" spans="5:13" ht="15" customHeight="1" thickBot="1">
      <c r="F4240" s="316"/>
      <c r="G4240" s="317"/>
      <c r="H4240" s="318"/>
      <c r="I4240" s="318"/>
      <c r="J4240" s="319" t="s">
        <v>178</v>
      </c>
      <c r="K4240" s="320"/>
      <c r="L4240" s="321">
        <f>SUM(L4236:L4239)</f>
        <v>151725</v>
      </c>
    </row>
    <row r="4241" spans="5:13" ht="15" customHeight="1">
      <c r="F4241" s="300" t="s">
        <v>179</v>
      </c>
      <c r="G4241" s="301" t="s">
        <v>180</v>
      </c>
      <c r="H4241" s="302"/>
      <c r="I4241" s="302"/>
      <c r="J4241" s="351"/>
      <c r="K4241" s="328"/>
      <c r="L4241" s="310"/>
    </row>
    <row r="4242" spans="5:13" ht="15" customHeight="1">
      <c r="F4242" s="306"/>
      <c r="G4242" s="301" t="s">
        <v>849</v>
      </c>
      <c r="H4242" s="302"/>
      <c r="I4242" s="307" t="s">
        <v>221</v>
      </c>
      <c r="J4242" s="308">
        <v>10</v>
      </c>
      <c r="K4242" s="328">
        <f>VLOOKUP(G4242,Bahan,6,FALSE)</f>
        <v>9000</v>
      </c>
      <c r="L4242" s="310">
        <f>J4242*K4242</f>
        <v>90000</v>
      </c>
    </row>
    <row r="4243" spans="5:13" ht="15" customHeight="1">
      <c r="F4243" s="306"/>
      <c r="G4243" s="301" t="s">
        <v>183</v>
      </c>
      <c r="H4243" s="302"/>
      <c r="I4243" s="307" t="s">
        <v>45</v>
      </c>
      <c r="J4243" s="308">
        <v>8.19</v>
      </c>
      <c r="K4243" s="328">
        <f>VLOOKUP(G4243,Bahan,6,FALSE)</f>
        <v>1880</v>
      </c>
      <c r="L4243" s="310">
        <f>J4243*K4243</f>
        <v>15397.199999999999</v>
      </c>
    </row>
    <row r="4244" spans="5:13" ht="15" customHeight="1">
      <c r="F4244" s="306"/>
      <c r="G4244" s="301" t="s">
        <v>296</v>
      </c>
      <c r="H4244" s="302"/>
      <c r="I4244" s="307" t="s">
        <v>292</v>
      </c>
      <c r="J4244" s="308">
        <v>4.4999999999999998E-2</v>
      </c>
      <c r="K4244" s="328">
        <f>VLOOKUP(G4244,Bahan,6,FALSE)</f>
        <v>253510</v>
      </c>
      <c r="L4244" s="310">
        <f>J4244*K4244</f>
        <v>11407.949999999999</v>
      </c>
    </row>
    <row r="4245" spans="5:13" ht="15" customHeight="1" thickBot="1">
      <c r="F4245" s="306"/>
      <c r="G4245" s="301" t="s">
        <v>758</v>
      </c>
      <c r="H4245" s="302"/>
      <c r="I4245" s="307" t="s">
        <v>45</v>
      </c>
      <c r="J4245" s="308">
        <v>1.62</v>
      </c>
      <c r="K4245" s="328">
        <f>VLOOKUP(G4245,Bahan,6,FALSE)</f>
        <v>2460</v>
      </c>
      <c r="L4245" s="310">
        <f>J4245*K4245</f>
        <v>3985.2000000000003</v>
      </c>
    </row>
    <row r="4246" spans="5:13" ht="15" customHeight="1" thickBot="1">
      <c r="F4246" s="316"/>
      <c r="G4246" s="317"/>
      <c r="H4246" s="318"/>
      <c r="I4246" s="318"/>
      <c r="J4246" s="319" t="s">
        <v>189</v>
      </c>
      <c r="K4246" s="320"/>
      <c r="L4246" s="321">
        <f>SUM(L4242:L4245)</f>
        <v>120790.34999999999</v>
      </c>
    </row>
    <row r="4247" spans="5:13" ht="15" customHeight="1" thickBot="1">
      <c r="F4247" s="300" t="s">
        <v>190</v>
      </c>
      <c r="G4247" s="301" t="s">
        <v>191</v>
      </c>
      <c r="H4247" s="302"/>
      <c r="I4247" s="302"/>
      <c r="J4247" s="351"/>
      <c r="K4247" s="328">
        <v>0</v>
      </c>
      <c r="L4247" s="310">
        <f>J4247*K4247</f>
        <v>0</v>
      </c>
    </row>
    <row r="4248" spans="5:13" ht="15" customHeight="1" thickBot="1">
      <c r="F4248" s="316"/>
      <c r="G4248" s="317"/>
      <c r="H4248" s="318"/>
      <c r="I4248" s="318"/>
      <c r="J4248" s="319" t="s">
        <v>192</v>
      </c>
      <c r="K4248" s="320"/>
      <c r="L4248" s="321">
        <f>L4247</f>
        <v>0</v>
      </c>
    </row>
    <row r="4249" spans="5:13" ht="15" customHeight="1">
      <c r="F4249" s="344" t="s">
        <v>193</v>
      </c>
      <c r="G4249" s="345" t="s">
        <v>194</v>
      </c>
      <c r="H4249" s="346"/>
      <c r="I4249" s="346"/>
      <c r="J4249" s="347"/>
      <c r="K4249" s="348">
        <v>0</v>
      </c>
      <c r="L4249" s="310">
        <f>SUM(L4236:L4248)/2</f>
        <v>272515.35000000003</v>
      </c>
    </row>
    <row r="4250" spans="5:13" ht="15" customHeight="1" thickBot="1">
      <c r="F4250" s="331" t="s">
        <v>195</v>
      </c>
      <c r="G4250" s="332" t="s">
        <v>196</v>
      </c>
      <c r="H4250" s="333"/>
      <c r="I4250" s="333"/>
      <c r="J4250" s="350">
        <v>0.1</v>
      </c>
      <c r="K4250" s="335"/>
      <c r="L4250" s="330">
        <f>J4250*L4249</f>
        <v>27251.535000000003</v>
      </c>
    </row>
    <row r="4251" spans="5:13" ht="15" customHeight="1" thickBot="1">
      <c r="F4251" s="340" t="s">
        <v>197</v>
      </c>
      <c r="G4251" s="341" t="s">
        <v>198</v>
      </c>
      <c r="H4251" s="318"/>
      <c r="I4251" s="318"/>
      <c r="J4251" s="342"/>
      <c r="K4251" s="320">
        <v>0</v>
      </c>
      <c r="L4251" s="321">
        <f>ROUNDDOWN(L4249+L4250,0)</f>
        <v>299766</v>
      </c>
    </row>
    <row r="4252" spans="5:13" ht="15" customHeight="1">
      <c r="F4252" s="298"/>
      <c r="G4252" s="298"/>
      <c r="J4252" s="343"/>
    </row>
    <row r="4253" spans="5:13" ht="15" customHeight="1" thickBot="1">
      <c r="E4253" s="356" t="s">
        <v>850</v>
      </c>
      <c r="F4253" s="295" t="s">
        <v>851</v>
      </c>
      <c r="J4253" s="343"/>
      <c r="M4253" s="299">
        <f>L4271</f>
        <v>302112</v>
      </c>
    </row>
    <row r="4254" spans="5:13" ht="15" customHeight="1" thickBot="1">
      <c r="F4254" s="340" t="s">
        <v>136</v>
      </c>
      <c r="G4254" s="341" t="s">
        <v>162</v>
      </c>
      <c r="H4254" s="352" t="s">
        <v>163</v>
      </c>
      <c r="I4254" s="352" t="s">
        <v>138</v>
      </c>
      <c r="J4254" s="353" t="s">
        <v>164</v>
      </c>
      <c r="K4254" s="341" t="s">
        <v>165</v>
      </c>
      <c r="L4254" s="354" t="s">
        <v>166</v>
      </c>
    </row>
    <row r="4255" spans="5:13" ht="15" customHeight="1">
      <c r="F4255" s="300" t="s">
        <v>167</v>
      </c>
      <c r="G4255" s="301" t="s">
        <v>168</v>
      </c>
      <c r="H4255" s="302"/>
      <c r="I4255" s="302"/>
      <c r="J4255" s="351"/>
      <c r="K4255" s="328"/>
      <c r="L4255" s="310"/>
    </row>
    <row r="4256" spans="5:13" ht="15" customHeight="1">
      <c r="F4256" s="306"/>
      <c r="G4256" s="301" t="s">
        <v>169</v>
      </c>
      <c r="H4256" s="307" t="s">
        <v>170</v>
      </c>
      <c r="I4256" s="307" t="s">
        <v>171</v>
      </c>
      <c r="J4256" s="308">
        <v>0.7</v>
      </c>
      <c r="K4256" s="309">
        <f>VLOOKUP(G4256,Upah,8,FALSE)</f>
        <v>125000</v>
      </c>
      <c r="L4256" s="310">
        <f>J4256*K4256</f>
        <v>87500</v>
      </c>
    </row>
    <row r="4257" spans="6:12" ht="15" customHeight="1">
      <c r="F4257" s="306"/>
      <c r="G4257" s="301" t="s">
        <v>308</v>
      </c>
      <c r="H4257" s="307" t="s">
        <v>217</v>
      </c>
      <c r="I4257" s="307" t="s">
        <v>171</v>
      </c>
      <c r="J4257" s="308">
        <v>0.35</v>
      </c>
      <c r="K4257" s="309">
        <f>VLOOKUP(G4257,Upah,8,FALSE)</f>
        <v>150000</v>
      </c>
      <c r="L4257" s="310">
        <f>J4257*K4257</f>
        <v>52500</v>
      </c>
    </row>
    <row r="4258" spans="6:12" ht="15" customHeight="1">
      <c r="F4258" s="306"/>
      <c r="G4258" s="301" t="s">
        <v>232</v>
      </c>
      <c r="H4258" s="307" t="s">
        <v>175</v>
      </c>
      <c r="I4258" s="307" t="s">
        <v>171</v>
      </c>
      <c r="J4258" s="308">
        <v>3.5000000000000003E-2</v>
      </c>
      <c r="K4258" s="309">
        <f>VLOOKUP(G4258,Upah,8,FALSE)</f>
        <v>165000</v>
      </c>
      <c r="L4258" s="310">
        <f>J4258*K4258</f>
        <v>5775.0000000000009</v>
      </c>
    </row>
    <row r="4259" spans="6:12" ht="15" customHeight="1" thickBot="1">
      <c r="F4259" s="306"/>
      <c r="G4259" s="301" t="s">
        <v>176</v>
      </c>
      <c r="H4259" s="307" t="s">
        <v>177</v>
      </c>
      <c r="I4259" s="307" t="s">
        <v>171</v>
      </c>
      <c r="J4259" s="308">
        <v>3.5000000000000003E-2</v>
      </c>
      <c r="K4259" s="309">
        <f>VLOOKUP(G4259,Upah,8,FALSE)</f>
        <v>170000</v>
      </c>
      <c r="L4259" s="310">
        <f>J4259*K4259</f>
        <v>5950.0000000000009</v>
      </c>
    </row>
    <row r="4260" spans="6:12" ht="15" customHeight="1" thickBot="1">
      <c r="F4260" s="316"/>
      <c r="G4260" s="317"/>
      <c r="H4260" s="318"/>
      <c r="I4260" s="318"/>
      <c r="J4260" s="319" t="s">
        <v>178</v>
      </c>
      <c r="K4260" s="320"/>
      <c r="L4260" s="321">
        <f>SUM(L4256:L4259)</f>
        <v>151725</v>
      </c>
    </row>
    <row r="4261" spans="6:12" ht="15" customHeight="1">
      <c r="F4261" s="300" t="s">
        <v>179</v>
      </c>
      <c r="G4261" s="301" t="s">
        <v>180</v>
      </c>
      <c r="H4261" s="302"/>
      <c r="I4261" s="302"/>
      <c r="J4261" s="351"/>
      <c r="K4261" s="328"/>
      <c r="L4261" s="310"/>
    </row>
    <row r="4262" spans="6:12" ht="15" customHeight="1">
      <c r="F4262" s="306"/>
      <c r="G4262" s="301" t="s">
        <v>852</v>
      </c>
      <c r="H4262" s="302"/>
      <c r="I4262" s="307" t="s">
        <v>221</v>
      </c>
      <c r="J4262" s="308">
        <v>11.87</v>
      </c>
      <c r="K4262" s="328">
        <f>VLOOKUP(G4262,Bahan,6,FALSE)</f>
        <v>7500</v>
      </c>
      <c r="L4262" s="310">
        <f>J4262*K4262</f>
        <v>89025</v>
      </c>
    </row>
    <row r="4263" spans="6:12" ht="15" customHeight="1">
      <c r="F4263" s="306"/>
      <c r="G4263" s="301" t="s">
        <v>183</v>
      </c>
      <c r="H4263" s="302"/>
      <c r="I4263" s="307" t="s">
        <v>45</v>
      </c>
      <c r="J4263" s="308">
        <v>10</v>
      </c>
      <c r="K4263" s="328">
        <f>VLOOKUP(G4263,Bahan,6,FALSE)</f>
        <v>1880</v>
      </c>
      <c r="L4263" s="310">
        <f>J4263*K4263</f>
        <v>18800</v>
      </c>
    </row>
    <row r="4264" spans="6:12" ht="15" customHeight="1">
      <c r="F4264" s="306"/>
      <c r="G4264" s="301" t="s">
        <v>296</v>
      </c>
      <c r="H4264" s="302"/>
      <c r="I4264" s="307" t="s">
        <v>292</v>
      </c>
      <c r="J4264" s="308">
        <v>4.4999999999999998E-2</v>
      </c>
      <c r="K4264" s="328">
        <f>VLOOKUP(G4264,Bahan,6,FALSE)</f>
        <v>253510</v>
      </c>
      <c r="L4264" s="310">
        <f>J4264*K4264</f>
        <v>11407.949999999999</v>
      </c>
    </row>
    <row r="4265" spans="6:12" ht="15" customHeight="1" thickBot="1">
      <c r="F4265" s="306"/>
      <c r="G4265" s="301" t="s">
        <v>758</v>
      </c>
      <c r="H4265" s="302"/>
      <c r="I4265" s="307" t="s">
        <v>45</v>
      </c>
      <c r="J4265" s="308">
        <v>1.5</v>
      </c>
      <c r="K4265" s="328">
        <f>VLOOKUP(G4265,Bahan,6,FALSE)</f>
        <v>2460</v>
      </c>
      <c r="L4265" s="310">
        <f>J4265*K4265</f>
        <v>3690</v>
      </c>
    </row>
    <row r="4266" spans="6:12" ht="15" customHeight="1" thickBot="1">
      <c r="F4266" s="316"/>
      <c r="G4266" s="317"/>
      <c r="H4266" s="318"/>
      <c r="I4266" s="318"/>
      <c r="J4266" s="319" t="s">
        <v>189</v>
      </c>
      <c r="K4266" s="320"/>
      <c r="L4266" s="321">
        <f>SUM(L4262:L4265)</f>
        <v>122922.95</v>
      </c>
    </row>
    <row r="4267" spans="6:12" ht="15" customHeight="1" thickBot="1">
      <c r="F4267" s="300" t="s">
        <v>190</v>
      </c>
      <c r="G4267" s="301" t="s">
        <v>191</v>
      </c>
      <c r="H4267" s="302"/>
      <c r="I4267" s="302"/>
      <c r="J4267" s="351"/>
      <c r="K4267" s="328">
        <v>0</v>
      </c>
      <c r="L4267" s="310">
        <f>J4267*K4267</f>
        <v>0</v>
      </c>
    </row>
    <row r="4268" spans="6:12" ht="15" customHeight="1" thickBot="1">
      <c r="F4268" s="316"/>
      <c r="G4268" s="317"/>
      <c r="H4268" s="318"/>
      <c r="I4268" s="318"/>
      <c r="J4268" s="319" t="s">
        <v>192</v>
      </c>
      <c r="K4268" s="320"/>
      <c r="L4268" s="321">
        <f>L4267</f>
        <v>0</v>
      </c>
    </row>
    <row r="4269" spans="6:12" ht="15" customHeight="1">
      <c r="F4269" s="344" t="s">
        <v>193</v>
      </c>
      <c r="G4269" s="345" t="s">
        <v>194</v>
      </c>
      <c r="H4269" s="346"/>
      <c r="I4269" s="346"/>
      <c r="J4269" s="347"/>
      <c r="K4269" s="348">
        <v>0</v>
      </c>
      <c r="L4269" s="310">
        <f>SUM(L4256:L4268)/2</f>
        <v>274647.95</v>
      </c>
    </row>
    <row r="4270" spans="6:12" ht="15" customHeight="1" thickBot="1">
      <c r="F4270" s="331" t="s">
        <v>195</v>
      </c>
      <c r="G4270" s="332" t="s">
        <v>196</v>
      </c>
      <c r="H4270" s="333"/>
      <c r="I4270" s="333"/>
      <c r="J4270" s="350">
        <v>0.1</v>
      </c>
      <c r="K4270" s="335"/>
      <c r="L4270" s="330">
        <f>J4270*L4269</f>
        <v>27464.795000000002</v>
      </c>
    </row>
    <row r="4271" spans="6:12" ht="15" customHeight="1" thickBot="1">
      <c r="F4271" s="340" t="s">
        <v>197</v>
      </c>
      <c r="G4271" s="341" t="s">
        <v>198</v>
      </c>
      <c r="H4271" s="318"/>
      <c r="I4271" s="318"/>
      <c r="J4271" s="342"/>
      <c r="K4271" s="320">
        <v>0</v>
      </c>
      <c r="L4271" s="321">
        <f>ROUNDDOWN(L4269+L4270,0)</f>
        <v>302112</v>
      </c>
    </row>
    <row r="4272" spans="6:12" ht="15" customHeight="1">
      <c r="F4272" s="298"/>
      <c r="G4272" s="298"/>
      <c r="J4272" s="343"/>
    </row>
    <row r="4273" spans="5:13" ht="15" customHeight="1" thickBot="1">
      <c r="E4273" s="356" t="s">
        <v>853</v>
      </c>
      <c r="F4273" s="295" t="s">
        <v>854</v>
      </c>
      <c r="J4273" s="343"/>
      <c r="M4273" s="299">
        <f>L4291</f>
        <v>351087</v>
      </c>
    </row>
    <row r="4274" spans="5:13" ht="15" customHeight="1" thickBot="1">
      <c r="F4274" s="340" t="s">
        <v>136</v>
      </c>
      <c r="G4274" s="341" t="s">
        <v>162</v>
      </c>
      <c r="H4274" s="352" t="s">
        <v>163</v>
      </c>
      <c r="I4274" s="352" t="s">
        <v>138</v>
      </c>
      <c r="J4274" s="353" t="s">
        <v>164</v>
      </c>
      <c r="K4274" s="341" t="s">
        <v>165</v>
      </c>
      <c r="L4274" s="354" t="s">
        <v>166</v>
      </c>
    </row>
    <row r="4275" spans="5:13" ht="15" customHeight="1">
      <c r="F4275" s="300" t="s">
        <v>167</v>
      </c>
      <c r="G4275" s="301" t="s">
        <v>168</v>
      </c>
      <c r="H4275" s="302"/>
      <c r="I4275" s="302"/>
      <c r="J4275" s="351"/>
      <c r="K4275" s="328"/>
      <c r="L4275" s="310"/>
    </row>
    <row r="4276" spans="5:13" ht="15" customHeight="1">
      <c r="F4276" s="306"/>
      <c r="G4276" s="301" t="s">
        <v>169</v>
      </c>
      <c r="H4276" s="307" t="s">
        <v>170</v>
      </c>
      <c r="I4276" s="307" t="s">
        <v>171</v>
      </c>
      <c r="J4276" s="308">
        <v>0.7</v>
      </c>
      <c r="K4276" s="309">
        <f>VLOOKUP(G4276,Upah,8,FALSE)</f>
        <v>125000</v>
      </c>
      <c r="L4276" s="310">
        <f>J4276*K4276</f>
        <v>87500</v>
      </c>
    </row>
    <row r="4277" spans="5:13" ht="15" customHeight="1">
      <c r="F4277" s="306"/>
      <c r="G4277" s="301" t="s">
        <v>308</v>
      </c>
      <c r="H4277" s="307" t="s">
        <v>217</v>
      </c>
      <c r="I4277" s="307" t="s">
        <v>171</v>
      </c>
      <c r="J4277" s="308">
        <v>0.35</v>
      </c>
      <c r="K4277" s="309">
        <f>VLOOKUP(G4277,Upah,8,FALSE)</f>
        <v>150000</v>
      </c>
      <c r="L4277" s="310">
        <f>J4277*K4277</f>
        <v>52500</v>
      </c>
    </row>
    <row r="4278" spans="5:13" ht="15" customHeight="1">
      <c r="F4278" s="306"/>
      <c r="G4278" s="301" t="s">
        <v>232</v>
      </c>
      <c r="H4278" s="307" t="s">
        <v>175</v>
      </c>
      <c r="I4278" s="307" t="s">
        <v>171</v>
      </c>
      <c r="J4278" s="308">
        <v>3.5000000000000003E-2</v>
      </c>
      <c r="K4278" s="309">
        <f>VLOOKUP(G4278,Upah,8,FALSE)</f>
        <v>165000</v>
      </c>
      <c r="L4278" s="310">
        <f>J4278*K4278</f>
        <v>5775.0000000000009</v>
      </c>
    </row>
    <row r="4279" spans="5:13" ht="15" customHeight="1" thickBot="1">
      <c r="F4279" s="306"/>
      <c r="G4279" s="301" t="s">
        <v>176</v>
      </c>
      <c r="H4279" s="307" t="s">
        <v>177</v>
      </c>
      <c r="I4279" s="307" t="s">
        <v>171</v>
      </c>
      <c r="J4279" s="308">
        <v>3.5000000000000003E-2</v>
      </c>
      <c r="K4279" s="309">
        <f>VLOOKUP(G4279,Upah,8,FALSE)</f>
        <v>170000</v>
      </c>
      <c r="L4279" s="310">
        <f>J4279*K4279</f>
        <v>5950.0000000000009</v>
      </c>
    </row>
    <row r="4280" spans="5:13" ht="15" customHeight="1" thickBot="1">
      <c r="F4280" s="316"/>
      <c r="G4280" s="317"/>
      <c r="H4280" s="318"/>
      <c r="I4280" s="318"/>
      <c r="J4280" s="319" t="s">
        <v>178</v>
      </c>
      <c r="K4280" s="320"/>
      <c r="L4280" s="321">
        <f>SUM(L4276:L4279)</f>
        <v>151725</v>
      </c>
    </row>
    <row r="4281" spans="5:13" ht="15" customHeight="1">
      <c r="F4281" s="300" t="s">
        <v>179</v>
      </c>
      <c r="G4281" s="301" t="s">
        <v>180</v>
      </c>
      <c r="H4281" s="302"/>
      <c r="I4281" s="302"/>
      <c r="J4281" s="351"/>
      <c r="K4281" s="328"/>
      <c r="L4281" s="310"/>
    </row>
    <row r="4282" spans="5:13" ht="15" customHeight="1">
      <c r="F4282" s="306"/>
      <c r="G4282" s="301" t="s">
        <v>855</v>
      </c>
      <c r="H4282" s="302"/>
      <c r="I4282" s="307" t="s">
        <v>221</v>
      </c>
      <c r="J4282" s="308">
        <v>26.5</v>
      </c>
      <c r="K4282" s="328">
        <f>VLOOKUP(G4282,Bahan,6,FALSE)</f>
        <v>5000</v>
      </c>
      <c r="L4282" s="310">
        <f>J4282*K4282</f>
        <v>132500</v>
      </c>
    </row>
    <row r="4283" spans="5:13" ht="15" customHeight="1">
      <c r="F4283" s="306"/>
      <c r="G4283" s="301" t="s">
        <v>183</v>
      </c>
      <c r="H4283" s="302"/>
      <c r="I4283" s="307" t="s">
        <v>45</v>
      </c>
      <c r="J4283" s="308">
        <v>10.4</v>
      </c>
      <c r="K4283" s="328">
        <f>VLOOKUP(G4283,Bahan,6,FALSE)</f>
        <v>1880</v>
      </c>
      <c r="L4283" s="310">
        <f>J4283*K4283</f>
        <v>19552</v>
      </c>
    </row>
    <row r="4284" spans="5:13" ht="15" customHeight="1">
      <c r="F4284" s="306"/>
      <c r="G4284" s="301" t="s">
        <v>296</v>
      </c>
      <c r="H4284" s="302"/>
      <c r="I4284" s="307" t="s">
        <v>292</v>
      </c>
      <c r="J4284" s="308">
        <v>4.4999999999999998E-2</v>
      </c>
      <c r="K4284" s="328">
        <f>VLOOKUP(G4284,Bahan,6,FALSE)</f>
        <v>253510</v>
      </c>
      <c r="L4284" s="310">
        <f>J4284*K4284</f>
        <v>11407.949999999999</v>
      </c>
    </row>
    <row r="4285" spans="5:13" ht="15" customHeight="1" thickBot="1">
      <c r="F4285" s="306"/>
      <c r="G4285" s="301" t="s">
        <v>758</v>
      </c>
      <c r="H4285" s="302"/>
      <c r="I4285" s="307" t="s">
        <v>45</v>
      </c>
      <c r="J4285" s="308">
        <v>1.62</v>
      </c>
      <c r="K4285" s="328">
        <f>VLOOKUP(G4285,Bahan,6,FALSE)</f>
        <v>2460</v>
      </c>
      <c r="L4285" s="310">
        <f>J4285*K4285</f>
        <v>3985.2000000000003</v>
      </c>
    </row>
    <row r="4286" spans="5:13" ht="15" customHeight="1" thickBot="1">
      <c r="F4286" s="316"/>
      <c r="G4286" s="317"/>
      <c r="H4286" s="318"/>
      <c r="I4286" s="318"/>
      <c r="J4286" s="319" t="s">
        <v>189</v>
      </c>
      <c r="K4286" s="320"/>
      <c r="L4286" s="321">
        <f>SUM(L4282:L4285)</f>
        <v>167445.15000000002</v>
      </c>
    </row>
    <row r="4287" spans="5:13" ht="15" customHeight="1" thickBot="1">
      <c r="F4287" s="300" t="s">
        <v>190</v>
      </c>
      <c r="G4287" s="301" t="s">
        <v>191</v>
      </c>
      <c r="H4287" s="302"/>
      <c r="I4287" s="302"/>
      <c r="J4287" s="351"/>
      <c r="K4287" s="328">
        <v>0</v>
      </c>
      <c r="L4287" s="310">
        <f>J4287*K4287</f>
        <v>0</v>
      </c>
    </row>
    <row r="4288" spans="5:13" ht="15" customHeight="1" thickBot="1">
      <c r="F4288" s="316"/>
      <c r="G4288" s="317"/>
      <c r="H4288" s="318"/>
      <c r="I4288" s="318"/>
      <c r="J4288" s="319" t="s">
        <v>192</v>
      </c>
      <c r="K4288" s="320"/>
      <c r="L4288" s="321">
        <f>L4287</f>
        <v>0</v>
      </c>
    </row>
    <row r="4289" spans="5:13" ht="15" customHeight="1">
      <c r="F4289" s="344" t="s">
        <v>193</v>
      </c>
      <c r="G4289" s="345" t="s">
        <v>194</v>
      </c>
      <c r="H4289" s="346"/>
      <c r="I4289" s="346"/>
      <c r="J4289" s="347"/>
      <c r="K4289" s="348">
        <v>0</v>
      </c>
      <c r="L4289" s="310">
        <f>SUM(L4276:L4288)/2</f>
        <v>319170.15000000002</v>
      </c>
    </row>
    <row r="4290" spans="5:13" ht="15" customHeight="1" thickBot="1">
      <c r="F4290" s="331" t="s">
        <v>195</v>
      </c>
      <c r="G4290" s="332" t="s">
        <v>196</v>
      </c>
      <c r="H4290" s="333"/>
      <c r="I4290" s="333"/>
      <c r="J4290" s="350">
        <v>0.1</v>
      </c>
      <c r="K4290" s="335"/>
      <c r="L4290" s="330">
        <f>J4290*L4289</f>
        <v>31917.015000000003</v>
      </c>
    </row>
    <row r="4291" spans="5:13" ht="15" customHeight="1" thickBot="1">
      <c r="F4291" s="340" t="s">
        <v>197</v>
      </c>
      <c r="G4291" s="341" t="s">
        <v>198</v>
      </c>
      <c r="H4291" s="318"/>
      <c r="I4291" s="318"/>
      <c r="J4291" s="342"/>
      <c r="K4291" s="320">
        <v>0</v>
      </c>
      <c r="L4291" s="321">
        <f>ROUNDDOWN(L4289+L4290,0)</f>
        <v>351087</v>
      </c>
    </row>
    <row r="4292" spans="5:13" ht="15" customHeight="1">
      <c r="F4292" s="298"/>
      <c r="G4292" s="298"/>
      <c r="J4292" s="343"/>
    </row>
    <row r="4293" spans="5:13" ht="15" customHeight="1" thickBot="1">
      <c r="E4293" s="356" t="s">
        <v>856</v>
      </c>
      <c r="F4293" s="295" t="s">
        <v>857</v>
      </c>
      <c r="J4293" s="343"/>
      <c r="M4293" s="299">
        <f>L4311</f>
        <v>937680</v>
      </c>
    </row>
    <row r="4294" spans="5:13" ht="15" customHeight="1" thickBot="1">
      <c r="F4294" s="340" t="s">
        <v>136</v>
      </c>
      <c r="G4294" s="341" t="s">
        <v>162</v>
      </c>
      <c r="H4294" s="352" t="s">
        <v>163</v>
      </c>
      <c r="I4294" s="352" t="s">
        <v>138</v>
      </c>
      <c r="J4294" s="353" t="s">
        <v>164</v>
      </c>
      <c r="K4294" s="341" t="s">
        <v>165</v>
      </c>
      <c r="L4294" s="354" t="s">
        <v>166</v>
      </c>
    </row>
    <row r="4295" spans="5:13" ht="15" customHeight="1">
      <c r="F4295" s="300" t="s">
        <v>167</v>
      </c>
      <c r="G4295" s="301" t="s">
        <v>168</v>
      </c>
      <c r="H4295" s="302"/>
      <c r="I4295" s="302"/>
      <c r="J4295" s="351"/>
      <c r="K4295" s="328"/>
      <c r="L4295" s="310"/>
    </row>
    <row r="4296" spans="5:13" ht="15" customHeight="1">
      <c r="F4296" s="306"/>
      <c r="G4296" s="301" t="s">
        <v>169</v>
      </c>
      <c r="H4296" s="307" t="s">
        <v>170</v>
      </c>
      <c r="I4296" s="307" t="s">
        <v>171</v>
      </c>
      <c r="J4296" s="308">
        <v>1.05</v>
      </c>
      <c r="K4296" s="309">
        <f>VLOOKUP(G4296,Upah,8,FALSE)</f>
        <v>125000</v>
      </c>
      <c r="L4296" s="310">
        <f>J4296*K4296</f>
        <v>131250</v>
      </c>
    </row>
    <row r="4297" spans="5:13" ht="15" customHeight="1">
      <c r="F4297" s="306"/>
      <c r="G4297" s="301" t="s">
        <v>308</v>
      </c>
      <c r="H4297" s="307" t="s">
        <v>217</v>
      </c>
      <c r="I4297" s="307" t="s">
        <v>171</v>
      </c>
      <c r="J4297" s="308">
        <v>0.52500000000000002</v>
      </c>
      <c r="K4297" s="309">
        <f>VLOOKUP(G4297,Upah,8,FALSE)</f>
        <v>150000</v>
      </c>
      <c r="L4297" s="310">
        <f>J4297*K4297</f>
        <v>78750</v>
      </c>
    </row>
    <row r="4298" spans="5:13" ht="15" customHeight="1">
      <c r="F4298" s="306"/>
      <c r="G4298" s="301" t="s">
        <v>232</v>
      </c>
      <c r="H4298" s="307" t="s">
        <v>175</v>
      </c>
      <c r="I4298" s="307" t="s">
        <v>171</v>
      </c>
      <c r="J4298" s="308">
        <v>5.2999999999999999E-2</v>
      </c>
      <c r="K4298" s="309">
        <f>VLOOKUP(G4298,Upah,8,FALSE)</f>
        <v>165000</v>
      </c>
      <c r="L4298" s="310">
        <f>J4298*K4298</f>
        <v>8745</v>
      </c>
    </row>
    <row r="4299" spans="5:13" ht="15" customHeight="1" thickBot="1">
      <c r="F4299" s="306"/>
      <c r="G4299" s="301" t="s">
        <v>176</v>
      </c>
      <c r="H4299" s="307" t="s">
        <v>177</v>
      </c>
      <c r="I4299" s="307" t="s">
        <v>171</v>
      </c>
      <c r="J4299" s="308">
        <v>5.2999999999999999E-2</v>
      </c>
      <c r="K4299" s="309">
        <f>VLOOKUP(G4299,Upah,8,FALSE)</f>
        <v>170000</v>
      </c>
      <c r="L4299" s="310">
        <f>J4299*K4299</f>
        <v>9010</v>
      </c>
    </row>
    <row r="4300" spans="5:13" ht="15" customHeight="1" thickBot="1">
      <c r="F4300" s="316"/>
      <c r="G4300" s="317"/>
      <c r="H4300" s="318"/>
      <c r="I4300" s="318"/>
      <c r="J4300" s="319" t="s">
        <v>178</v>
      </c>
      <c r="K4300" s="320"/>
      <c r="L4300" s="321">
        <f>SUM(L4296:L4299)</f>
        <v>227755</v>
      </c>
    </row>
    <row r="4301" spans="5:13" ht="15" customHeight="1">
      <c r="F4301" s="300" t="s">
        <v>179</v>
      </c>
      <c r="G4301" s="301" t="s">
        <v>180</v>
      </c>
      <c r="H4301" s="302"/>
      <c r="I4301" s="302"/>
      <c r="J4301" s="351"/>
      <c r="K4301" s="328"/>
      <c r="L4301" s="310"/>
    </row>
    <row r="4302" spans="5:13" ht="15" customHeight="1">
      <c r="F4302" s="306"/>
      <c r="G4302" s="301" t="s">
        <v>858</v>
      </c>
      <c r="H4302" s="302"/>
      <c r="I4302" s="307" t="s">
        <v>221</v>
      </c>
      <c r="J4302" s="308">
        <v>33</v>
      </c>
      <c r="K4302" s="328">
        <f>VLOOKUP(G4302,Bahan,6,FALSE)</f>
        <v>17700</v>
      </c>
      <c r="L4302" s="310">
        <f>J4302*K4302</f>
        <v>584100</v>
      </c>
    </row>
    <row r="4303" spans="5:13" ht="15" customHeight="1">
      <c r="F4303" s="306"/>
      <c r="G4303" s="301" t="s">
        <v>183</v>
      </c>
      <c r="H4303" s="302"/>
      <c r="I4303" s="307" t="s">
        <v>45</v>
      </c>
      <c r="J4303" s="308">
        <v>9.8000000000000007</v>
      </c>
      <c r="K4303" s="328">
        <f>VLOOKUP(G4303,Bahan,6,FALSE)</f>
        <v>1880</v>
      </c>
      <c r="L4303" s="310">
        <f>J4303*K4303</f>
        <v>18424</v>
      </c>
    </row>
    <row r="4304" spans="5:13" ht="15" customHeight="1">
      <c r="F4304" s="306"/>
      <c r="G4304" s="301" t="s">
        <v>296</v>
      </c>
      <c r="H4304" s="302"/>
      <c r="I4304" s="307" t="s">
        <v>292</v>
      </c>
      <c r="J4304" s="308">
        <v>4.4999999999999998E-2</v>
      </c>
      <c r="K4304" s="328">
        <f>VLOOKUP(G4304,Bahan,6,FALSE)</f>
        <v>253510</v>
      </c>
      <c r="L4304" s="310">
        <f>J4304*K4304</f>
        <v>11407.949999999999</v>
      </c>
    </row>
    <row r="4305" spans="5:13" ht="15" customHeight="1" thickBot="1">
      <c r="F4305" s="306"/>
      <c r="G4305" s="301" t="s">
        <v>758</v>
      </c>
      <c r="H4305" s="302"/>
      <c r="I4305" s="307" t="s">
        <v>45</v>
      </c>
      <c r="J4305" s="308">
        <v>4.37</v>
      </c>
      <c r="K4305" s="328">
        <f>VLOOKUP(G4305,Bahan,6,FALSE)</f>
        <v>2460</v>
      </c>
      <c r="L4305" s="310">
        <f>J4305*K4305</f>
        <v>10750.2</v>
      </c>
    </row>
    <row r="4306" spans="5:13" ht="15" customHeight="1" thickBot="1">
      <c r="F4306" s="316"/>
      <c r="G4306" s="317"/>
      <c r="H4306" s="318"/>
      <c r="I4306" s="318"/>
      <c r="J4306" s="319" t="s">
        <v>189</v>
      </c>
      <c r="K4306" s="320"/>
      <c r="L4306" s="321">
        <f>SUM(L4302:L4305)</f>
        <v>624682.14999999991</v>
      </c>
    </row>
    <row r="4307" spans="5:13" ht="15" customHeight="1" thickBot="1">
      <c r="F4307" s="300" t="s">
        <v>190</v>
      </c>
      <c r="G4307" s="301" t="s">
        <v>191</v>
      </c>
      <c r="H4307" s="302"/>
      <c r="I4307" s="302"/>
      <c r="J4307" s="351"/>
      <c r="K4307" s="328">
        <v>0</v>
      </c>
      <c r="L4307" s="310">
        <f>J4307*K4307</f>
        <v>0</v>
      </c>
    </row>
    <row r="4308" spans="5:13" ht="15" customHeight="1" thickBot="1">
      <c r="F4308" s="316"/>
      <c r="G4308" s="317"/>
      <c r="H4308" s="318"/>
      <c r="I4308" s="318"/>
      <c r="J4308" s="319" t="s">
        <v>192</v>
      </c>
      <c r="K4308" s="320"/>
      <c r="L4308" s="321">
        <f>L4307</f>
        <v>0</v>
      </c>
    </row>
    <row r="4309" spans="5:13" ht="15" customHeight="1">
      <c r="F4309" s="344" t="s">
        <v>193</v>
      </c>
      <c r="G4309" s="345" t="s">
        <v>194</v>
      </c>
      <c r="H4309" s="346"/>
      <c r="I4309" s="346"/>
      <c r="J4309" s="347"/>
      <c r="K4309" s="348">
        <v>0</v>
      </c>
      <c r="L4309" s="310">
        <f>SUM(L4296:L4308)/2</f>
        <v>852437.14999999991</v>
      </c>
    </row>
    <row r="4310" spans="5:13" ht="15" customHeight="1" thickBot="1">
      <c r="F4310" s="331" t="s">
        <v>195</v>
      </c>
      <c r="G4310" s="332" t="s">
        <v>196</v>
      </c>
      <c r="H4310" s="333"/>
      <c r="I4310" s="333"/>
      <c r="J4310" s="350">
        <v>0.1</v>
      </c>
      <c r="K4310" s="335"/>
      <c r="L4310" s="330">
        <f>J4310*L4309</f>
        <v>85243.714999999997</v>
      </c>
    </row>
    <row r="4311" spans="5:13" ht="15" customHeight="1" thickBot="1">
      <c r="F4311" s="340" t="s">
        <v>197</v>
      </c>
      <c r="G4311" s="341" t="s">
        <v>198</v>
      </c>
      <c r="H4311" s="318"/>
      <c r="I4311" s="318"/>
      <c r="J4311" s="342"/>
      <c r="K4311" s="320">
        <v>0</v>
      </c>
      <c r="L4311" s="321">
        <f>ROUNDDOWN(L4309+L4310,0)</f>
        <v>937680</v>
      </c>
    </row>
    <row r="4312" spans="5:13" ht="15" customHeight="1">
      <c r="F4312" s="298"/>
      <c r="G4312" s="298"/>
      <c r="J4312" s="343"/>
    </row>
    <row r="4313" spans="5:13" ht="15" customHeight="1" thickBot="1">
      <c r="E4313" s="356" t="s">
        <v>859</v>
      </c>
      <c r="F4313" s="295" t="s">
        <v>860</v>
      </c>
      <c r="J4313" s="343"/>
      <c r="M4313" s="299">
        <f>L4331</f>
        <v>389500</v>
      </c>
    </row>
    <row r="4314" spans="5:13" ht="15" customHeight="1" thickBot="1">
      <c r="F4314" s="340" t="s">
        <v>136</v>
      </c>
      <c r="G4314" s="341" t="s">
        <v>162</v>
      </c>
      <c r="H4314" s="352" t="s">
        <v>163</v>
      </c>
      <c r="I4314" s="352" t="s">
        <v>138</v>
      </c>
      <c r="J4314" s="353" t="s">
        <v>164</v>
      </c>
      <c r="K4314" s="341" t="s">
        <v>165</v>
      </c>
      <c r="L4314" s="354" t="s">
        <v>166</v>
      </c>
    </row>
    <row r="4315" spans="5:13" ht="15" customHeight="1">
      <c r="F4315" s="300" t="s">
        <v>167</v>
      </c>
      <c r="G4315" s="301" t="s">
        <v>168</v>
      </c>
      <c r="H4315" s="302"/>
      <c r="I4315" s="302"/>
      <c r="J4315" s="351"/>
      <c r="K4315" s="328"/>
      <c r="L4315" s="310"/>
    </row>
    <row r="4316" spans="5:13" ht="15" customHeight="1">
      <c r="F4316" s="306"/>
      <c r="G4316" s="301" t="s">
        <v>169</v>
      </c>
      <c r="H4316" s="307" t="s">
        <v>170</v>
      </c>
      <c r="I4316" s="307" t="s">
        <v>171</v>
      </c>
      <c r="J4316" s="308">
        <v>0.7</v>
      </c>
      <c r="K4316" s="309">
        <f>VLOOKUP(G4316,Upah,8,FALSE)</f>
        <v>125000</v>
      </c>
      <c r="L4316" s="310">
        <f>J4316*K4316</f>
        <v>87500</v>
      </c>
    </row>
    <row r="4317" spans="5:13" ht="15" customHeight="1">
      <c r="F4317" s="306"/>
      <c r="G4317" s="301" t="s">
        <v>308</v>
      </c>
      <c r="H4317" s="307" t="s">
        <v>217</v>
      </c>
      <c r="I4317" s="307" t="s">
        <v>171</v>
      </c>
      <c r="J4317" s="308">
        <v>0.35</v>
      </c>
      <c r="K4317" s="309">
        <f>VLOOKUP(G4317,Upah,8,FALSE)</f>
        <v>150000</v>
      </c>
      <c r="L4317" s="310">
        <f>J4317*K4317</f>
        <v>52500</v>
      </c>
    </row>
    <row r="4318" spans="5:13" ht="15" customHeight="1">
      <c r="F4318" s="306"/>
      <c r="G4318" s="301" t="s">
        <v>232</v>
      </c>
      <c r="H4318" s="307" t="s">
        <v>175</v>
      </c>
      <c r="I4318" s="307" t="s">
        <v>171</v>
      </c>
      <c r="J4318" s="308">
        <v>3.5000000000000003E-2</v>
      </c>
      <c r="K4318" s="309">
        <f>VLOOKUP(G4318,Upah,8,FALSE)</f>
        <v>165000</v>
      </c>
      <c r="L4318" s="310">
        <f>J4318*K4318</f>
        <v>5775.0000000000009</v>
      </c>
    </row>
    <row r="4319" spans="5:13" ht="15" customHeight="1" thickBot="1">
      <c r="F4319" s="306"/>
      <c r="G4319" s="301" t="s">
        <v>176</v>
      </c>
      <c r="H4319" s="307" t="s">
        <v>177</v>
      </c>
      <c r="I4319" s="307" t="s">
        <v>171</v>
      </c>
      <c r="J4319" s="308">
        <v>3.5000000000000003E-2</v>
      </c>
      <c r="K4319" s="309">
        <f>VLOOKUP(G4319,Upah,8,FALSE)</f>
        <v>170000</v>
      </c>
      <c r="L4319" s="310">
        <f>J4319*K4319</f>
        <v>5950.0000000000009</v>
      </c>
    </row>
    <row r="4320" spans="5:13" ht="15" customHeight="1" thickBot="1">
      <c r="F4320" s="316"/>
      <c r="G4320" s="317"/>
      <c r="H4320" s="318"/>
      <c r="I4320" s="318"/>
      <c r="J4320" s="319" t="s">
        <v>178</v>
      </c>
      <c r="K4320" s="320"/>
      <c r="L4320" s="321">
        <f>SUM(L4316:L4319)</f>
        <v>151725</v>
      </c>
    </row>
    <row r="4321" spans="5:13" ht="15" customHeight="1">
      <c r="F4321" s="300" t="s">
        <v>179</v>
      </c>
      <c r="G4321" s="301" t="s">
        <v>180</v>
      </c>
      <c r="H4321" s="302"/>
      <c r="I4321" s="302"/>
      <c r="J4321" s="351"/>
      <c r="K4321" s="328"/>
      <c r="L4321" s="310"/>
    </row>
    <row r="4322" spans="5:13" ht="15" customHeight="1">
      <c r="F4322" s="306"/>
      <c r="G4322" s="301" t="s">
        <v>861</v>
      </c>
      <c r="H4322" s="302"/>
      <c r="I4322" s="307" t="s">
        <v>221</v>
      </c>
      <c r="J4322" s="308">
        <v>11.87</v>
      </c>
      <c r="K4322" s="328">
        <f>VLOOKUP(G4322,Bahan,6,FALSE)</f>
        <v>13560</v>
      </c>
      <c r="L4322" s="310">
        <f>J4322*K4322</f>
        <v>160957.19999999998</v>
      </c>
    </row>
    <row r="4323" spans="5:13" ht="15" customHeight="1">
      <c r="F4323" s="306"/>
      <c r="G4323" s="301" t="s">
        <v>183</v>
      </c>
      <c r="H4323" s="302"/>
      <c r="I4323" s="307" t="s">
        <v>45</v>
      </c>
      <c r="J4323" s="308">
        <v>14.15</v>
      </c>
      <c r="K4323" s="328">
        <f>VLOOKUP(G4323,Bahan,6,FALSE)</f>
        <v>1880</v>
      </c>
      <c r="L4323" s="310">
        <f>J4323*K4323</f>
        <v>26602</v>
      </c>
    </row>
    <row r="4324" spans="5:13" ht="15" customHeight="1">
      <c r="F4324" s="306"/>
      <c r="G4324" s="301" t="s">
        <v>296</v>
      </c>
      <c r="H4324" s="302"/>
      <c r="I4324" s="307" t="s">
        <v>292</v>
      </c>
      <c r="J4324" s="308">
        <v>3.9E-2</v>
      </c>
      <c r="K4324" s="328">
        <f>VLOOKUP(G4324,Bahan,6,FALSE)</f>
        <v>253510</v>
      </c>
      <c r="L4324" s="310">
        <f>J4324*K4324</f>
        <v>9886.89</v>
      </c>
    </row>
    <row r="4325" spans="5:13" ht="15" customHeight="1" thickBot="1">
      <c r="F4325" s="306"/>
      <c r="G4325" s="301" t="s">
        <v>758</v>
      </c>
      <c r="H4325" s="302"/>
      <c r="I4325" s="307" t="s">
        <v>45</v>
      </c>
      <c r="J4325" s="308">
        <v>2</v>
      </c>
      <c r="K4325" s="328">
        <f>VLOOKUP(G4325,Bahan,6,FALSE)</f>
        <v>2460</v>
      </c>
      <c r="L4325" s="310">
        <f>J4325*K4325</f>
        <v>4920</v>
      </c>
    </row>
    <row r="4326" spans="5:13" ht="15" customHeight="1" thickBot="1">
      <c r="F4326" s="316"/>
      <c r="G4326" s="317"/>
      <c r="H4326" s="318"/>
      <c r="I4326" s="318"/>
      <c r="J4326" s="319" t="s">
        <v>189</v>
      </c>
      <c r="K4326" s="320"/>
      <c r="L4326" s="321">
        <f>SUM(L4322:L4325)</f>
        <v>202366.08999999997</v>
      </c>
    </row>
    <row r="4327" spans="5:13" ht="15" customHeight="1" thickBot="1">
      <c r="F4327" s="300" t="s">
        <v>190</v>
      </c>
      <c r="G4327" s="301" t="s">
        <v>191</v>
      </c>
      <c r="H4327" s="302"/>
      <c r="I4327" s="302"/>
      <c r="J4327" s="351"/>
      <c r="K4327" s="328">
        <v>0</v>
      </c>
      <c r="L4327" s="310">
        <f>J4327*K4327</f>
        <v>0</v>
      </c>
    </row>
    <row r="4328" spans="5:13" ht="15" customHeight="1" thickBot="1">
      <c r="F4328" s="316"/>
      <c r="G4328" s="317"/>
      <c r="H4328" s="318"/>
      <c r="I4328" s="318"/>
      <c r="J4328" s="319" t="s">
        <v>192</v>
      </c>
      <c r="K4328" s="320"/>
      <c r="L4328" s="321">
        <f>L4327</f>
        <v>0</v>
      </c>
    </row>
    <row r="4329" spans="5:13" ht="15" customHeight="1">
      <c r="F4329" s="344" t="s">
        <v>193</v>
      </c>
      <c r="G4329" s="345" t="s">
        <v>194</v>
      </c>
      <c r="H4329" s="346"/>
      <c r="I4329" s="346"/>
      <c r="J4329" s="347"/>
      <c r="K4329" s="348">
        <v>0</v>
      </c>
      <c r="L4329" s="310">
        <f>SUM(L4316:L4328)/2</f>
        <v>354091.08999999997</v>
      </c>
    </row>
    <row r="4330" spans="5:13" ht="15" customHeight="1" thickBot="1">
      <c r="F4330" s="331" t="s">
        <v>195</v>
      </c>
      <c r="G4330" s="332" t="s">
        <v>196</v>
      </c>
      <c r="H4330" s="333"/>
      <c r="I4330" s="333"/>
      <c r="J4330" s="350">
        <v>0.1</v>
      </c>
      <c r="K4330" s="335"/>
      <c r="L4330" s="330">
        <f>J4330*L4329</f>
        <v>35409.108999999997</v>
      </c>
    </row>
    <row r="4331" spans="5:13" ht="15" customHeight="1" thickBot="1">
      <c r="F4331" s="340" t="s">
        <v>197</v>
      </c>
      <c r="G4331" s="341" t="s">
        <v>198</v>
      </c>
      <c r="H4331" s="318"/>
      <c r="I4331" s="318"/>
      <c r="J4331" s="342"/>
      <c r="K4331" s="320">
        <v>0</v>
      </c>
      <c r="L4331" s="321">
        <f>ROUNDDOWN(L4329+L4330,0)</f>
        <v>389500</v>
      </c>
    </row>
    <row r="4332" spans="5:13" ht="15" customHeight="1">
      <c r="F4332" s="298"/>
      <c r="G4332" s="298"/>
      <c r="J4332" s="343"/>
    </row>
    <row r="4333" spans="5:13" ht="15" customHeight="1" thickBot="1">
      <c r="E4333" s="356" t="s">
        <v>862</v>
      </c>
      <c r="F4333" s="295" t="s">
        <v>863</v>
      </c>
      <c r="J4333" s="343"/>
      <c r="M4333" s="299">
        <f>L4351</f>
        <v>85172</v>
      </c>
    </row>
    <row r="4334" spans="5:13" ht="15" customHeight="1" thickBot="1">
      <c r="F4334" s="340" t="s">
        <v>136</v>
      </c>
      <c r="G4334" s="341" t="s">
        <v>162</v>
      </c>
      <c r="H4334" s="352" t="s">
        <v>163</v>
      </c>
      <c r="I4334" s="352" t="s">
        <v>138</v>
      </c>
      <c r="J4334" s="353" t="s">
        <v>164</v>
      </c>
      <c r="K4334" s="341" t="s">
        <v>165</v>
      </c>
      <c r="L4334" s="354" t="s">
        <v>166</v>
      </c>
    </row>
    <row r="4335" spans="5:13" ht="15" customHeight="1">
      <c r="F4335" s="300" t="s">
        <v>167</v>
      </c>
      <c r="G4335" s="301" t="s">
        <v>168</v>
      </c>
      <c r="H4335" s="302"/>
      <c r="I4335" s="302"/>
      <c r="J4335" s="351"/>
      <c r="K4335" s="328"/>
      <c r="L4335" s="310"/>
    </row>
    <row r="4336" spans="5:13" ht="15" customHeight="1">
      <c r="F4336" s="306"/>
      <c r="G4336" s="301" t="s">
        <v>169</v>
      </c>
      <c r="H4336" s="307" t="s">
        <v>170</v>
      </c>
      <c r="I4336" s="307" t="s">
        <v>171</v>
      </c>
      <c r="J4336" s="308">
        <v>0.09</v>
      </c>
      <c r="K4336" s="309">
        <f>VLOOKUP(G4336,Upah,8,FALSE)</f>
        <v>125000</v>
      </c>
      <c r="L4336" s="310">
        <f>J4336*K4336</f>
        <v>11250</v>
      </c>
    </row>
    <row r="4337" spans="6:12" ht="15" customHeight="1">
      <c r="F4337" s="306"/>
      <c r="G4337" s="301" t="s">
        <v>308</v>
      </c>
      <c r="H4337" s="307" t="s">
        <v>217</v>
      </c>
      <c r="I4337" s="307" t="s">
        <v>171</v>
      </c>
      <c r="J4337" s="308">
        <v>0.09</v>
      </c>
      <c r="K4337" s="309">
        <f>VLOOKUP(G4337,Upah,8,FALSE)</f>
        <v>150000</v>
      </c>
      <c r="L4337" s="310">
        <f>J4337*K4337</f>
        <v>13500</v>
      </c>
    </row>
    <row r="4338" spans="6:12" ht="15" customHeight="1">
      <c r="F4338" s="306"/>
      <c r="G4338" s="301" t="s">
        <v>232</v>
      </c>
      <c r="H4338" s="307" t="s">
        <v>175</v>
      </c>
      <c r="I4338" s="307" t="s">
        <v>171</v>
      </c>
      <c r="J4338" s="308">
        <v>3.5000000000000003E-2</v>
      </c>
      <c r="K4338" s="309">
        <f>VLOOKUP(G4338,Upah,8,FALSE)</f>
        <v>165000</v>
      </c>
      <c r="L4338" s="310">
        <f>J4338*K4338</f>
        <v>5775.0000000000009</v>
      </c>
    </row>
    <row r="4339" spans="6:12" ht="15" customHeight="1" thickBot="1">
      <c r="F4339" s="306"/>
      <c r="G4339" s="301" t="s">
        <v>176</v>
      </c>
      <c r="H4339" s="307" t="s">
        <v>177</v>
      </c>
      <c r="I4339" s="307" t="s">
        <v>171</v>
      </c>
      <c r="J4339" s="308">
        <v>5.0000000000000001E-3</v>
      </c>
      <c r="K4339" s="309">
        <f>VLOOKUP(G4339,Upah,8,FALSE)</f>
        <v>170000</v>
      </c>
      <c r="L4339" s="310">
        <f>J4339*K4339</f>
        <v>850</v>
      </c>
    </row>
    <row r="4340" spans="6:12" ht="15" customHeight="1" thickBot="1">
      <c r="F4340" s="316"/>
      <c r="G4340" s="317"/>
      <c r="H4340" s="318"/>
      <c r="I4340" s="318"/>
      <c r="J4340" s="319" t="s">
        <v>178</v>
      </c>
      <c r="K4340" s="320"/>
      <c r="L4340" s="321">
        <f>SUM(L4336:L4339)</f>
        <v>31375</v>
      </c>
    </row>
    <row r="4341" spans="6:12" ht="15" customHeight="1">
      <c r="F4341" s="300" t="s">
        <v>179</v>
      </c>
      <c r="G4341" s="301" t="s">
        <v>180</v>
      </c>
      <c r="H4341" s="302"/>
      <c r="I4341" s="302"/>
      <c r="J4341" s="351"/>
      <c r="K4341" s="328"/>
      <c r="L4341" s="310"/>
    </row>
    <row r="4342" spans="6:12" ht="15" customHeight="1">
      <c r="F4342" s="306"/>
      <c r="G4342" s="301" t="s">
        <v>864</v>
      </c>
      <c r="H4342" s="302"/>
      <c r="I4342" s="307" t="s">
        <v>221</v>
      </c>
      <c r="J4342" s="308">
        <v>5.3</v>
      </c>
      <c r="K4342" s="328">
        <f>VLOOKUP(G4342,Bahan,6,FALSE)</f>
        <v>8130</v>
      </c>
      <c r="L4342" s="310">
        <f>J4342*K4342</f>
        <v>43089</v>
      </c>
    </row>
    <row r="4343" spans="6:12" ht="15" customHeight="1">
      <c r="F4343" s="306"/>
      <c r="G4343" s="301" t="s">
        <v>183</v>
      </c>
      <c r="H4343" s="302"/>
      <c r="I4343" s="307" t="s">
        <v>45</v>
      </c>
      <c r="J4343" s="308">
        <v>1.1399999999999999</v>
      </c>
      <c r="K4343" s="328">
        <f>VLOOKUP(G4343,Bahan,6,FALSE)</f>
        <v>1880</v>
      </c>
      <c r="L4343" s="310">
        <f>J4343*K4343</f>
        <v>2143.1999999999998</v>
      </c>
    </row>
    <row r="4344" spans="6:12" ht="15" customHeight="1">
      <c r="F4344" s="306"/>
      <c r="G4344" s="301" t="s">
        <v>296</v>
      </c>
      <c r="H4344" s="302"/>
      <c r="I4344" s="307" t="s">
        <v>292</v>
      </c>
      <c r="J4344" s="308">
        <v>3.0000000000000001E-3</v>
      </c>
      <c r="K4344" s="328">
        <f>VLOOKUP(G4344,Bahan,6,FALSE)</f>
        <v>253510</v>
      </c>
      <c r="L4344" s="310">
        <f>J4344*K4344</f>
        <v>760.53</v>
      </c>
    </row>
    <row r="4345" spans="6:12" ht="15" customHeight="1" thickBot="1">
      <c r="F4345" s="306"/>
      <c r="G4345" s="301" t="s">
        <v>758</v>
      </c>
      <c r="H4345" s="302"/>
      <c r="I4345" s="307" t="s">
        <v>45</v>
      </c>
      <c r="J4345" s="308">
        <v>2.5000000000000001E-2</v>
      </c>
      <c r="K4345" s="328">
        <f>VLOOKUP(G4345,Bahan,6,FALSE)</f>
        <v>2460</v>
      </c>
      <c r="L4345" s="310">
        <f>J4345*K4345</f>
        <v>61.5</v>
      </c>
    </row>
    <row r="4346" spans="6:12" ht="15" customHeight="1" thickBot="1">
      <c r="F4346" s="316"/>
      <c r="G4346" s="317"/>
      <c r="H4346" s="318"/>
      <c r="I4346" s="318"/>
      <c r="J4346" s="319" t="s">
        <v>189</v>
      </c>
      <c r="K4346" s="320"/>
      <c r="L4346" s="321">
        <f>SUM(L4342:L4345)</f>
        <v>46054.229999999996</v>
      </c>
    </row>
    <row r="4347" spans="6:12" ht="15" customHeight="1" thickBot="1">
      <c r="F4347" s="300" t="s">
        <v>190</v>
      </c>
      <c r="G4347" s="301" t="s">
        <v>191</v>
      </c>
      <c r="H4347" s="302"/>
      <c r="I4347" s="302"/>
      <c r="J4347" s="351"/>
      <c r="K4347" s="328">
        <v>0</v>
      </c>
      <c r="L4347" s="310">
        <f>J4347*K4347</f>
        <v>0</v>
      </c>
    </row>
    <row r="4348" spans="6:12" ht="15" customHeight="1" thickBot="1">
      <c r="F4348" s="316"/>
      <c r="G4348" s="317"/>
      <c r="H4348" s="318"/>
      <c r="I4348" s="318"/>
      <c r="J4348" s="319" t="s">
        <v>192</v>
      </c>
      <c r="K4348" s="320"/>
      <c r="L4348" s="321">
        <f>L4347</f>
        <v>0</v>
      </c>
    </row>
    <row r="4349" spans="6:12" ht="15" customHeight="1">
      <c r="F4349" s="344" t="s">
        <v>193</v>
      </c>
      <c r="G4349" s="345" t="s">
        <v>194</v>
      </c>
      <c r="H4349" s="346"/>
      <c r="I4349" s="346"/>
      <c r="J4349" s="347"/>
      <c r="K4349" s="348">
        <v>0</v>
      </c>
      <c r="L4349" s="310">
        <f>SUM(L4336:L4348)/2</f>
        <v>77429.23</v>
      </c>
    </row>
    <row r="4350" spans="6:12" ht="15" customHeight="1" thickBot="1">
      <c r="F4350" s="331" t="s">
        <v>195</v>
      </c>
      <c r="G4350" s="332" t="s">
        <v>196</v>
      </c>
      <c r="H4350" s="333"/>
      <c r="I4350" s="333"/>
      <c r="J4350" s="350">
        <v>0.1</v>
      </c>
      <c r="K4350" s="335"/>
      <c r="L4350" s="330">
        <f>J4350*L4349</f>
        <v>7742.9229999999998</v>
      </c>
    </row>
    <row r="4351" spans="6:12" ht="15" customHeight="1" thickBot="1">
      <c r="F4351" s="340" t="s">
        <v>197</v>
      </c>
      <c r="G4351" s="341" t="s">
        <v>198</v>
      </c>
      <c r="H4351" s="318"/>
      <c r="I4351" s="318"/>
      <c r="J4351" s="342"/>
      <c r="K4351" s="320">
        <v>0</v>
      </c>
      <c r="L4351" s="321">
        <f>ROUNDDOWN(L4349+L4350,0)</f>
        <v>85172</v>
      </c>
    </row>
    <row r="4352" spans="6:12" ht="15" customHeight="1">
      <c r="F4352" s="298"/>
      <c r="G4352" s="298"/>
      <c r="J4352" s="343"/>
    </row>
    <row r="4353" spans="5:13" ht="15" customHeight="1" thickBot="1">
      <c r="E4353" s="356" t="s">
        <v>865</v>
      </c>
      <c r="F4353" s="295" t="s">
        <v>866</v>
      </c>
      <c r="J4353" s="343"/>
      <c r="M4353" s="299">
        <f>L4371</f>
        <v>112932</v>
      </c>
    </row>
    <row r="4354" spans="5:13" ht="15" customHeight="1" thickBot="1">
      <c r="F4354" s="340" t="s">
        <v>136</v>
      </c>
      <c r="G4354" s="341" t="s">
        <v>162</v>
      </c>
      <c r="H4354" s="352" t="s">
        <v>163</v>
      </c>
      <c r="I4354" s="352" t="s">
        <v>138</v>
      </c>
      <c r="J4354" s="353" t="s">
        <v>164</v>
      </c>
      <c r="K4354" s="341" t="s">
        <v>165</v>
      </c>
      <c r="L4354" s="354" t="s">
        <v>166</v>
      </c>
    </row>
    <row r="4355" spans="5:13" ht="15" customHeight="1">
      <c r="F4355" s="300" t="s">
        <v>167</v>
      </c>
      <c r="G4355" s="301" t="s">
        <v>168</v>
      </c>
      <c r="H4355" s="302"/>
      <c r="I4355" s="302"/>
      <c r="J4355" s="351"/>
      <c r="K4355" s="328"/>
      <c r="L4355" s="310"/>
    </row>
    <row r="4356" spans="5:13" ht="15" customHeight="1">
      <c r="F4356" s="306"/>
      <c r="G4356" s="301" t="s">
        <v>169</v>
      </c>
      <c r="H4356" s="307" t="s">
        <v>170</v>
      </c>
      <c r="I4356" s="307" t="s">
        <v>171</v>
      </c>
      <c r="J4356" s="308">
        <v>0.09</v>
      </c>
      <c r="K4356" s="309">
        <f>VLOOKUP(G4356,Upah,8,FALSE)</f>
        <v>125000</v>
      </c>
      <c r="L4356" s="310">
        <f>J4356*K4356</f>
        <v>11250</v>
      </c>
    </row>
    <row r="4357" spans="5:13" ht="15" customHeight="1">
      <c r="F4357" s="306"/>
      <c r="G4357" s="301" t="s">
        <v>308</v>
      </c>
      <c r="H4357" s="307" t="s">
        <v>217</v>
      </c>
      <c r="I4357" s="307" t="s">
        <v>171</v>
      </c>
      <c r="J4357" s="308">
        <v>0.09</v>
      </c>
      <c r="K4357" s="309">
        <f>VLOOKUP(G4357,Upah,8,FALSE)</f>
        <v>150000</v>
      </c>
      <c r="L4357" s="310">
        <f>J4357*K4357</f>
        <v>13500</v>
      </c>
    </row>
    <row r="4358" spans="5:13" ht="15" customHeight="1">
      <c r="F4358" s="306"/>
      <c r="G4358" s="301" t="s">
        <v>232</v>
      </c>
      <c r="H4358" s="307" t="s">
        <v>175</v>
      </c>
      <c r="I4358" s="307" t="s">
        <v>171</v>
      </c>
      <c r="J4358" s="308">
        <v>3.5000000000000003E-2</v>
      </c>
      <c r="K4358" s="309">
        <f>VLOOKUP(G4358,Upah,8,FALSE)</f>
        <v>165000</v>
      </c>
      <c r="L4358" s="310">
        <f>J4358*K4358</f>
        <v>5775.0000000000009</v>
      </c>
    </row>
    <row r="4359" spans="5:13" ht="15" customHeight="1" thickBot="1">
      <c r="F4359" s="306"/>
      <c r="G4359" s="301" t="s">
        <v>176</v>
      </c>
      <c r="H4359" s="307" t="s">
        <v>177</v>
      </c>
      <c r="I4359" s="307" t="s">
        <v>171</v>
      </c>
      <c r="J4359" s="308">
        <v>5.0000000000000001E-3</v>
      </c>
      <c r="K4359" s="309">
        <f>VLOOKUP(G4359,Upah,8,FALSE)</f>
        <v>170000</v>
      </c>
      <c r="L4359" s="310">
        <f>J4359*K4359</f>
        <v>850</v>
      </c>
    </row>
    <row r="4360" spans="5:13" ht="15" customHeight="1" thickBot="1">
      <c r="F4360" s="316"/>
      <c r="G4360" s="317"/>
      <c r="H4360" s="318"/>
      <c r="I4360" s="318"/>
      <c r="J4360" s="319" t="s">
        <v>178</v>
      </c>
      <c r="K4360" s="320"/>
      <c r="L4360" s="321">
        <f>SUM(L4356:L4359)</f>
        <v>31375</v>
      </c>
    </row>
    <row r="4361" spans="5:13" ht="15" customHeight="1">
      <c r="F4361" s="300" t="s">
        <v>179</v>
      </c>
      <c r="G4361" s="301" t="s">
        <v>180</v>
      </c>
      <c r="H4361" s="302"/>
      <c r="I4361" s="302"/>
      <c r="J4361" s="351"/>
      <c r="K4361" s="328"/>
      <c r="L4361" s="310"/>
    </row>
    <row r="4362" spans="5:13" ht="15" customHeight="1">
      <c r="F4362" s="306"/>
      <c r="G4362" s="301" t="s">
        <v>867</v>
      </c>
      <c r="H4362" s="302"/>
      <c r="I4362" s="307" t="s">
        <v>221</v>
      </c>
      <c r="J4362" s="308">
        <v>10.6</v>
      </c>
      <c r="K4362" s="328">
        <f>VLOOKUP(G4362,Bahan,6,FALSE)</f>
        <v>6440</v>
      </c>
      <c r="L4362" s="310">
        <f>J4362*K4362</f>
        <v>68264</v>
      </c>
    </row>
    <row r="4363" spans="5:13" ht="15" customHeight="1">
      <c r="F4363" s="306"/>
      <c r="G4363" s="301" t="s">
        <v>183</v>
      </c>
      <c r="H4363" s="302"/>
      <c r="I4363" s="307" t="s">
        <v>45</v>
      </c>
      <c r="J4363" s="308">
        <v>1.1399999999999999</v>
      </c>
      <c r="K4363" s="328">
        <f>VLOOKUP(G4363,Bahan,6,FALSE)</f>
        <v>1880</v>
      </c>
      <c r="L4363" s="310">
        <f>J4363*K4363</f>
        <v>2143.1999999999998</v>
      </c>
    </row>
    <row r="4364" spans="5:13" ht="15" customHeight="1">
      <c r="F4364" s="306"/>
      <c r="G4364" s="301" t="s">
        <v>296</v>
      </c>
      <c r="H4364" s="302"/>
      <c r="I4364" s="307" t="s">
        <v>292</v>
      </c>
      <c r="J4364" s="308">
        <v>3.0000000000000001E-3</v>
      </c>
      <c r="K4364" s="328">
        <f>VLOOKUP(G4364,Bahan,6,FALSE)</f>
        <v>253510</v>
      </c>
      <c r="L4364" s="310">
        <f>J4364*K4364</f>
        <v>760.53</v>
      </c>
    </row>
    <row r="4365" spans="5:13" ht="15" customHeight="1" thickBot="1">
      <c r="F4365" s="306"/>
      <c r="G4365" s="301" t="s">
        <v>758</v>
      </c>
      <c r="H4365" s="302"/>
      <c r="I4365" s="307" t="s">
        <v>45</v>
      </c>
      <c r="J4365" s="308">
        <v>0.05</v>
      </c>
      <c r="K4365" s="328">
        <f>VLOOKUP(G4365,Bahan,6,FALSE)</f>
        <v>2460</v>
      </c>
      <c r="L4365" s="310">
        <f>J4365*K4365</f>
        <v>123</v>
      </c>
    </row>
    <row r="4366" spans="5:13" ht="15" customHeight="1" thickBot="1">
      <c r="F4366" s="316"/>
      <c r="G4366" s="317"/>
      <c r="H4366" s="318"/>
      <c r="I4366" s="318"/>
      <c r="J4366" s="319" t="s">
        <v>189</v>
      </c>
      <c r="K4366" s="320"/>
      <c r="L4366" s="321">
        <f>SUM(L4362:L4365)</f>
        <v>71290.73</v>
      </c>
    </row>
    <row r="4367" spans="5:13" ht="15" customHeight="1" thickBot="1">
      <c r="F4367" s="300" t="s">
        <v>190</v>
      </c>
      <c r="G4367" s="301" t="s">
        <v>191</v>
      </c>
      <c r="H4367" s="302"/>
      <c r="I4367" s="302"/>
      <c r="J4367" s="351"/>
      <c r="K4367" s="328">
        <v>0</v>
      </c>
      <c r="L4367" s="310">
        <f>J4367*K4367</f>
        <v>0</v>
      </c>
    </row>
    <row r="4368" spans="5:13" ht="15" customHeight="1" thickBot="1">
      <c r="F4368" s="316"/>
      <c r="G4368" s="317"/>
      <c r="H4368" s="318"/>
      <c r="I4368" s="318"/>
      <c r="J4368" s="319" t="s">
        <v>192</v>
      </c>
      <c r="K4368" s="320"/>
      <c r="L4368" s="321">
        <f>L4367</f>
        <v>0</v>
      </c>
    </row>
    <row r="4369" spans="5:13" ht="15" customHeight="1">
      <c r="F4369" s="344" t="s">
        <v>193</v>
      </c>
      <c r="G4369" s="345" t="s">
        <v>194</v>
      </c>
      <c r="H4369" s="346"/>
      <c r="I4369" s="346"/>
      <c r="J4369" s="347"/>
      <c r="K4369" s="348">
        <v>0</v>
      </c>
      <c r="L4369" s="310">
        <f>SUM(L4356:L4368)/2</f>
        <v>102665.73000000001</v>
      </c>
    </row>
    <row r="4370" spans="5:13" ht="15" customHeight="1" thickBot="1">
      <c r="F4370" s="331" t="s">
        <v>195</v>
      </c>
      <c r="G4370" s="332" t="s">
        <v>196</v>
      </c>
      <c r="H4370" s="333"/>
      <c r="I4370" s="333"/>
      <c r="J4370" s="350">
        <v>0.1</v>
      </c>
      <c r="K4370" s="335"/>
      <c r="L4370" s="330">
        <f>J4370*L4369</f>
        <v>10266.573000000002</v>
      </c>
    </row>
    <row r="4371" spans="5:13" ht="15" customHeight="1" thickBot="1">
      <c r="F4371" s="340" t="s">
        <v>197</v>
      </c>
      <c r="G4371" s="341" t="s">
        <v>198</v>
      </c>
      <c r="H4371" s="318"/>
      <c r="I4371" s="318"/>
      <c r="J4371" s="342"/>
      <c r="K4371" s="320">
        <v>0</v>
      </c>
      <c r="L4371" s="321">
        <f>ROUNDDOWN(L4369+L4370,0)</f>
        <v>112932</v>
      </c>
    </row>
    <row r="4372" spans="5:13" ht="15" customHeight="1">
      <c r="F4372" s="298"/>
      <c r="G4372" s="298"/>
      <c r="J4372" s="343"/>
    </row>
    <row r="4373" spans="5:13" ht="15" customHeight="1" thickBot="1">
      <c r="E4373" s="356" t="s">
        <v>868</v>
      </c>
      <c r="F4373" s="295" t="s">
        <v>869</v>
      </c>
      <c r="J4373" s="343"/>
      <c r="M4373" s="299">
        <f>L4391</f>
        <v>68967</v>
      </c>
    </row>
    <row r="4374" spans="5:13" ht="15" customHeight="1" thickBot="1">
      <c r="F4374" s="340" t="s">
        <v>136</v>
      </c>
      <c r="G4374" s="341" t="s">
        <v>162</v>
      </c>
      <c r="H4374" s="352" t="s">
        <v>163</v>
      </c>
      <c r="I4374" s="352" t="s">
        <v>138</v>
      </c>
      <c r="J4374" s="353" t="s">
        <v>164</v>
      </c>
      <c r="K4374" s="341" t="s">
        <v>165</v>
      </c>
      <c r="L4374" s="354" t="s">
        <v>166</v>
      </c>
    </row>
    <row r="4375" spans="5:13" ht="15" customHeight="1">
      <c r="F4375" s="300" t="s">
        <v>167</v>
      </c>
      <c r="G4375" s="301" t="s">
        <v>168</v>
      </c>
      <c r="H4375" s="302"/>
      <c r="I4375" s="302"/>
      <c r="J4375" s="351"/>
      <c r="K4375" s="328"/>
      <c r="L4375" s="310"/>
    </row>
    <row r="4376" spans="5:13" ht="15" customHeight="1">
      <c r="F4376" s="306"/>
      <c r="G4376" s="301" t="s">
        <v>169</v>
      </c>
      <c r="H4376" s="307" t="s">
        <v>170</v>
      </c>
      <c r="I4376" s="307" t="s">
        <v>171</v>
      </c>
      <c r="J4376" s="308">
        <v>0.09</v>
      </c>
      <c r="K4376" s="309">
        <f>VLOOKUP(G4376,Upah,8,FALSE)</f>
        <v>125000</v>
      </c>
      <c r="L4376" s="310">
        <f>J4376*K4376</f>
        <v>11250</v>
      </c>
    </row>
    <row r="4377" spans="5:13" ht="15" customHeight="1">
      <c r="F4377" s="306"/>
      <c r="G4377" s="301" t="s">
        <v>308</v>
      </c>
      <c r="H4377" s="307" t="s">
        <v>217</v>
      </c>
      <c r="I4377" s="307" t="s">
        <v>171</v>
      </c>
      <c r="J4377" s="308">
        <v>0.09</v>
      </c>
      <c r="K4377" s="309">
        <f>VLOOKUP(G4377,Upah,8,FALSE)</f>
        <v>150000</v>
      </c>
      <c r="L4377" s="310">
        <f>J4377*K4377</f>
        <v>13500</v>
      </c>
    </row>
    <row r="4378" spans="5:13" ht="15" customHeight="1">
      <c r="F4378" s="306"/>
      <c r="G4378" s="301" t="s">
        <v>232</v>
      </c>
      <c r="H4378" s="307" t="s">
        <v>175</v>
      </c>
      <c r="I4378" s="307" t="s">
        <v>171</v>
      </c>
      <c r="J4378" s="308">
        <v>3.5000000000000003E-2</v>
      </c>
      <c r="K4378" s="309">
        <f>VLOOKUP(G4378,Upah,8,FALSE)</f>
        <v>165000</v>
      </c>
      <c r="L4378" s="310">
        <f>J4378*K4378</f>
        <v>5775.0000000000009</v>
      </c>
    </row>
    <row r="4379" spans="5:13" ht="15" customHeight="1" thickBot="1">
      <c r="F4379" s="306"/>
      <c r="G4379" s="301" t="s">
        <v>176</v>
      </c>
      <c r="H4379" s="307" t="s">
        <v>177</v>
      </c>
      <c r="I4379" s="307" t="s">
        <v>171</v>
      </c>
      <c r="J4379" s="308">
        <v>5.0000000000000001E-3</v>
      </c>
      <c r="K4379" s="309">
        <f>VLOOKUP(G4379,Upah,8,FALSE)</f>
        <v>170000</v>
      </c>
      <c r="L4379" s="310">
        <f>J4379*K4379</f>
        <v>850</v>
      </c>
    </row>
    <row r="4380" spans="5:13" ht="15" customHeight="1" thickBot="1">
      <c r="F4380" s="316"/>
      <c r="G4380" s="317"/>
      <c r="H4380" s="318"/>
      <c r="I4380" s="318"/>
      <c r="J4380" s="319" t="s">
        <v>178</v>
      </c>
      <c r="K4380" s="320"/>
      <c r="L4380" s="321">
        <f>SUM(L4376:L4379)</f>
        <v>31375</v>
      </c>
    </row>
    <row r="4381" spans="5:13" ht="15" customHeight="1">
      <c r="F4381" s="300" t="s">
        <v>179</v>
      </c>
      <c r="G4381" s="301" t="s">
        <v>180</v>
      </c>
      <c r="H4381" s="302"/>
      <c r="I4381" s="302"/>
      <c r="J4381" s="351"/>
      <c r="K4381" s="328"/>
      <c r="L4381" s="310"/>
    </row>
    <row r="4382" spans="5:13" ht="15" customHeight="1">
      <c r="F4382" s="306"/>
      <c r="G4382" s="301" t="s">
        <v>870</v>
      </c>
      <c r="H4382" s="302"/>
      <c r="I4382" s="307" t="s">
        <v>221</v>
      </c>
      <c r="J4382" s="308">
        <v>5.3</v>
      </c>
      <c r="K4382" s="328">
        <f>VLOOKUP(G4382,Bahan,6,FALSE)</f>
        <v>5630</v>
      </c>
      <c r="L4382" s="310">
        <f>J4382*K4382</f>
        <v>29839</v>
      </c>
    </row>
    <row r="4383" spans="5:13" ht="15" customHeight="1">
      <c r="F4383" s="306"/>
      <c r="G4383" s="301" t="s">
        <v>183</v>
      </c>
      <c r="H4383" s="302"/>
      <c r="I4383" s="307" t="s">
        <v>45</v>
      </c>
      <c r="J4383" s="308">
        <v>0.56999999999999995</v>
      </c>
      <c r="K4383" s="328">
        <f>VLOOKUP(G4383,Bahan,6,FALSE)</f>
        <v>1880</v>
      </c>
      <c r="L4383" s="310">
        <f>J4383*K4383</f>
        <v>1071.5999999999999</v>
      </c>
    </row>
    <row r="4384" spans="5:13" ht="15" customHeight="1">
      <c r="F4384" s="306"/>
      <c r="G4384" s="301" t="s">
        <v>296</v>
      </c>
      <c r="H4384" s="302"/>
      <c r="I4384" s="307" t="s">
        <v>292</v>
      </c>
      <c r="J4384" s="308">
        <v>1.5E-3</v>
      </c>
      <c r="K4384" s="328">
        <f>VLOOKUP(G4384,Bahan,6,FALSE)</f>
        <v>253510</v>
      </c>
      <c r="L4384" s="310">
        <f>J4384*K4384</f>
        <v>380.26499999999999</v>
      </c>
    </row>
    <row r="4385" spans="5:13" ht="15" customHeight="1" thickBot="1">
      <c r="F4385" s="306"/>
      <c r="G4385" s="301" t="s">
        <v>758</v>
      </c>
      <c r="H4385" s="302"/>
      <c r="I4385" s="307" t="s">
        <v>45</v>
      </c>
      <c r="J4385" s="308">
        <v>1.2999999999999999E-2</v>
      </c>
      <c r="K4385" s="328">
        <f>VLOOKUP(G4385,Bahan,6,FALSE)</f>
        <v>2460</v>
      </c>
      <c r="L4385" s="310">
        <f>J4385*K4385</f>
        <v>31.979999999999997</v>
      </c>
    </row>
    <row r="4386" spans="5:13" ht="15" customHeight="1" thickBot="1">
      <c r="F4386" s="316"/>
      <c r="G4386" s="317"/>
      <c r="H4386" s="318"/>
      <c r="I4386" s="318"/>
      <c r="J4386" s="319" t="s">
        <v>189</v>
      </c>
      <c r="K4386" s="320"/>
      <c r="L4386" s="321">
        <f>SUM(L4382:L4385)</f>
        <v>31322.844999999998</v>
      </c>
    </row>
    <row r="4387" spans="5:13" ht="15" customHeight="1" thickBot="1">
      <c r="F4387" s="300" t="s">
        <v>190</v>
      </c>
      <c r="G4387" s="301" t="s">
        <v>191</v>
      </c>
      <c r="H4387" s="302"/>
      <c r="I4387" s="302"/>
      <c r="J4387" s="351"/>
      <c r="K4387" s="328">
        <v>0</v>
      </c>
      <c r="L4387" s="310">
        <f>J4387*K4387</f>
        <v>0</v>
      </c>
    </row>
    <row r="4388" spans="5:13" ht="15" customHeight="1" thickBot="1">
      <c r="F4388" s="316"/>
      <c r="G4388" s="317"/>
      <c r="H4388" s="318"/>
      <c r="I4388" s="318"/>
      <c r="J4388" s="319" t="s">
        <v>192</v>
      </c>
      <c r="K4388" s="320"/>
      <c r="L4388" s="321">
        <f>L4387</f>
        <v>0</v>
      </c>
    </row>
    <row r="4389" spans="5:13" ht="15" customHeight="1">
      <c r="F4389" s="344" t="s">
        <v>193</v>
      </c>
      <c r="G4389" s="345" t="s">
        <v>194</v>
      </c>
      <c r="H4389" s="346"/>
      <c r="I4389" s="346"/>
      <c r="J4389" s="347"/>
      <c r="K4389" s="348">
        <v>0</v>
      </c>
      <c r="L4389" s="310">
        <f>SUM(L4376:L4388)/2</f>
        <v>62697.845000000001</v>
      </c>
    </row>
    <row r="4390" spans="5:13" ht="15" customHeight="1" thickBot="1">
      <c r="F4390" s="331" t="s">
        <v>195</v>
      </c>
      <c r="G4390" s="332" t="s">
        <v>196</v>
      </c>
      <c r="H4390" s="333"/>
      <c r="I4390" s="333"/>
      <c r="J4390" s="350">
        <v>0.1</v>
      </c>
      <c r="K4390" s="335"/>
      <c r="L4390" s="330">
        <f>J4390*L4389</f>
        <v>6269.7845000000007</v>
      </c>
    </row>
    <row r="4391" spans="5:13" ht="15" customHeight="1" thickBot="1">
      <c r="F4391" s="340" t="s">
        <v>197</v>
      </c>
      <c r="G4391" s="341" t="s">
        <v>198</v>
      </c>
      <c r="H4391" s="318"/>
      <c r="I4391" s="318"/>
      <c r="J4391" s="342"/>
      <c r="K4391" s="320">
        <v>0</v>
      </c>
      <c r="L4391" s="321">
        <f>ROUNDDOWN(L4389+L4390,0)</f>
        <v>68967</v>
      </c>
    </row>
    <row r="4392" spans="5:13" ht="15" customHeight="1">
      <c r="F4392" s="298"/>
      <c r="G4392" s="298"/>
      <c r="J4392" s="343"/>
    </row>
    <row r="4393" spans="5:13" ht="15" customHeight="1" thickBot="1">
      <c r="E4393" s="356" t="s">
        <v>871</v>
      </c>
      <c r="F4393" s="295" t="s">
        <v>872</v>
      </c>
      <c r="J4393" s="343"/>
      <c r="M4393" s="299">
        <f>L4411</f>
        <v>282307</v>
      </c>
    </row>
    <row r="4394" spans="5:13" ht="15" customHeight="1" thickBot="1">
      <c r="F4394" s="340" t="s">
        <v>136</v>
      </c>
      <c r="G4394" s="341" t="s">
        <v>162</v>
      </c>
      <c r="H4394" s="352" t="s">
        <v>163</v>
      </c>
      <c r="I4394" s="352" t="s">
        <v>138</v>
      </c>
      <c r="J4394" s="353" t="s">
        <v>164</v>
      </c>
      <c r="K4394" s="341" t="s">
        <v>165</v>
      </c>
      <c r="L4394" s="354" t="s">
        <v>166</v>
      </c>
    </row>
    <row r="4395" spans="5:13" ht="15" customHeight="1">
      <c r="F4395" s="300" t="s">
        <v>167</v>
      </c>
      <c r="G4395" s="301" t="s">
        <v>168</v>
      </c>
      <c r="H4395" s="302"/>
      <c r="I4395" s="302"/>
      <c r="J4395" s="351"/>
      <c r="K4395" s="328"/>
      <c r="L4395" s="310"/>
    </row>
    <row r="4396" spans="5:13" ht="15" customHeight="1">
      <c r="F4396" s="306"/>
      <c r="G4396" s="301" t="s">
        <v>169</v>
      </c>
      <c r="H4396" s="307" t="s">
        <v>170</v>
      </c>
      <c r="I4396" s="307" t="s">
        <v>171</v>
      </c>
      <c r="J4396" s="308">
        <v>0.75</v>
      </c>
      <c r="K4396" s="309">
        <f>VLOOKUP(G4396,Upah,8,FALSE)</f>
        <v>125000</v>
      </c>
      <c r="L4396" s="310">
        <f>J4396*K4396</f>
        <v>93750</v>
      </c>
    </row>
    <row r="4397" spans="5:13" ht="15" customHeight="1">
      <c r="F4397" s="306"/>
      <c r="G4397" s="301" t="s">
        <v>308</v>
      </c>
      <c r="H4397" s="307" t="s">
        <v>217</v>
      </c>
      <c r="I4397" s="307" t="s">
        <v>171</v>
      </c>
      <c r="J4397" s="308">
        <v>0.75</v>
      </c>
      <c r="K4397" s="309">
        <f>VLOOKUP(G4397,Upah,8,FALSE)</f>
        <v>150000</v>
      </c>
      <c r="L4397" s="310">
        <f>J4397*K4397</f>
        <v>112500</v>
      </c>
    </row>
    <row r="4398" spans="5:13" ht="15" customHeight="1">
      <c r="F4398" s="306"/>
      <c r="G4398" s="301" t="s">
        <v>232</v>
      </c>
      <c r="H4398" s="307" t="s">
        <v>175</v>
      </c>
      <c r="I4398" s="307" t="s">
        <v>171</v>
      </c>
      <c r="J4398" s="308">
        <v>7.4999999999999997E-2</v>
      </c>
      <c r="K4398" s="309">
        <f>VLOOKUP(G4398,Upah,8,FALSE)</f>
        <v>165000</v>
      </c>
      <c r="L4398" s="310">
        <f>J4398*K4398</f>
        <v>12375</v>
      </c>
    </row>
    <row r="4399" spans="5:13" ht="15" customHeight="1" thickBot="1">
      <c r="F4399" s="306"/>
      <c r="G4399" s="301" t="s">
        <v>176</v>
      </c>
      <c r="H4399" s="307" t="s">
        <v>177</v>
      </c>
      <c r="I4399" s="307" t="s">
        <v>171</v>
      </c>
      <c r="J4399" s="308">
        <v>3.7999999999999999E-2</v>
      </c>
      <c r="K4399" s="309">
        <f>VLOOKUP(G4399,Upah,8,FALSE)</f>
        <v>170000</v>
      </c>
      <c r="L4399" s="310">
        <f>J4399*K4399</f>
        <v>6460</v>
      </c>
    </row>
    <row r="4400" spans="5:13" ht="15" customHeight="1" thickBot="1">
      <c r="F4400" s="316"/>
      <c r="G4400" s="317"/>
      <c r="H4400" s="318"/>
      <c r="I4400" s="318"/>
      <c r="J4400" s="319" t="s">
        <v>178</v>
      </c>
      <c r="K4400" s="320"/>
      <c r="L4400" s="321">
        <f>SUM(L4396:L4399)</f>
        <v>225085</v>
      </c>
    </row>
    <row r="4401" spans="5:13" ht="15" customHeight="1">
      <c r="F4401" s="300" t="s">
        <v>179</v>
      </c>
      <c r="G4401" s="301" t="s">
        <v>180</v>
      </c>
      <c r="H4401" s="302"/>
      <c r="I4401" s="302"/>
      <c r="J4401" s="351"/>
      <c r="K4401" s="328"/>
      <c r="L4401" s="310"/>
    </row>
    <row r="4402" spans="5:13" ht="15" customHeight="1">
      <c r="F4402" s="306"/>
      <c r="G4402" s="301" t="s">
        <v>873</v>
      </c>
      <c r="H4402" s="302"/>
      <c r="I4402" s="307" t="s">
        <v>221</v>
      </c>
      <c r="J4402" s="308">
        <v>5.3</v>
      </c>
      <c r="K4402" s="328">
        <f>VLOOKUP(G4402,Bahan,6,FALSE)</f>
        <v>5360</v>
      </c>
      <c r="L4402" s="310">
        <f>J4402*K4402</f>
        <v>28408</v>
      </c>
    </row>
    <row r="4403" spans="5:13" ht="15" customHeight="1">
      <c r="F4403" s="306"/>
      <c r="G4403" s="301" t="s">
        <v>183</v>
      </c>
      <c r="H4403" s="302"/>
      <c r="I4403" s="307" t="s">
        <v>45</v>
      </c>
      <c r="J4403" s="308">
        <v>1.1399999999999999</v>
      </c>
      <c r="K4403" s="328">
        <f>VLOOKUP(G4403,Bahan,6,FALSE)</f>
        <v>1880</v>
      </c>
      <c r="L4403" s="310">
        <f>J4403*K4403</f>
        <v>2143.1999999999998</v>
      </c>
    </row>
    <row r="4404" spans="5:13" ht="15" customHeight="1">
      <c r="F4404" s="306"/>
      <c r="G4404" s="301" t="s">
        <v>296</v>
      </c>
      <c r="H4404" s="302"/>
      <c r="I4404" s="307" t="s">
        <v>292</v>
      </c>
      <c r="J4404" s="308">
        <v>3.0000000000000001E-3</v>
      </c>
      <c r="K4404" s="328">
        <f>VLOOKUP(G4404,Bahan,6,FALSE)</f>
        <v>253510</v>
      </c>
      <c r="L4404" s="310">
        <f>J4404*K4404</f>
        <v>760.53</v>
      </c>
    </row>
    <row r="4405" spans="5:13" ht="15" customHeight="1" thickBot="1">
      <c r="F4405" s="306"/>
      <c r="G4405" s="301" t="s">
        <v>758</v>
      </c>
      <c r="H4405" s="302"/>
      <c r="I4405" s="307" t="s">
        <v>45</v>
      </c>
      <c r="J4405" s="308">
        <v>0.1</v>
      </c>
      <c r="K4405" s="328">
        <f>VLOOKUP(G4405,Bahan,6,FALSE)</f>
        <v>2460</v>
      </c>
      <c r="L4405" s="310">
        <f>J4405*K4405</f>
        <v>246</v>
      </c>
    </row>
    <row r="4406" spans="5:13" ht="15" customHeight="1" thickBot="1">
      <c r="F4406" s="316"/>
      <c r="G4406" s="317"/>
      <c r="H4406" s="318"/>
      <c r="I4406" s="318"/>
      <c r="J4406" s="319" t="s">
        <v>189</v>
      </c>
      <c r="K4406" s="320"/>
      <c r="L4406" s="321">
        <f>SUM(L4402:L4405)</f>
        <v>31557.73</v>
      </c>
    </row>
    <row r="4407" spans="5:13" ht="15" customHeight="1" thickBot="1">
      <c r="F4407" s="300" t="s">
        <v>190</v>
      </c>
      <c r="G4407" s="301" t="s">
        <v>191</v>
      </c>
      <c r="H4407" s="302"/>
      <c r="I4407" s="302"/>
      <c r="J4407" s="351"/>
      <c r="K4407" s="328">
        <v>0</v>
      </c>
      <c r="L4407" s="310">
        <f>J4407*K4407</f>
        <v>0</v>
      </c>
    </row>
    <row r="4408" spans="5:13" ht="15" customHeight="1" thickBot="1">
      <c r="F4408" s="316"/>
      <c r="G4408" s="317"/>
      <c r="H4408" s="318"/>
      <c r="I4408" s="318"/>
      <c r="J4408" s="319" t="s">
        <v>192</v>
      </c>
      <c r="K4408" s="320"/>
      <c r="L4408" s="321">
        <f>L4407</f>
        <v>0</v>
      </c>
    </row>
    <row r="4409" spans="5:13" ht="15" customHeight="1">
      <c r="F4409" s="344" t="s">
        <v>193</v>
      </c>
      <c r="G4409" s="345" t="s">
        <v>194</v>
      </c>
      <c r="H4409" s="346"/>
      <c r="I4409" s="346"/>
      <c r="J4409" s="347"/>
      <c r="K4409" s="348">
        <v>0</v>
      </c>
      <c r="L4409" s="310">
        <f>SUM(L4396:L4408)/2</f>
        <v>256642.73</v>
      </c>
    </row>
    <row r="4410" spans="5:13" ht="15" customHeight="1" thickBot="1">
      <c r="F4410" s="331" t="s">
        <v>195</v>
      </c>
      <c r="G4410" s="332" t="s">
        <v>196</v>
      </c>
      <c r="H4410" s="333"/>
      <c r="I4410" s="333"/>
      <c r="J4410" s="350">
        <v>0.1</v>
      </c>
      <c r="K4410" s="335"/>
      <c r="L4410" s="330">
        <f>J4410*L4409</f>
        <v>25664.273000000001</v>
      </c>
    </row>
    <row r="4411" spans="5:13" ht="15" customHeight="1" thickBot="1">
      <c r="F4411" s="340" t="s">
        <v>197</v>
      </c>
      <c r="G4411" s="341" t="s">
        <v>198</v>
      </c>
      <c r="H4411" s="318"/>
      <c r="I4411" s="318"/>
      <c r="J4411" s="342"/>
      <c r="K4411" s="320">
        <v>0</v>
      </c>
      <c r="L4411" s="321">
        <f>ROUNDDOWN(L4409+L4410,0)</f>
        <v>282307</v>
      </c>
    </row>
    <row r="4412" spans="5:13" ht="15" customHeight="1">
      <c r="F4412" s="298"/>
      <c r="G4412" s="298"/>
      <c r="J4412" s="343"/>
    </row>
    <row r="4413" spans="5:13" ht="15" customHeight="1" thickBot="1">
      <c r="E4413" s="356" t="s">
        <v>874</v>
      </c>
      <c r="F4413" s="295" t="s">
        <v>875</v>
      </c>
      <c r="J4413" s="343"/>
      <c r="M4413" s="299">
        <f>L4431</f>
        <v>278619</v>
      </c>
    </row>
    <row r="4414" spans="5:13" ht="15" customHeight="1" thickBot="1">
      <c r="F4414" s="340" t="s">
        <v>136</v>
      </c>
      <c r="G4414" s="341" t="s">
        <v>162</v>
      </c>
      <c r="H4414" s="352" t="s">
        <v>163</v>
      </c>
      <c r="I4414" s="352" t="s">
        <v>138</v>
      </c>
      <c r="J4414" s="353" t="s">
        <v>164</v>
      </c>
      <c r="K4414" s="341" t="s">
        <v>165</v>
      </c>
      <c r="L4414" s="354" t="s">
        <v>166</v>
      </c>
    </row>
    <row r="4415" spans="5:13" ht="15" customHeight="1">
      <c r="F4415" s="300" t="s">
        <v>167</v>
      </c>
      <c r="G4415" s="301" t="s">
        <v>168</v>
      </c>
      <c r="H4415" s="302"/>
      <c r="I4415" s="302"/>
      <c r="J4415" s="351"/>
      <c r="K4415" s="328"/>
      <c r="L4415" s="310"/>
    </row>
    <row r="4416" spans="5:13" ht="15" customHeight="1">
      <c r="F4416" s="306"/>
      <c r="G4416" s="301" t="s">
        <v>169</v>
      </c>
      <c r="H4416" s="307" t="s">
        <v>170</v>
      </c>
      <c r="I4416" s="307" t="s">
        <v>171</v>
      </c>
      <c r="J4416" s="308">
        <v>0.7</v>
      </c>
      <c r="K4416" s="309">
        <f>VLOOKUP(G4416,Upah,8,FALSE)</f>
        <v>125000</v>
      </c>
      <c r="L4416" s="310">
        <f>J4416*K4416</f>
        <v>87500</v>
      </c>
    </row>
    <row r="4417" spans="6:12" ht="15" customHeight="1">
      <c r="F4417" s="306"/>
      <c r="G4417" s="301" t="s">
        <v>308</v>
      </c>
      <c r="H4417" s="307" t="s">
        <v>217</v>
      </c>
      <c r="I4417" s="307" t="s">
        <v>171</v>
      </c>
      <c r="J4417" s="308">
        <v>0.35</v>
      </c>
      <c r="K4417" s="309">
        <f>VLOOKUP(G4417,Upah,8,FALSE)</f>
        <v>150000</v>
      </c>
      <c r="L4417" s="310">
        <f>J4417*K4417</f>
        <v>52500</v>
      </c>
    </row>
    <row r="4418" spans="6:12" ht="15" customHeight="1">
      <c r="F4418" s="306"/>
      <c r="G4418" s="301" t="s">
        <v>232</v>
      </c>
      <c r="H4418" s="307" t="s">
        <v>175</v>
      </c>
      <c r="I4418" s="307" t="s">
        <v>171</v>
      </c>
      <c r="J4418" s="308">
        <v>3.5000000000000003E-2</v>
      </c>
      <c r="K4418" s="309">
        <f>VLOOKUP(G4418,Upah,8,FALSE)</f>
        <v>165000</v>
      </c>
      <c r="L4418" s="310">
        <f>J4418*K4418</f>
        <v>5775.0000000000009</v>
      </c>
    </row>
    <row r="4419" spans="6:12" ht="15" customHeight="1" thickBot="1">
      <c r="F4419" s="306"/>
      <c r="G4419" s="301" t="s">
        <v>176</v>
      </c>
      <c r="H4419" s="307" t="s">
        <v>177</v>
      </c>
      <c r="I4419" s="307" t="s">
        <v>171</v>
      </c>
      <c r="J4419" s="308">
        <v>3.5000000000000003E-2</v>
      </c>
      <c r="K4419" s="309">
        <f>VLOOKUP(G4419,Upah,8,FALSE)</f>
        <v>170000</v>
      </c>
      <c r="L4419" s="310">
        <f>J4419*K4419</f>
        <v>5950.0000000000009</v>
      </c>
    </row>
    <row r="4420" spans="6:12" ht="15" customHeight="1" thickBot="1">
      <c r="F4420" s="316"/>
      <c r="G4420" s="317"/>
      <c r="H4420" s="318"/>
      <c r="I4420" s="318"/>
      <c r="J4420" s="319" t="s">
        <v>178</v>
      </c>
      <c r="K4420" s="320"/>
      <c r="L4420" s="321">
        <f>SUM(L4416:L4419)</f>
        <v>151725</v>
      </c>
    </row>
    <row r="4421" spans="6:12" ht="15" customHeight="1">
      <c r="F4421" s="300" t="s">
        <v>179</v>
      </c>
      <c r="G4421" s="301" t="s">
        <v>180</v>
      </c>
      <c r="H4421" s="302"/>
      <c r="I4421" s="302"/>
      <c r="J4421" s="351"/>
      <c r="K4421" s="328"/>
      <c r="L4421" s="310"/>
    </row>
    <row r="4422" spans="6:12" ht="15" customHeight="1">
      <c r="F4422" s="306"/>
      <c r="G4422" s="301" t="s">
        <v>876</v>
      </c>
      <c r="H4422" s="302"/>
      <c r="I4422" s="307" t="s">
        <v>221</v>
      </c>
      <c r="J4422" s="308">
        <v>1.06</v>
      </c>
      <c r="K4422" s="328">
        <f>VLOOKUP(G4422,Bahan,6,FALSE)</f>
        <v>69020</v>
      </c>
      <c r="L4422" s="310">
        <f>J4422*K4422</f>
        <v>73161.2</v>
      </c>
    </row>
    <row r="4423" spans="6:12" ht="15" customHeight="1">
      <c r="F4423" s="306"/>
      <c r="G4423" s="301" t="s">
        <v>183</v>
      </c>
      <c r="H4423" s="302"/>
      <c r="I4423" s="307" t="s">
        <v>45</v>
      </c>
      <c r="J4423" s="308">
        <v>8.19</v>
      </c>
      <c r="K4423" s="328">
        <f>VLOOKUP(G4423,Bahan,6,FALSE)</f>
        <v>1880</v>
      </c>
      <c r="L4423" s="310">
        <f>J4423*K4423</f>
        <v>15397.199999999999</v>
      </c>
    </row>
    <row r="4424" spans="6:12" ht="15" customHeight="1">
      <c r="F4424" s="306"/>
      <c r="G4424" s="301" t="s">
        <v>296</v>
      </c>
      <c r="H4424" s="302"/>
      <c r="I4424" s="307" t="s">
        <v>292</v>
      </c>
      <c r="J4424" s="308">
        <v>4.4999999999999998E-2</v>
      </c>
      <c r="K4424" s="328">
        <f>VLOOKUP(G4424,Bahan,6,FALSE)</f>
        <v>253510</v>
      </c>
      <c r="L4424" s="310">
        <f>J4424*K4424</f>
        <v>11407.949999999999</v>
      </c>
    </row>
    <row r="4425" spans="6:12" ht="15" customHeight="1" thickBot="1">
      <c r="F4425" s="306"/>
      <c r="G4425" s="301" t="s">
        <v>758</v>
      </c>
      <c r="H4425" s="302"/>
      <c r="I4425" s="307" t="s">
        <v>45</v>
      </c>
      <c r="J4425" s="308">
        <v>0.65</v>
      </c>
      <c r="K4425" s="328">
        <f>VLOOKUP(G4425,Bahan,6,FALSE)</f>
        <v>2460</v>
      </c>
      <c r="L4425" s="310">
        <f>J4425*K4425</f>
        <v>1599</v>
      </c>
    </row>
    <row r="4426" spans="6:12" ht="15" customHeight="1" thickBot="1">
      <c r="F4426" s="316"/>
      <c r="G4426" s="317"/>
      <c r="H4426" s="318"/>
      <c r="I4426" s="318"/>
      <c r="J4426" s="319" t="s">
        <v>189</v>
      </c>
      <c r="K4426" s="320"/>
      <c r="L4426" s="321">
        <f>SUM(L4422:L4425)</f>
        <v>101565.34999999999</v>
      </c>
    </row>
    <row r="4427" spans="6:12" ht="15" customHeight="1" thickBot="1">
      <c r="F4427" s="300" t="s">
        <v>190</v>
      </c>
      <c r="G4427" s="301" t="s">
        <v>191</v>
      </c>
      <c r="H4427" s="302"/>
      <c r="I4427" s="302"/>
      <c r="J4427" s="351"/>
      <c r="K4427" s="328">
        <v>0</v>
      </c>
      <c r="L4427" s="310">
        <f>J4427*K4427</f>
        <v>0</v>
      </c>
    </row>
    <row r="4428" spans="6:12" ht="15" customHeight="1" thickBot="1">
      <c r="F4428" s="316"/>
      <c r="G4428" s="317"/>
      <c r="H4428" s="318"/>
      <c r="I4428" s="318"/>
      <c r="J4428" s="319" t="s">
        <v>192</v>
      </c>
      <c r="K4428" s="320"/>
      <c r="L4428" s="321">
        <f>L4427</f>
        <v>0</v>
      </c>
    </row>
    <row r="4429" spans="6:12" ht="15" customHeight="1">
      <c r="F4429" s="344" t="s">
        <v>193</v>
      </c>
      <c r="G4429" s="345" t="s">
        <v>194</v>
      </c>
      <c r="H4429" s="346"/>
      <c r="I4429" s="346"/>
      <c r="J4429" s="347"/>
      <c r="K4429" s="348">
        <v>0</v>
      </c>
      <c r="L4429" s="310">
        <f>SUM(L4416:L4428)/2</f>
        <v>253290.35</v>
      </c>
    </row>
    <row r="4430" spans="6:12" ht="15" customHeight="1" thickBot="1">
      <c r="F4430" s="331" t="s">
        <v>195</v>
      </c>
      <c r="G4430" s="332" t="s">
        <v>196</v>
      </c>
      <c r="H4430" s="333"/>
      <c r="I4430" s="333"/>
      <c r="J4430" s="350">
        <v>0.1</v>
      </c>
      <c r="K4430" s="335"/>
      <c r="L4430" s="330">
        <f>J4430*L4429</f>
        <v>25329.035000000003</v>
      </c>
    </row>
    <row r="4431" spans="6:12" ht="15" customHeight="1" thickBot="1">
      <c r="F4431" s="340" t="s">
        <v>197</v>
      </c>
      <c r="G4431" s="341" t="s">
        <v>198</v>
      </c>
      <c r="H4431" s="318"/>
      <c r="I4431" s="318"/>
      <c r="J4431" s="342"/>
      <c r="K4431" s="320">
        <v>0</v>
      </c>
      <c r="L4431" s="321">
        <f>ROUNDDOWN(L4429+L4430,0)</f>
        <v>278619</v>
      </c>
    </row>
    <row r="4432" spans="6:12" ht="15" customHeight="1">
      <c r="F4432" s="298"/>
      <c r="G4432" s="298"/>
      <c r="J4432" s="343"/>
    </row>
    <row r="4433" spans="5:13" ht="15" customHeight="1" thickBot="1">
      <c r="E4433" s="356" t="s">
        <v>877</v>
      </c>
      <c r="F4433" s="295" t="s">
        <v>878</v>
      </c>
      <c r="J4433" s="343"/>
      <c r="M4433" s="299">
        <f>L4449</f>
        <v>639549</v>
      </c>
    </row>
    <row r="4434" spans="5:13" ht="15" customHeight="1" thickBot="1">
      <c r="F4434" s="340" t="s">
        <v>136</v>
      </c>
      <c r="G4434" s="341" t="s">
        <v>162</v>
      </c>
      <c r="H4434" s="352" t="s">
        <v>163</v>
      </c>
      <c r="I4434" s="352" t="s">
        <v>138</v>
      </c>
      <c r="J4434" s="353" t="s">
        <v>164</v>
      </c>
      <c r="K4434" s="341" t="s">
        <v>165</v>
      </c>
      <c r="L4434" s="354" t="s">
        <v>166</v>
      </c>
    </row>
    <row r="4435" spans="5:13" ht="15" customHeight="1">
      <c r="F4435" s="300" t="s">
        <v>167</v>
      </c>
      <c r="G4435" s="301" t="s">
        <v>168</v>
      </c>
      <c r="H4435" s="302"/>
      <c r="I4435" s="302"/>
      <c r="J4435" s="351"/>
      <c r="K4435" s="328"/>
      <c r="L4435" s="310"/>
    </row>
    <row r="4436" spans="5:13" ht="15" customHeight="1">
      <c r="F4436" s="306"/>
      <c r="G4436" s="301" t="s">
        <v>169</v>
      </c>
      <c r="H4436" s="307" t="s">
        <v>170</v>
      </c>
      <c r="I4436" s="307" t="s">
        <v>171</v>
      </c>
      <c r="J4436" s="308">
        <v>0.17</v>
      </c>
      <c r="K4436" s="309">
        <f>VLOOKUP(G4436,Upah,8,FALSE)</f>
        <v>125000</v>
      </c>
      <c r="L4436" s="310">
        <f>J4436*K4436</f>
        <v>21250</v>
      </c>
    </row>
    <row r="4437" spans="5:13" ht="15" customHeight="1">
      <c r="F4437" s="306"/>
      <c r="G4437" s="301" t="s">
        <v>172</v>
      </c>
      <c r="H4437" s="307" t="s">
        <v>173</v>
      </c>
      <c r="I4437" s="307" t="s">
        <v>171</v>
      </c>
      <c r="J4437" s="308">
        <v>0.17</v>
      </c>
      <c r="K4437" s="309">
        <f>VLOOKUP(G4437,Upah,8,FALSE)</f>
        <v>150000</v>
      </c>
      <c r="L4437" s="310">
        <f>J4437*K4437</f>
        <v>25500.000000000004</v>
      </c>
    </row>
    <row r="4438" spans="5:13" ht="15" customHeight="1">
      <c r="F4438" s="306"/>
      <c r="G4438" s="301" t="s">
        <v>232</v>
      </c>
      <c r="H4438" s="307" t="s">
        <v>175</v>
      </c>
      <c r="I4438" s="307" t="s">
        <v>171</v>
      </c>
      <c r="J4438" s="308">
        <v>1.7000000000000001E-2</v>
      </c>
      <c r="K4438" s="309">
        <f>VLOOKUP(G4438,Upah,8,FALSE)</f>
        <v>165000</v>
      </c>
      <c r="L4438" s="310">
        <f>J4438*K4438</f>
        <v>2805</v>
      </c>
    </row>
    <row r="4439" spans="5:13" ht="15" customHeight="1" thickBot="1">
      <c r="F4439" s="306"/>
      <c r="G4439" s="301" t="s">
        <v>176</v>
      </c>
      <c r="H4439" s="307" t="s">
        <v>177</v>
      </c>
      <c r="I4439" s="307" t="s">
        <v>171</v>
      </c>
      <c r="J4439" s="308">
        <v>8.9999999999999993E-3</v>
      </c>
      <c r="K4439" s="309">
        <f>VLOOKUP(G4439,Upah,8,FALSE)</f>
        <v>170000</v>
      </c>
      <c r="L4439" s="310">
        <f>J4439*K4439</f>
        <v>1529.9999999999998</v>
      </c>
    </row>
    <row r="4440" spans="5:13" ht="15" customHeight="1" thickBot="1">
      <c r="F4440" s="316"/>
      <c r="G4440" s="317"/>
      <c r="H4440" s="318"/>
      <c r="I4440" s="318"/>
      <c r="J4440" s="319" t="s">
        <v>178</v>
      </c>
      <c r="K4440" s="320"/>
      <c r="L4440" s="321">
        <f>SUM(L4436:L4439)</f>
        <v>51085</v>
      </c>
    </row>
    <row r="4441" spans="5:13" ht="15" customHeight="1">
      <c r="F4441" s="300" t="s">
        <v>179</v>
      </c>
      <c r="G4441" s="301" t="s">
        <v>180</v>
      </c>
      <c r="H4441" s="302"/>
      <c r="I4441" s="302"/>
      <c r="J4441" s="351"/>
      <c r="K4441" s="328"/>
      <c r="L4441" s="310"/>
    </row>
    <row r="4442" spans="5:13" ht="15" customHeight="1">
      <c r="F4442" s="306"/>
      <c r="G4442" s="301" t="s">
        <v>879</v>
      </c>
      <c r="H4442" s="302"/>
      <c r="I4442" s="307" t="s">
        <v>23</v>
      </c>
      <c r="J4442" s="308">
        <v>1.05</v>
      </c>
      <c r="K4442" s="328">
        <f>VLOOKUP(G4442,Bahan,6,FALSE)</f>
        <v>500000</v>
      </c>
      <c r="L4442" s="310">
        <f>J4442*K4442</f>
        <v>525000</v>
      </c>
    </row>
    <row r="4443" spans="5:13" ht="15" customHeight="1" thickBot="1">
      <c r="F4443" s="306"/>
      <c r="G4443" s="301" t="s">
        <v>880</v>
      </c>
      <c r="H4443" s="302"/>
      <c r="I4443" s="307" t="s">
        <v>45</v>
      </c>
      <c r="J4443" s="308">
        <v>0.35</v>
      </c>
      <c r="K4443" s="328">
        <f>VLOOKUP(G4443,Bahan,6,FALSE)</f>
        <v>15210</v>
      </c>
      <c r="L4443" s="310">
        <f>J4443*K4443</f>
        <v>5323.5</v>
      </c>
    </row>
    <row r="4444" spans="5:13" ht="15" customHeight="1" thickBot="1">
      <c r="F4444" s="316"/>
      <c r="G4444" s="317"/>
      <c r="H4444" s="318"/>
      <c r="I4444" s="318"/>
      <c r="J4444" s="319" t="s">
        <v>189</v>
      </c>
      <c r="K4444" s="320"/>
      <c r="L4444" s="321">
        <f>SUM(L4442:L4443)</f>
        <v>530323.5</v>
      </c>
    </row>
    <row r="4445" spans="5:13" ht="15" customHeight="1" thickBot="1">
      <c r="F4445" s="300" t="s">
        <v>190</v>
      </c>
      <c r="G4445" s="301" t="s">
        <v>191</v>
      </c>
      <c r="H4445" s="302"/>
      <c r="I4445" s="302"/>
      <c r="J4445" s="351"/>
      <c r="K4445" s="328">
        <v>0</v>
      </c>
      <c r="L4445" s="310">
        <f>J4445*K4445</f>
        <v>0</v>
      </c>
    </row>
    <row r="4446" spans="5:13" ht="15" customHeight="1" thickBot="1">
      <c r="F4446" s="316"/>
      <c r="G4446" s="317"/>
      <c r="H4446" s="318"/>
      <c r="I4446" s="318"/>
      <c r="J4446" s="319" t="s">
        <v>192</v>
      </c>
      <c r="K4446" s="320"/>
      <c r="L4446" s="321">
        <f>L4445</f>
        <v>0</v>
      </c>
    </row>
    <row r="4447" spans="5:13" ht="15" customHeight="1">
      <c r="F4447" s="344" t="s">
        <v>193</v>
      </c>
      <c r="G4447" s="345" t="s">
        <v>194</v>
      </c>
      <c r="H4447" s="346"/>
      <c r="I4447" s="346"/>
      <c r="J4447" s="347"/>
      <c r="K4447" s="348">
        <v>0</v>
      </c>
      <c r="L4447" s="310">
        <f>SUM(L4436:L4446)/2</f>
        <v>581408.5</v>
      </c>
    </row>
    <row r="4448" spans="5:13" ht="15" customHeight="1" thickBot="1">
      <c r="F4448" s="331" t="s">
        <v>195</v>
      </c>
      <c r="G4448" s="332" t="s">
        <v>196</v>
      </c>
      <c r="H4448" s="333"/>
      <c r="I4448" s="333"/>
      <c r="J4448" s="350">
        <v>0.1</v>
      </c>
      <c r="K4448" s="335"/>
      <c r="L4448" s="330">
        <f>J4448*L4447</f>
        <v>58140.850000000006</v>
      </c>
    </row>
    <row r="4449" spans="5:13" ht="15" customHeight="1" thickBot="1">
      <c r="F4449" s="340" t="s">
        <v>197</v>
      </c>
      <c r="G4449" s="341" t="s">
        <v>198</v>
      </c>
      <c r="H4449" s="318"/>
      <c r="I4449" s="318"/>
      <c r="J4449" s="342"/>
      <c r="K4449" s="320">
        <v>0</v>
      </c>
      <c r="L4449" s="321">
        <f>ROUNDDOWN(L4447+L4448,0)</f>
        <v>639549</v>
      </c>
    </row>
    <row r="4450" spans="5:13" ht="15" customHeight="1">
      <c r="F4450" s="298"/>
      <c r="G4450" s="298"/>
      <c r="J4450" s="343"/>
    </row>
    <row r="4451" spans="5:13" ht="15" customHeight="1" thickBot="1">
      <c r="E4451" s="356" t="s">
        <v>881</v>
      </c>
      <c r="F4451" s="295" t="s">
        <v>882</v>
      </c>
      <c r="J4451" s="343"/>
      <c r="M4451" s="299">
        <f>L4467</f>
        <v>85950</v>
      </c>
    </row>
    <row r="4452" spans="5:13" ht="15" customHeight="1" thickBot="1">
      <c r="F4452" s="340" t="s">
        <v>136</v>
      </c>
      <c r="G4452" s="341" t="s">
        <v>162</v>
      </c>
      <c r="H4452" s="352" t="s">
        <v>163</v>
      </c>
      <c r="I4452" s="352" t="s">
        <v>138</v>
      </c>
      <c r="J4452" s="353" t="s">
        <v>164</v>
      </c>
      <c r="K4452" s="341" t="s">
        <v>165</v>
      </c>
      <c r="L4452" s="354" t="s">
        <v>166</v>
      </c>
    </row>
    <row r="4453" spans="5:13" ht="15" customHeight="1">
      <c r="F4453" s="300" t="s">
        <v>167</v>
      </c>
      <c r="G4453" s="301" t="s">
        <v>168</v>
      </c>
      <c r="H4453" s="302"/>
      <c r="I4453" s="302"/>
      <c r="J4453" s="351"/>
      <c r="K4453" s="328"/>
      <c r="L4453" s="310"/>
    </row>
    <row r="4454" spans="5:13" ht="15" customHeight="1">
      <c r="F4454" s="306"/>
      <c r="G4454" s="301" t="s">
        <v>169</v>
      </c>
      <c r="H4454" s="307" t="s">
        <v>170</v>
      </c>
      <c r="I4454" s="307" t="s">
        <v>171</v>
      </c>
      <c r="J4454" s="308">
        <v>0.12</v>
      </c>
      <c r="K4454" s="309">
        <f>VLOOKUP(G4454,Upah,8,FALSE)</f>
        <v>125000</v>
      </c>
      <c r="L4454" s="310">
        <f>J4454*K4454</f>
        <v>15000</v>
      </c>
    </row>
    <row r="4455" spans="5:13" ht="15" customHeight="1">
      <c r="F4455" s="306"/>
      <c r="G4455" s="301" t="s">
        <v>172</v>
      </c>
      <c r="H4455" s="307" t="s">
        <v>173</v>
      </c>
      <c r="I4455" s="307" t="s">
        <v>171</v>
      </c>
      <c r="J4455" s="308">
        <v>0.12</v>
      </c>
      <c r="K4455" s="309">
        <f>VLOOKUP(G4455,Upah,8,FALSE)</f>
        <v>150000</v>
      </c>
      <c r="L4455" s="310">
        <f>J4455*K4455</f>
        <v>18000</v>
      </c>
    </row>
    <row r="4456" spans="5:13" ht="15" customHeight="1">
      <c r="F4456" s="306"/>
      <c r="G4456" s="301" t="s">
        <v>232</v>
      </c>
      <c r="H4456" s="307" t="s">
        <v>175</v>
      </c>
      <c r="I4456" s="307" t="s">
        <v>171</v>
      </c>
      <c r="J4456" s="308">
        <v>1.2E-2</v>
      </c>
      <c r="K4456" s="309">
        <f>VLOOKUP(G4456,Upah,8,FALSE)</f>
        <v>165000</v>
      </c>
      <c r="L4456" s="310">
        <f>J4456*K4456</f>
        <v>1980</v>
      </c>
    </row>
    <row r="4457" spans="5:13" ht="15" customHeight="1" thickBot="1">
      <c r="F4457" s="306"/>
      <c r="G4457" s="301" t="s">
        <v>176</v>
      </c>
      <c r="H4457" s="307" t="s">
        <v>177</v>
      </c>
      <c r="I4457" s="307" t="s">
        <v>171</v>
      </c>
      <c r="J4457" s="308">
        <v>6.0000000000000001E-3</v>
      </c>
      <c r="K4457" s="309">
        <f>VLOOKUP(G4457,Upah,8,FALSE)</f>
        <v>170000</v>
      </c>
      <c r="L4457" s="310">
        <f>J4457*K4457</f>
        <v>1020</v>
      </c>
    </row>
    <row r="4458" spans="5:13" ht="15" customHeight="1" thickBot="1">
      <c r="F4458" s="316"/>
      <c r="G4458" s="317"/>
      <c r="H4458" s="318"/>
      <c r="I4458" s="318"/>
      <c r="J4458" s="319" t="s">
        <v>178</v>
      </c>
      <c r="K4458" s="320"/>
      <c r="L4458" s="321">
        <f>SUM(L4454:L4457)</f>
        <v>36000</v>
      </c>
    </row>
    <row r="4459" spans="5:13" ht="15" customHeight="1">
      <c r="F4459" s="300" t="s">
        <v>179</v>
      </c>
      <c r="G4459" s="301" t="s">
        <v>180</v>
      </c>
      <c r="H4459" s="302"/>
      <c r="I4459" s="302"/>
      <c r="J4459" s="351"/>
      <c r="K4459" s="328"/>
      <c r="L4459" s="310"/>
    </row>
    <row r="4460" spans="5:13" ht="15" customHeight="1">
      <c r="F4460" s="306"/>
      <c r="G4460" s="301" t="s">
        <v>883</v>
      </c>
      <c r="H4460" s="302"/>
      <c r="I4460" s="307" t="s">
        <v>23</v>
      </c>
      <c r="J4460" s="308">
        <v>1.05</v>
      </c>
      <c r="K4460" s="328">
        <f>VLOOKUP(G4460,Bahan,6,FALSE)</f>
        <v>35060</v>
      </c>
      <c r="L4460" s="310">
        <f>J4460*K4460</f>
        <v>36813</v>
      </c>
    </row>
    <row r="4461" spans="5:13" ht="15" customHeight="1" thickBot="1">
      <c r="F4461" s="306"/>
      <c r="G4461" s="301" t="s">
        <v>880</v>
      </c>
      <c r="H4461" s="302"/>
      <c r="I4461" s="307" t="s">
        <v>45</v>
      </c>
      <c r="J4461" s="308">
        <v>0.35</v>
      </c>
      <c r="K4461" s="328">
        <f>VLOOKUP(G4461,Bahan,6,FALSE)</f>
        <v>15210</v>
      </c>
      <c r="L4461" s="310">
        <f>J4461*K4461</f>
        <v>5323.5</v>
      </c>
    </row>
    <row r="4462" spans="5:13" ht="15" customHeight="1" thickBot="1">
      <c r="F4462" s="316"/>
      <c r="G4462" s="317"/>
      <c r="H4462" s="318"/>
      <c r="I4462" s="318"/>
      <c r="J4462" s="319" t="s">
        <v>189</v>
      </c>
      <c r="K4462" s="320"/>
      <c r="L4462" s="321">
        <f>SUM(L4460:L4461)</f>
        <v>42136.5</v>
      </c>
    </row>
    <row r="4463" spans="5:13" ht="15" customHeight="1" thickBot="1">
      <c r="F4463" s="300" t="s">
        <v>190</v>
      </c>
      <c r="G4463" s="301" t="s">
        <v>191</v>
      </c>
      <c r="H4463" s="302"/>
      <c r="I4463" s="302"/>
      <c r="J4463" s="351"/>
      <c r="K4463" s="328">
        <v>0</v>
      </c>
      <c r="L4463" s="310">
        <f>J4463*K4463</f>
        <v>0</v>
      </c>
    </row>
    <row r="4464" spans="5:13" ht="15" customHeight="1" thickBot="1">
      <c r="F4464" s="316"/>
      <c r="G4464" s="317"/>
      <c r="H4464" s="318"/>
      <c r="I4464" s="318"/>
      <c r="J4464" s="319" t="s">
        <v>192</v>
      </c>
      <c r="K4464" s="320"/>
      <c r="L4464" s="321">
        <f>L4463</f>
        <v>0</v>
      </c>
    </row>
    <row r="4465" spans="5:13" ht="15" customHeight="1">
      <c r="F4465" s="344" t="s">
        <v>193</v>
      </c>
      <c r="G4465" s="345" t="s">
        <v>194</v>
      </c>
      <c r="H4465" s="346"/>
      <c r="I4465" s="346"/>
      <c r="J4465" s="347"/>
      <c r="K4465" s="348">
        <v>0</v>
      </c>
      <c r="L4465" s="310">
        <f>SUM(L4454:L4464)/2</f>
        <v>78136.5</v>
      </c>
    </row>
    <row r="4466" spans="5:13" ht="15" customHeight="1" thickBot="1">
      <c r="F4466" s="331" t="s">
        <v>195</v>
      </c>
      <c r="G4466" s="332" t="s">
        <v>196</v>
      </c>
      <c r="H4466" s="333"/>
      <c r="I4466" s="333"/>
      <c r="J4466" s="350">
        <v>0.1</v>
      </c>
      <c r="K4466" s="335"/>
      <c r="L4466" s="330">
        <f>J4466*L4465</f>
        <v>7813.6500000000005</v>
      </c>
    </row>
    <row r="4467" spans="5:13" ht="15" customHeight="1" thickBot="1">
      <c r="F4467" s="340" t="s">
        <v>197</v>
      </c>
      <c r="G4467" s="341" t="s">
        <v>198</v>
      </c>
      <c r="H4467" s="318"/>
      <c r="I4467" s="318"/>
      <c r="J4467" s="342"/>
      <c r="K4467" s="320">
        <v>0</v>
      </c>
      <c r="L4467" s="321">
        <f>ROUNDDOWN(L4465+L4466,0)</f>
        <v>85950</v>
      </c>
    </row>
    <row r="4468" spans="5:13" ht="15" customHeight="1">
      <c r="F4468" s="298"/>
      <c r="G4468" s="298"/>
      <c r="J4468" s="343"/>
    </row>
    <row r="4469" spans="5:13" ht="15" customHeight="1" thickBot="1">
      <c r="E4469" s="356" t="s">
        <v>884</v>
      </c>
      <c r="F4469" s="295" t="s">
        <v>885</v>
      </c>
      <c r="J4469" s="343"/>
      <c r="M4469" s="299">
        <f>L4485</f>
        <v>196178</v>
      </c>
    </row>
    <row r="4470" spans="5:13" ht="15" customHeight="1" thickBot="1">
      <c r="F4470" s="340" t="s">
        <v>136</v>
      </c>
      <c r="G4470" s="341" t="s">
        <v>162</v>
      </c>
      <c r="H4470" s="352" t="s">
        <v>163</v>
      </c>
      <c r="I4470" s="352" t="s">
        <v>138</v>
      </c>
      <c r="J4470" s="353" t="s">
        <v>164</v>
      </c>
      <c r="K4470" s="341" t="s">
        <v>165</v>
      </c>
      <c r="L4470" s="354" t="s">
        <v>166</v>
      </c>
    </row>
    <row r="4471" spans="5:13" ht="15" customHeight="1">
      <c r="F4471" s="300" t="s">
        <v>167</v>
      </c>
      <c r="G4471" s="301" t="s">
        <v>168</v>
      </c>
      <c r="H4471" s="302"/>
      <c r="I4471" s="302"/>
      <c r="J4471" s="351"/>
      <c r="K4471" s="328"/>
      <c r="L4471" s="310"/>
    </row>
    <row r="4472" spans="5:13" ht="15" customHeight="1">
      <c r="F4472" s="306"/>
      <c r="G4472" s="301" t="s">
        <v>169</v>
      </c>
      <c r="H4472" s="307" t="s">
        <v>170</v>
      </c>
      <c r="I4472" s="307" t="s">
        <v>171</v>
      </c>
      <c r="J4472" s="308">
        <v>0.7</v>
      </c>
      <c r="K4472" s="309">
        <f>VLOOKUP(G4472,Upah,8,FALSE)</f>
        <v>125000</v>
      </c>
      <c r="L4472" s="310">
        <f>J4472*K4472</f>
        <v>87500</v>
      </c>
    </row>
    <row r="4473" spans="5:13" ht="15" customHeight="1">
      <c r="F4473" s="306"/>
      <c r="G4473" s="301" t="s">
        <v>172</v>
      </c>
      <c r="H4473" s="307" t="s">
        <v>173</v>
      </c>
      <c r="I4473" s="307" t="s">
        <v>171</v>
      </c>
      <c r="J4473" s="308">
        <v>0.35</v>
      </c>
      <c r="K4473" s="309">
        <f>VLOOKUP(G4473,Upah,8,FALSE)</f>
        <v>150000</v>
      </c>
      <c r="L4473" s="310">
        <f>J4473*K4473</f>
        <v>52500</v>
      </c>
    </row>
    <row r="4474" spans="5:13" ht="15" customHeight="1">
      <c r="F4474" s="306"/>
      <c r="G4474" s="301" t="s">
        <v>232</v>
      </c>
      <c r="H4474" s="307" t="s">
        <v>175</v>
      </c>
      <c r="I4474" s="307" t="s">
        <v>171</v>
      </c>
      <c r="J4474" s="308">
        <v>3.5000000000000003E-2</v>
      </c>
      <c r="K4474" s="309">
        <f>VLOOKUP(G4474,Upah,8,FALSE)</f>
        <v>165000</v>
      </c>
      <c r="L4474" s="310">
        <f>J4474*K4474</f>
        <v>5775.0000000000009</v>
      </c>
    </row>
    <row r="4475" spans="5:13" ht="15" customHeight="1" thickBot="1">
      <c r="F4475" s="306"/>
      <c r="G4475" s="301" t="s">
        <v>176</v>
      </c>
      <c r="H4475" s="307" t="s">
        <v>177</v>
      </c>
      <c r="I4475" s="307" t="s">
        <v>171</v>
      </c>
      <c r="J4475" s="308">
        <v>3.5000000000000003E-2</v>
      </c>
      <c r="K4475" s="309">
        <f>VLOOKUP(G4475,Upah,8,FALSE)</f>
        <v>170000</v>
      </c>
      <c r="L4475" s="310">
        <f>J4475*K4475</f>
        <v>5950.0000000000009</v>
      </c>
    </row>
    <row r="4476" spans="5:13" ht="15" customHeight="1" thickBot="1">
      <c r="F4476" s="316"/>
      <c r="G4476" s="317"/>
      <c r="H4476" s="318"/>
      <c r="I4476" s="318"/>
      <c r="J4476" s="319" t="s">
        <v>178</v>
      </c>
      <c r="K4476" s="320"/>
      <c r="L4476" s="321">
        <f>SUM(L4472:L4475)</f>
        <v>151725</v>
      </c>
    </row>
    <row r="4477" spans="5:13" ht="15" customHeight="1">
      <c r="F4477" s="300" t="s">
        <v>179</v>
      </c>
      <c r="G4477" s="301" t="s">
        <v>180</v>
      </c>
      <c r="H4477" s="302"/>
      <c r="I4477" s="302"/>
      <c r="J4477" s="351"/>
      <c r="K4477" s="328"/>
      <c r="L4477" s="310"/>
    </row>
    <row r="4478" spans="5:13" ht="15" customHeight="1">
      <c r="F4478" s="306"/>
      <c r="G4478" s="301" t="s">
        <v>886</v>
      </c>
      <c r="H4478" s="302"/>
      <c r="I4478" s="307" t="s">
        <v>23</v>
      </c>
      <c r="J4478" s="308">
        <v>1.05</v>
      </c>
      <c r="K4478" s="328">
        <f>VLOOKUP(G4478,Bahan,6,FALSE)</f>
        <v>16660</v>
      </c>
      <c r="L4478" s="310">
        <f>J4478*K4478</f>
        <v>17493</v>
      </c>
    </row>
    <row r="4479" spans="5:13" ht="15" customHeight="1" thickBot="1">
      <c r="F4479" s="306"/>
      <c r="G4479" s="301" t="s">
        <v>880</v>
      </c>
      <c r="H4479" s="302"/>
      <c r="I4479" s="307" t="s">
        <v>45</v>
      </c>
      <c r="J4479" s="308">
        <v>0.6</v>
      </c>
      <c r="K4479" s="328">
        <f>VLOOKUP(G4479,Bahan,6,FALSE)</f>
        <v>15210</v>
      </c>
      <c r="L4479" s="310">
        <f>J4479*K4479</f>
        <v>9126</v>
      </c>
    </row>
    <row r="4480" spans="5:13" ht="15" customHeight="1" thickBot="1">
      <c r="F4480" s="316"/>
      <c r="G4480" s="317"/>
      <c r="H4480" s="318"/>
      <c r="I4480" s="318"/>
      <c r="J4480" s="319" t="s">
        <v>189</v>
      </c>
      <c r="K4480" s="320"/>
      <c r="L4480" s="321">
        <f>SUM(L4478:L4479)</f>
        <v>26619</v>
      </c>
    </row>
    <row r="4481" spans="5:13" ht="15" customHeight="1" thickBot="1">
      <c r="F4481" s="300" t="s">
        <v>190</v>
      </c>
      <c r="G4481" s="301" t="s">
        <v>191</v>
      </c>
      <c r="H4481" s="302"/>
      <c r="I4481" s="302"/>
      <c r="J4481" s="351"/>
      <c r="K4481" s="328">
        <v>0</v>
      </c>
      <c r="L4481" s="310">
        <f>J4481*K4481</f>
        <v>0</v>
      </c>
    </row>
    <row r="4482" spans="5:13" ht="15" customHeight="1" thickBot="1">
      <c r="F4482" s="316"/>
      <c r="G4482" s="317"/>
      <c r="H4482" s="318"/>
      <c r="I4482" s="318"/>
      <c r="J4482" s="319" t="s">
        <v>192</v>
      </c>
      <c r="K4482" s="320"/>
      <c r="L4482" s="321">
        <f>L4481</f>
        <v>0</v>
      </c>
    </row>
    <row r="4483" spans="5:13" ht="15" customHeight="1">
      <c r="F4483" s="344" t="s">
        <v>193</v>
      </c>
      <c r="G4483" s="345" t="s">
        <v>194</v>
      </c>
      <c r="H4483" s="346"/>
      <c r="I4483" s="346"/>
      <c r="J4483" s="347"/>
      <c r="K4483" s="348">
        <v>0</v>
      </c>
      <c r="L4483" s="310">
        <f>SUM(L4472:L4482)/2</f>
        <v>178344</v>
      </c>
    </row>
    <row r="4484" spans="5:13" ht="15" customHeight="1" thickBot="1">
      <c r="F4484" s="331" t="s">
        <v>195</v>
      </c>
      <c r="G4484" s="332" t="s">
        <v>196</v>
      </c>
      <c r="H4484" s="333"/>
      <c r="I4484" s="333"/>
      <c r="J4484" s="350">
        <v>0.1</v>
      </c>
      <c r="K4484" s="335"/>
      <c r="L4484" s="330">
        <f>J4484*L4483</f>
        <v>17834.400000000001</v>
      </c>
    </row>
    <row r="4485" spans="5:13" ht="15" customHeight="1" thickBot="1">
      <c r="F4485" s="340" t="s">
        <v>197</v>
      </c>
      <c r="G4485" s="341" t="s">
        <v>198</v>
      </c>
      <c r="H4485" s="318"/>
      <c r="I4485" s="318"/>
      <c r="J4485" s="342"/>
      <c r="K4485" s="320">
        <v>0</v>
      </c>
      <c r="L4485" s="321">
        <f>ROUNDDOWN(L4483+L4484,0)</f>
        <v>196178</v>
      </c>
    </row>
    <row r="4486" spans="5:13" ht="15" customHeight="1">
      <c r="F4486" s="298"/>
      <c r="G4486" s="298"/>
      <c r="J4486" s="343"/>
    </row>
    <row r="4487" spans="5:13" ht="15" customHeight="1" thickBot="1">
      <c r="E4487" s="356" t="s">
        <v>887</v>
      </c>
      <c r="F4487" s="295" t="s">
        <v>888</v>
      </c>
      <c r="J4487" s="343"/>
      <c r="M4487" s="299">
        <f>L4503</f>
        <v>598973</v>
      </c>
    </row>
    <row r="4488" spans="5:13" ht="15" customHeight="1" thickBot="1">
      <c r="F4488" s="340" t="s">
        <v>136</v>
      </c>
      <c r="G4488" s="341" t="s">
        <v>162</v>
      </c>
      <c r="H4488" s="352" t="s">
        <v>163</v>
      </c>
      <c r="I4488" s="352" t="s">
        <v>138</v>
      </c>
      <c r="J4488" s="353" t="s">
        <v>164</v>
      </c>
      <c r="K4488" s="341" t="s">
        <v>165</v>
      </c>
      <c r="L4488" s="354" t="s">
        <v>166</v>
      </c>
    </row>
    <row r="4489" spans="5:13" ht="15" customHeight="1">
      <c r="F4489" s="300" t="s">
        <v>167</v>
      </c>
      <c r="G4489" s="301" t="s">
        <v>168</v>
      </c>
      <c r="H4489" s="302"/>
      <c r="I4489" s="302"/>
      <c r="J4489" s="351"/>
      <c r="K4489" s="328"/>
      <c r="L4489" s="310"/>
    </row>
    <row r="4490" spans="5:13" ht="15" customHeight="1">
      <c r="F4490" s="306"/>
      <c r="G4490" s="301" t="s">
        <v>169</v>
      </c>
      <c r="H4490" s="307" t="s">
        <v>170</v>
      </c>
      <c r="I4490" s="307" t="s">
        <v>171</v>
      </c>
      <c r="J4490" s="308">
        <v>0.7</v>
      </c>
      <c r="K4490" s="309">
        <f>VLOOKUP(G4490,Upah,8,FALSE)</f>
        <v>125000</v>
      </c>
      <c r="L4490" s="310">
        <f>J4490*K4490</f>
        <v>87500</v>
      </c>
    </row>
    <row r="4491" spans="5:13" ht="15" customHeight="1">
      <c r="F4491" s="306"/>
      <c r="G4491" s="301" t="s">
        <v>172</v>
      </c>
      <c r="H4491" s="307" t="s">
        <v>173</v>
      </c>
      <c r="I4491" s="307" t="s">
        <v>171</v>
      </c>
      <c r="J4491" s="308">
        <v>0.35</v>
      </c>
      <c r="K4491" s="309">
        <f>VLOOKUP(G4491,Upah,8,FALSE)</f>
        <v>150000</v>
      </c>
      <c r="L4491" s="310">
        <f>J4491*K4491</f>
        <v>52500</v>
      </c>
    </row>
    <row r="4492" spans="5:13" ht="15" customHeight="1">
      <c r="F4492" s="306"/>
      <c r="G4492" s="301" t="s">
        <v>232</v>
      </c>
      <c r="H4492" s="307" t="s">
        <v>175</v>
      </c>
      <c r="I4492" s="307" t="s">
        <v>171</v>
      </c>
      <c r="J4492" s="308">
        <v>3.5000000000000003E-2</v>
      </c>
      <c r="K4492" s="309">
        <f>VLOOKUP(G4492,Upah,8,FALSE)</f>
        <v>165000</v>
      </c>
      <c r="L4492" s="310">
        <f>J4492*K4492</f>
        <v>5775.0000000000009</v>
      </c>
    </row>
    <row r="4493" spans="5:13" ht="15" customHeight="1" thickBot="1">
      <c r="F4493" s="306"/>
      <c r="G4493" s="301" t="s">
        <v>176</v>
      </c>
      <c r="H4493" s="307" t="s">
        <v>177</v>
      </c>
      <c r="I4493" s="307" t="s">
        <v>171</v>
      </c>
      <c r="J4493" s="308">
        <v>3.5000000000000003E-2</v>
      </c>
      <c r="K4493" s="309">
        <f>VLOOKUP(G4493,Upah,8,FALSE)</f>
        <v>170000</v>
      </c>
      <c r="L4493" s="310">
        <f>J4493*K4493</f>
        <v>5950.0000000000009</v>
      </c>
    </row>
    <row r="4494" spans="5:13" ht="15" customHeight="1" thickBot="1">
      <c r="F4494" s="316"/>
      <c r="G4494" s="317"/>
      <c r="H4494" s="318"/>
      <c r="I4494" s="318"/>
      <c r="J4494" s="319" t="s">
        <v>178</v>
      </c>
      <c r="K4494" s="320"/>
      <c r="L4494" s="321">
        <f>SUM(L4490:L4493)</f>
        <v>151725</v>
      </c>
    </row>
    <row r="4495" spans="5:13" ht="15" customHeight="1">
      <c r="F4495" s="300" t="s">
        <v>179</v>
      </c>
      <c r="G4495" s="301" t="s">
        <v>180</v>
      </c>
      <c r="H4495" s="302"/>
      <c r="I4495" s="302"/>
      <c r="J4495" s="351"/>
      <c r="K4495" s="328"/>
      <c r="L4495" s="310"/>
    </row>
    <row r="4496" spans="5:13" ht="15" customHeight="1">
      <c r="F4496" s="306"/>
      <c r="G4496" s="301" t="s">
        <v>889</v>
      </c>
      <c r="H4496" s="302"/>
      <c r="I4496" s="307" t="s">
        <v>23</v>
      </c>
      <c r="J4496" s="308">
        <v>1.05</v>
      </c>
      <c r="K4496" s="328">
        <f>VLOOKUP(G4496,Bahan,6,FALSE)</f>
        <v>365400</v>
      </c>
      <c r="L4496" s="310">
        <f>J4496*K4496</f>
        <v>383670</v>
      </c>
    </row>
    <row r="4497" spans="5:13" ht="15" customHeight="1" thickBot="1">
      <c r="F4497" s="306"/>
      <c r="G4497" s="301" t="s">
        <v>880</v>
      </c>
      <c r="H4497" s="302"/>
      <c r="I4497" s="307" t="s">
        <v>45</v>
      </c>
      <c r="J4497" s="308">
        <v>0.6</v>
      </c>
      <c r="K4497" s="328">
        <f>VLOOKUP(G4497,Bahan,6,FALSE)</f>
        <v>15210</v>
      </c>
      <c r="L4497" s="310">
        <f>J4497*K4497</f>
        <v>9126</v>
      </c>
    </row>
    <row r="4498" spans="5:13" ht="15" customHeight="1" thickBot="1">
      <c r="F4498" s="316"/>
      <c r="G4498" s="317"/>
      <c r="H4498" s="318"/>
      <c r="I4498" s="318"/>
      <c r="J4498" s="319" t="s">
        <v>189</v>
      </c>
      <c r="K4498" s="320"/>
      <c r="L4498" s="321">
        <f>SUM(L4496:L4497)</f>
        <v>392796</v>
      </c>
    </row>
    <row r="4499" spans="5:13" ht="15" customHeight="1" thickBot="1">
      <c r="F4499" s="300" t="s">
        <v>190</v>
      </c>
      <c r="G4499" s="301" t="s">
        <v>191</v>
      </c>
      <c r="H4499" s="302"/>
      <c r="I4499" s="302"/>
      <c r="J4499" s="351"/>
      <c r="K4499" s="328">
        <v>0</v>
      </c>
      <c r="L4499" s="310">
        <f>J4499*K4499</f>
        <v>0</v>
      </c>
    </row>
    <row r="4500" spans="5:13" ht="15" customHeight="1" thickBot="1">
      <c r="F4500" s="316"/>
      <c r="G4500" s="317"/>
      <c r="H4500" s="318"/>
      <c r="I4500" s="318"/>
      <c r="J4500" s="319" t="s">
        <v>192</v>
      </c>
      <c r="K4500" s="320"/>
      <c r="L4500" s="321">
        <f>L4499</f>
        <v>0</v>
      </c>
    </row>
    <row r="4501" spans="5:13" ht="15" customHeight="1">
      <c r="F4501" s="344" t="s">
        <v>193</v>
      </c>
      <c r="G4501" s="345" t="s">
        <v>194</v>
      </c>
      <c r="H4501" s="346"/>
      <c r="I4501" s="346"/>
      <c r="J4501" s="347"/>
      <c r="K4501" s="348">
        <v>0</v>
      </c>
      <c r="L4501" s="310">
        <f>SUM(L4490:L4500)/2</f>
        <v>544521</v>
      </c>
    </row>
    <row r="4502" spans="5:13" ht="15" customHeight="1" thickBot="1">
      <c r="F4502" s="331" t="s">
        <v>195</v>
      </c>
      <c r="G4502" s="332" t="s">
        <v>196</v>
      </c>
      <c r="H4502" s="333"/>
      <c r="I4502" s="333"/>
      <c r="J4502" s="350">
        <v>0.1</v>
      </c>
      <c r="K4502" s="335"/>
      <c r="L4502" s="330">
        <f>J4502*L4501</f>
        <v>54452.100000000006</v>
      </c>
    </row>
    <row r="4503" spans="5:13" ht="15" customHeight="1" thickBot="1">
      <c r="F4503" s="340" t="s">
        <v>197</v>
      </c>
      <c r="G4503" s="341" t="s">
        <v>198</v>
      </c>
      <c r="H4503" s="318"/>
      <c r="I4503" s="318"/>
      <c r="J4503" s="342"/>
      <c r="K4503" s="320">
        <v>0</v>
      </c>
      <c r="L4503" s="321">
        <f>ROUNDDOWN(L4501+L4502,0)</f>
        <v>598973</v>
      </c>
    </row>
    <row r="4504" spans="5:13" ht="15" customHeight="1">
      <c r="F4504" s="298"/>
      <c r="G4504" s="298"/>
      <c r="J4504" s="343"/>
    </row>
    <row r="4505" spans="5:13" ht="15" customHeight="1" thickBot="1">
      <c r="E4505" s="356" t="s">
        <v>890</v>
      </c>
      <c r="F4505" s="295" t="s">
        <v>891</v>
      </c>
      <c r="J4505" s="343"/>
      <c r="M4505" s="299">
        <f>L4523</f>
        <v>947855</v>
      </c>
    </row>
    <row r="4506" spans="5:13" ht="15" customHeight="1" thickBot="1">
      <c r="F4506" s="340" t="s">
        <v>136</v>
      </c>
      <c r="G4506" s="341" t="s">
        <v>162</v>
      </c>
      <c r="H4506" s="352" t="s">
        <v>163</v>
      </c>
      <c r="I4506" s="352" t="s">
        <v>138</v>
      </c>
      <c r="J4506" s="353" t="s">
        <v>164</v>
      </c>
      <c r="K4506" s="341" t="s">
        <v>165</v>
      </c>
      <c r="L4506" s="354" t="s">
        <v>166</v>
      </c>
    </row>
    <row r="4507" spans="5:13" ht="15" customHeight="1">
      <c r="F4507" s="300" t="s">
        <v>167</v>
      </c>
      <c r="G4507" s="301" t="s">
        <v>168</v>
      </c>
      <c r="H4507" s="302"/>
      <c r="I4507" s="302"/>
      <c r="J4507" s="351"/>
      <c r="K4507" s="328"/>
      <c r="L4507" s="310"/>
    </row>
    <row r="4508" spans="5:13" ht="15" customHeight="1">
      <c r="F4508" s="306"/>
      <c r="G4508" s="301" t="s">
        <v>169</v>
      </c>
      <c r="H4508" s="307" t="s">
        <v>170</v>
      </c>
      <c r="I4508" s="307" t="s">
        <v>171</v>
      </c>
      <c r="J4508" s="308">
        <v>1</v>
      </c>
      <c r="K4508" s="309">
        <f>VLOOKUP(G4508,Upah,8,FALSE)</f>
        <v>125000</v>
      </c>
      <c r="L4508" s="310">
        <f>J4508*K4508</f>
        <v>125000</v>
      </c>
    </row>
    <row r="4509" spans="5:13" ht="15" customHeight="1">
      <c r="F4509" s="306"/>
      <c r="G4509" s="301" t="s">
        <v>308</v>
      </c>
      <c r="H4509" s="307" t="s">
        <v>217</v>
      </c>
      <c r="I4509" s="307" t="s">
        <v>171</v>
      </c>
      <c r="J4509" s="308">
        <v>0.5</v>
      </c>
      <c r="K4509" s="309">
        <f>VLOOKUP(G4509,Upah,8,FALSE)</f>
        <v>150000</v>
      </c>
      <c r="L4509" s="310">
        <f>J4509*K4509</f>
        <v>75000</v>
      </c>
    </row>
    <row r="4510" spans="5:13" ht="15" customHeight="1">
      <c r="F4510" s="306"/>
      <c r="G4510" s="301" t="s">
        <v>232</v>
      </c>
      <c r="H4510" s="307" t="s">
        <v>175</v>
      </c>
      <c r="I4510" s="307" t="s">
        <v>171</v>
      </c>
      <c r="J4510" s="308">
        <v>0.05</v>
      </c>
      <c r="K4510" s="309">
        <f>VLOOKUP(G4510,Upah,8,FALSE)</f>
        <v>165000</v>
      </c>
      <c r="L4510" s="310">
        <f>J4510*K4510</f>
        <v>8250</v>
      </c>
    </row>
    <row r="4511" spans="5:13" ht="15" customHeight="1" thickBot="1">
      <c r="F4511" s="306"/>
      <c r="G4511" s="301" t="s">
        <v>176</v>
      </c>
      <c r="H4511" s="307" t="s">
        <v>177</v>
      </c>
      <c r="I4511" s="307" t="s">
        <v>171</v>
      </c>
      <c r="J4511" s="308">
        <v>0.05</v>
      </c>
      <c r="K4511" s="309">
        <f>VLOOKUP(G4511,Upah,8,FALSE)</f>
        <v>170000</v>
      </c>
      <c r="L4511" s="310">
        <f>J4511*K4511</f>
        <v>8500</v>
      </c>
    </row>
    <row r="4512" spans="5:13" ht="15" customHeight="1" thickBot="1">
      <c r="F4512" s="316"/>
      <c r="G4512" s="317"/>
      <c r="H4512" s="318"/>
      <c r="I4512" s="318"/>
      <c r="J4512" s="319" t="s">
        <v>178</v>
      </c>
      <c r="K4512" s="320"/>
      <c r="L4512" s="321">
        <f>SUM(L4508:L4511)</f>
        <v>216750</v>
      </c>
    </row>
    <row r="4513" spans="5:13" ht="15" customHeight="1">
      <c r="F4513" s="300" t="s">
        <v>179</v>
      </c>
      <c r="G4513" s="301" t="s">
        <v>180</v>
      </c>
      <c r="H4513" s="302"/>
      <c r="I4513" s="302"/>
      <c r="J4513" s="351"/>
      <c r="K4513" s="328"/>
      <c r="L4513" s="310"/>
    </row>
    <row r="4514" spans="5:13" ht="15" customHeight="1">
      <c r="F4514" s="306"/>
      <c r="G4514" s="301" t="s">
        <v>892</v>
      </c>
      <c r="H4514" s="302"/>
      <c r="I4514" s="307" t="s">
        <v>221</v>
      </c>
      <c r="J4514" s="308">
        <v>86</v>
      </c>
      <c r="K4514" s="328">
        <f>VLOOKUP(G4514,Bahan,6,FALSE)</f>
        <v>7200</v>
      </c>
      <c r="L4514" s="310">
        <f>J4514*K4514</f>
        <v>619200</v>
      </c>
    </row>
    <row r="4515" spans="5:13" ht="15" customHeight="1">
      <c r="F4515" s="306"/>
      <c r="G4515" s="301" t="s">
        <v>183</v>
      </c>
      <c r="H4515" s="302"/>
      <c r="I4515" s="307" t="s">
        <v>45</v>
      </c>
      <c r="J4515" s="308">
        <v>9.3000000000000007</v>
      </c>
      <c r="K4515" s="328">
        <f>VLOOKUP(G4515,Bahan,6,FALSE)</f>
        <v>1880</v>
      </c>
      <c r="L4515" s="310">
        <f>J4515*K4515</f>
        <v>17484</v>
      </c>
    </row>
    <row r="4516" spans="5:13" ht="15" customHeight="1">
      <c r="F4516" s="306"/>
      <c r="G4516" s="301" t="s">
        <v>296</v>
      </c>
      <c r="H4516" s="302"/>
      <c r="I4516" s="307" t="s">
        <v>292</v>
      </c>
      <c r="J4516" s="308">
        <v>1.7999999999999999E-2</v>
      </c>
      <c r="K4516" s="328">
        <f>VLOOKUP(G4516,Bahan,6,FALSE)</f>
        <v>253510</v>
      </c>
      <c r="L4516" s="310">
        <f>J4516*K4516</f>
        <v>4563.1799999999994</v>
      </c>
    </row>
    <row r="4517" spans="5:13" ht="15" customHeight="1" thickBot="1">
      <c r="F4517" s="306"/>
      <c r="G4517" s="301" t="s">
        <v>758</v>
      </c>
      <c r="H4517" s="302"/>
      <c r="I4517" s="307" t="s">
        <v>45</v>
      </c>
      <c r="J4517" s="308">
        <v>1.5</v>
      </c>
      <c r="K4517" s="328">
        <f>VLOOKUP(G4517,Bahan,6,FALSE)</f>
        <v>2460</v>
      </c>
      <c r="L4517" s="310">
        <f>J4517*K4517</f>
        <v>3690</v>
      </c>
    </row>
    <row r="4518" spans="5:13" ht="15" customHeight="1" thickBot="1">
      <c r="F4518" s="316"/>
      <c r="G4518" s="317"/>
      <c r="H4518" s="318"/>
      <c r="I4518" s="318"/>
      <c r="J4518" s="319" t="s">
        <v>189</v>
      </c>
      <c r="K4518" s="320"/>
      <c r="L4518" s="321">
        <f>SUM(L4514:L4517)</f>
        <v>644937.18000000005</v>
      </c>
    </row>
    <row r="4519" spans="5:13" ht="15" customHeight="1" thickBot="1">
      <c r="F4519" s="300" t="s">
        <v>190</v>
      </c>
      <c r="G4519" s="301" t="s">
        <v>191</v>
      </c>
      <c r="H4519" s="302"/>
      <c r="I4519" s="302"/>
      <c r="J4519" s="351"/>
      <c r="K4519" s="328">
        <v>0</v>
      </c>
      <c r="L4519" s="310">
        <f>J4519*K4519</f>
        <v>0</v>
      </c>
    </row>
    <row r="4520" spans="5:13" ht="15" customHeight="1" thickBot="1">
      <c r="F4520" s="316"/>
      <c r="G4520" s="317"/>
      <c r="H4520" s="318"/>
      <c r="I4520" s="318"/>
      <c r="J4520" s="319" t="s">
        <v>192</v>
      </c>
      <c r="K4520" s="320"/>
      <c r="L4520" s="321">
        <f>L4519</f>
        <v>0</v>
      </c>
    </row>
    <row r="4521" spans="5:13" ht="15" customHeight="1">
      <c r="F4521" s="344" t="s">
        <v>193</v>
      </c>
      <c r="G4521" s="345" t="s">
        <v>194</v>
      </c>
      <c r="H4521" s="346"/>
      <c r="I4521" s="346"/>
      <c r="J4521" s="347"/>
      <c r="K4521" s="348">
        <v>0</v>
      </c>
      <c r="L4521" s="310">
        <f>SUM(L4508:L4520)/2</f>
        <v>861687.17999999993</v>
      </c>
    </row>
    <row r="4522" spans="5:13" ht="15" customHeight="1" thickBot="1">
      <c r="F4522" s="331" t="s">
        <v>195</v>
      </c>
      <c r="G4522" s="332" t="s">
        <v>196</v>
      </c>
      <c r="H4522" s="333"/>
      <c r="I4522" s="333"/>
      <c r="J4522" s="350">
        <v>0.1</v>
      </c>
      <c r="K4522" s="335"/>
      <c r="L4522" s="330">
        <f>J4522*L4521</f>
        <v>86168.717999999993</v>
      </c>
    </row>
    <row r="4523" spans="5:13" ht="15" customHeight="1" thickBot="1">
      <c r="F4523" s="340" t="s">
        <v>197</v>
      </c>
      <c r="G4523" s="341" t="s">
        <v>198</v>
      </c>
      <c r="H4523" s="318"/>
      <c r="I4523" s="318"/>
      <c r="J4523" s="342"/>
      <c r="K4523" s="320">
        <v>0</v>
      </c>
      <c r="L4523" s="321">
        <f>ROUNDDOWN(L4521+L4522,0)</f>
        <v>947855</v>
      </c>
    </row>
    <row r="4524" spans="5:13" ht="15" customHeight="1">
      <c r="F4524" s="298"/>
      <c r="G4524" s="298"/>
      <c r="J4524" s="343"/>
    </row>
    <row r="4525" spans="5:13" ht="15" customHeight="1" thickBot="1">
      <c r="E4525" s="356" t="s">
        <v>893</v>
      </c>
      <c r="F4525" s="295" t="s">
        <v>894</v>
      </c>
      <c r="J4525" s="343"/>
      <c r="M4525" s="299">
        <f>L4543</f>
        <v>590245</v>
      </c>
    </row>
    <row r="4526" spans="5:13" ht="15" customHeight="1" thickBot="1">
      <c r="F4526" s="340" t="s">
        <v>136</v>
      </c>
      <c r="G4526" s="341" t="s">
        <v>162</v>
      </c>
      <c r="H4526" s="352" t="s">
        <v>163</v>
      </c>
      <c r="I4526" s="352" t="s">
        <v>138</v>
      </c>
      <c r="J4526" s="353" t="s">
        <v>164</v>
      </c>
      <c r="K4526" s="341" t="s">
        <v>165</v>
      </c>
      <c r="L4526" s="354" t="s">
        <v>166</v>
      </c>
    </row>
    <row r="4527" spans="5:13" ht="15" customHeight="1">
      <c r="F4527" s="300" t="s">
        <v>167</v>
      </c>
      <c r="G4527" s="301" t="s">
        <v>168</v>
      </c>
      <c r="H4527" s="302"/>
      <c r="I4527" s="302"/>
      <c r="J4527" s="351"/>
      <c r="K4527" s="328"/>
      <c r="L4527" s="310"/>
    </row>
    <row r="4528" spans="5:13" ht="15" customHeight="1">
      <c r="F4528" s="306"/>
      <c r="G4528" s="301" t="s">
        <v>169</v>
      </c>
      <c r="H4528" s="307" t="s">
        <v>170</v>
      </c>
      <c r="I4528" s="307" t="s">
        <v>171</v>
      </c>
      <c r="J4528" s="308">
        <v>0.9</v>
      </c>
      <c r="K4528" s="309">
        <f>VLOOKUP(G4528,Upah,8,FALSE)</f>
        <v>125000</v>
      </c>
      <c r="L4528" s="310">
        <f>J4528*K4528</f>
        <v>112500</v>
      </c>
    </row>
    <row r="4529" spans="6:12" ht="15" customHeight="1">
      <c r="F4529" s="306"/>
      <c r="G4529" s="301" t="s">
        <v>308</v>
      </c>
      <c r="H4529" s="307" t="s">
        <v>217</v>
      </c>
      <c r="I4529" s="307" t="s">
        <v>171</v>
      </c>
      <c r="J4529" s="308">
        <v>0.45</v>
      </c>
      <c r="K4529" s="309">
        <f>VLOOKUP(G4529,Upah,8,FALSE)</f>
        <v>150000</v>
      </c>
      <c r="L4529" s="310">
        <f>J4529*K4529</f>
        <v>67500</v>
      </c>
    </row>
    <row r="4530" spans="6:12" ht="15" customHeight="1">
      <c r="F4530" s="306"/>
      <c r="G4530" s="301" t="s">
        <v>232</v>
      </c>
      <c r="H4530" s="307" t="s">
        <v>175</v>
      </c>
      <c r="I4530" s="307" t="s">
        <v>171</v>
      </c>
      <c r="J4530" s="308">
        <v>4.4999999999999998E-2</v>
      </c>
      <c r="K4530" s="309">
        <f>VLOOKUP(G4530,Upah,8,FALSE)</f>
        <v>165000</v>
      </c>
      <c r="L4530" s="310">
        <f>J4530*K4530</f>
        <v>7425</v>
      </c>
    </row>
    <row r="4531" spans="6:12" ht="15" customHeight="1" thickBot="1">
      <c r="F4531" s="306"/>
      <c r="G4531" s="301" t="s">
        <v>176</v>
      </c>
      <c r="H4531" s="307" t="s">
        <v>177</v>
      </c>
      <c r="I4531" s="307" t="s">
        <v>171</v>
      </c>
      <c r="J4531" s="308">
        <v>4.4999999999999998E-2</v>
      </c>
      <c r="K4531" s="309">
        <f>VLOOKUP(G4531,Upah,8,FALSE)</f>
        <v>170000</v>
      </c>
      <c r="L4531" s="310">
        <f>J4531*K4531</f>
        <v>7650</v>
      </c>
    </row>
    <row r="4532" spans="6:12" ht="15" customHeight="1" thickBot="1">
      <c r="F4532" s="316"/>
      <c r="G4532" s="317"/>
      <c r="H4532" s="318"/>
      <c r="I4532" s="318"/>
      <c r="J4532" s="319" t="s">
        <v>178</v>
      </c>
      <c r="K4532" s="320"/>
      <c r="L4532" s="321">
        <f>SUM(L4528:L4531)</f>
        <v>195075</v>
      </c>
    </row>
    <row r="4533" spans="6:12" ht="15" customHeight="1">
      <c r="F4533" s="300" t="s">
        <v>179</v>
      </c>
      <c r="G4533" s="301" t="s">
        <v>180</v>
      </c>
      <c r="H4533" s="302"/>
      <c r="I4533" s="302"/>
      <c r="J4533" s="351"/>
      <c r="K4533" s="328"/>
      <c r="L4533" s="310"/>
    </row>
    <row r="4534" spans="6:12" ht="15" customHeight="1">
      <c r="F4534" s="306"/>
      <c r="G4534" s="301" t="s">
        <v>895</v>
      </c>
      <c r="H4534" s="302"/>
      <c r="I4534" s="307" t="s">
        <v>221</v>
      </c>
      <c r="J4534" s="308">
        <v>53</v>
      </c>
      <c r="K4534" s="328">
        <f>VLOOKUP(G4534,Bahan,6,FALSE)</f>
        <v>5900</v>
      </c>
      <c r="L4534" s="310">
        <f>J4534*K4534</f>
        <v>312700</v>
      </c>
    </row>
    <row r="4535" spans="6:12" ht="15" customHeight="1">
      <c r="F4535" s="306"/>
      <c r="G4535" s="301" t="s">
        <v>183</v>
      </c>
      <c r="H4535" s="302"/>
      <c r="I4535" s="307" t="s">
        <v>45</v>
      </c>
      <c r="J4535" s="308">
        <v>9.3000000000000007</v>
      </c>
      <c r="K4535" s="328">
        <f>VLOOKUP(G4535,Bahan,6,FALSE)</f>
        <v>1880</v>
      </c>
      <c r="L4535" s="310">
        <f>J4535*K4535</f>
        <v>17484</v>
      </c>
    </row>
    <row r="4536" spans="6:12" ht="15" customHeight="1">
      <c r="F4536" s="306"/>
      <c r="G4536" s="301" t="s">
        <v>296</v>
      </c>
      <c r="H4536" s="302"/>
      <c r="I4536" s="307" t="s">
        <v>292</v>
      </c>
      <c r="J4536" s="308">
        <v>1.7999999999999999E-2</v>
      </c>
      <c r="K4536" s="328">
        <f>VLOOKUP(G4536,Bahan,6,FALSE)</f>
        <v>253510</v>
      </c>
      <c r="L4536" s="310">
        <f>J4536*K4536</f>
        <v>4563.1799999999994</v>
      </c>
    </row>
    <row r="4537" spans="6:12" ht="15" customHeight="1" thickBot="1">
      <c r="F4537" s="306"/>
      <c r="G4537" s="301" t="s">
        <v>758</v>
      </c>
      <c r="H4537" s="302"/>
      <c r="I4537" s="307" t="s">
        <v>45</v>
      </c>
      <c r="J4537" s="308">
        <v>2.75</v>
      </c>
      <c r="K4537" s="328">
        <f>VLOOKUP(G4537,Bahan,6,FALSE)</f>
        <v>2460</v>
      </c>
      <c r="L4537" s="310">
        <f>J4537*K4537</f>
        <v>6765</v>
      </c>
    </row>
    <row r="4538" spans="6:12" ht="15" customHeight="1" thickBot="1">
      <c r="F4538" s="316"/>
      <c r="G4538" s="317"/>
      <c r="H4538" s="318"/>
      <c r="I4538" s="318"/>
      <c r="J4538" s="319" t="s">
        <v>189</v>
      </c>
      <c r="K4538" s="320"/>
      <c r="L4538" s="321">
        <f>SUM(L4534:L4537)</f>
        <v>341512.18</v>
      </c>
    </row>
    <row r="4539" spans="6:12" ht="15" customHeight="1" thickBot="1">
      <c r="F4539" s="300" t="s">
        <v>190</v>
      </c>
      <c r="G4539" s="301" t="s">
        <v>191</v>
      </c>
      <c r="H4539" s="302"/>
      <c r="I4539" s="302"/>
      <c r="J4539" s="351"/>
      <c r="K4539" s="328">
        <v>0</v>
      </c>
      <c r="L4539" s="310">
        <f>J4539*K4539</f>
        <v>0</v>
      </c>
    </row>
    <row r="4540" spans="6:12" ht="15" customHeight="1" thickBot="1">
      <c r="F4540" s="316"/>
      <c r="G4540" s="317"/>
      <c r="H4540" s="318"/>
      <c r="I4540" s="318"/>
      <c r="J4540" s="319" t="s">
        <v>192</v>
      </c>
      <c r="K4540" s="320"/>
      <c r="L4540" s="321">
        <f>L4539</f>
        <v>0</v>
      </c>
    </row>
    <row r="4541" spans="6:12" ht="15" customHeight="1">
      <c r="F4541" s="344" t="s">
        <v>193</v>
      </c>
      <c r="G4541" s="345" t="s">
        <v>194</v>
      </c>
      <c r="H4541" s="346"/>
      <c r="I4541" s="346"/>
      <c r="J4541" s="347"/>
      <c r="K4541" s="348">
        <v>0</v>
      </c>
      <c r="L4541" s="310">
        <f>SUM(L4527:L4540)/2</f>
        <v>536587.18000000005</v>
      </c>
    </row>
    <row r="4542" spans="6:12" ht="15" customHeight="1" thickBot="1">
      <c r="F4542" s="331" t="s">
        <v>195</v>
      </c>
      <c r="G4542" s="332" t="s">
        <v>196</v>
      </c>
      <c r="H4542" s="333"/>
      <c r="I4542" s="333"/>
      <c r="J4542" s="350">
        <v>0.1</v>
      </c>
      <c r="K4542" s="335"/>
      <c r="L4542" s="330">
        <f>J4542*L4541</f>
        <v>53658.718000000008</v>
      </c>
    </row>
    <row r="4543" spans="6:12" ht="15" customHeight="1" thickBot="1">
      <c r="F4543" s="340" t="s">
        <v>197</v>
      </c>
      <c r="G4543" s="341" t="s">
        <v>198</v>
      </c>
      <c r="H4543" s="318"/>
      <c r="I4543" s="318"/>
      <c r="J4543" s="342"/>
      <c r="K4543" s="320">
        <v>0</v>
      </c>
      <c r="L4543" s="321">
        <f>ROUNDDOWN(L4541+L4542,0)</f>
        <v>590245</v>
      </c>
    </row>
    <row r="4544" spans="6:12" ht="15" customHeight="1">
      <c r="F4544" s="298"/>
      <c r="G4544" s="298"/>
      <c r="J4544" s="343"/>
    </row>
    <row r="4545" spans="5:13" ht="15" customHeight="1" thickBot="1">
      <c r="E4545" s="356" t="s">
        <v>896</v>
      </c>
      <c r="F4545" s="295" t="s">
        <v>897</v>
      </c>
      <c r="J4545" s="343"/>
      <c r="M4545" s="299">
        <f>L4563</f>
        <v>494334</v>
      </c>
    </row>
    <row r="4546" spans="5:13" ht="15" customHeight="1" thickBot="1">
      <c r="F4546" s="340" t="s">
        <v>136</v>
      </c>
      <c r="G4546" s="341" t="s">
        <v>162</v>
      </c>
      <c r="H4546" s="352" t="s">
        <v>163</v>
      </c>
      <c r="I4546" s="352" t="s">
        <v>138</v>
      </c>
      <c r="J4546" s="353" t="s">
        <v>164</v>
      </c>
      <c r="K4546" s="341" t="s">
        <v>165</v>
      </c>
      <c r="L4546" s="354" t="s">
        <v>166</v>
      </c>
    </row>
    <row r="4547" spans="5:13" ht="15" customHeight="1">
      <c r="F4547" s="300" t="s">
        <v>167</v>
      </c>
      <c r="G4547" s="301" t="s">
        <v>168</v>
      </c>
      <c r="H4547" s="302"/>
      <c r="I4547" s="302"/>
      <c r="J4547" s="351"/>
      <c r="K4547" s="328"/>
      <c r="L4547" s="310"/>
    </row>
    <row r="4548" spans="5:13" ht="15" customHeight="1">
      <c r="F4548" s="306"/>
      <c r="G4548" s="301" t="s">
        <v>169</v>
      </c>
      <c r="H4548" s="307" t="s">
        <v>170</v>
      </c>
      <c r="I4548" s="307" t="s">
        <v>171</v>
      </c>
      <c r="J4548" s="308">
        <v>0.9</v>
      </c>
      <c r="K4548" s="309">
        <f>VLOOKUP(G4548,Upah,8,FALSE)</f>
        <v>125000</v>
      </c>
      <c r="L4548" s="310">
        <f>J4548*K4548</f>
        <v>112500</v>
      </c>
    </row>
    <row r="4549" spans="5:13" ht="15" customHeight="1">
      <c r="F4549" s="306"/>
      <c r="G4549" s="301" t="s">
        <v>308</v>
      </c>
      <c r="H4549" s="307" t="s">
        <v>217</v>
      </c>
      <c r="I4549" s="307" t="s">
        <v>171</v>
      </c>
      <c r="J4549" s="308">
        <v>0.45</v>
      </c>
      <c r="K4549" s="309">
        <f>VLOOKUP(G4549,Upah,8,FALSE)</f>
        <v>150000</v>
      </c>
      <c r="L4549" s="310">
        <f>J4549*K4549</f>
        <v>67500</v>
      </c>
    </row>
    <row r="4550" spans="5:13" ht="15" customHeight="1">
      <c r="F4550" s="306"/>
      <c r="G4550" s="301" t="s">
        <v>232</v>
      </c>
      <c r="H4550" s="307" t="s">
        <v>175</v>
      </c>
      <c r="I4550" s="307" t="s">
        <v>171</v>
      </c>
      <c r="J4550" s="308">
        <v>4.4999999999999998E-2</v>
      </c>
      <c r="K4550" s="309">
        <f>VLOOKUP(G4550,Upah,8,FALSE)</f>
        <v>165000</v>
      </c>
      <c r="L4550" s="310">
        <f>J4550*K4550</f>
        <v>7425</v>
      </c>
    </row>
    <row r="4551" spans="5:13" ht="15" customHeight="1" thickBot="1">
      <c r="F4551" s="306"/>
      <c r="G4551" s="301" t="s">
        <v>176</v>
      </c>
      <c r="H4551" s="307" t="s">
        <v>177</v>
      </c>
      <c r="I4551" s="307" t="s">
        <v>171</v>
      </c>
      <c r="J4551" s="308">
        <v>4.4999999999999998E-2</v>
      </c>
      <c r="K4551" s="309">
        <f>VLOOKUP(G4551,Upah,8,FALSE)</f>
        <v>170000</v>
      </c>
      <c r="L4551" s="310">
        <f>J4551*K4551</f>
        <v>7650</v>
      </c>
    </row>
    <row r="4552" spans="5:13" ht="15" customHeight="1" thickBot="1">
      <c r="F4552" s="316"/>
      <c r="G4552" s="317"/>
      <c r="H4552" s="318"/>
      <c r="I4552" s="318"/>
      <c r="J4552" s="319" t="s">
        <v>178</v>
      </c>
      <c r="K4552" s="320"/>
      <c r="L4552" s="321">
        <f>SUM(L4548:L4551)</f>
        <v>195075</v>
      </c>
    </row>
    <row r="4553" spans="5:13" ht="15" customHeight="1">
      <c r="F4553" s="300" t="s">
        <v>179</v>
      </c>
      <c r="G4553" s="301" t="s">
        <v>180</v>
      </c>
      <c r="H4553" s="302"/>
      <c r="I4553" s="302"/>
      <c r="J4553" s="351"/>
      <c r="K4553" s="328"/>
      <c r="L4553" s="310"/>
    </row>
    <row r="4554" spans="5:13" ht="15" customHeight="1">
      <c r="F4554" s="306"/>
      <c r="G4554" s="301" t="s">
        <v>898</v>
      </c>
      <c r="H4554" s="302"/>
      <c r="I4554" s="307" t="s">
        <v>221</v>
      </c>
      <c r="J4554" s="308">
        <v>26</v>
      </c>
      <c r="K4554" s="328">
        <f>VLOOKUP(G4554,Bahan,6,FALSE)</f>
        <v>8750</v>
      </c>
      <c r="L4554" s="310">
        <f>J4554*K4554</f>
        <v>227500</v>
      </c>
    </row>
    <row r="4555" spans="5:13" ht="15" customHeight="1">
      <c r="F4555" s="306"/>
      <c r="G4555" s="301" t="s">
        <v>183</v>
      </c>
      <c r="H4555" s="302"/>
      <c r="I4555" s="307" t="s">
        <v>45</v>
      </c>
      <c r="J4555" s="308">
        <v>9.3000000000000007</v>
      </c>
      <c r="K4555" s="328">
        <f>VLOOKUP(G4555,Bahan,6,FALSE)</f>
        <v>1880</v>
      </c>
      <c r="L4555" s="310">
        <f>J4555*K4555</f>
        <v>17484</v>
      </c>
    </row>
    <row r="4556" spans="5:13" ht="15" customHeight="1">
      <c r="F4556" s="306"/>
      <c r="G4556" s="301" t="s">
        <v>296</v>
      </c>
      <c r="H4556" s="302"/>
      <c r="I4556" s="307" t="s">
        <v>292</v>
      </c>
      <c r="J4556" s="308">
        <v>1.7999999999999999E-2</v>
      </c>
      <c r="K4556" s="328">
        <f>VLOOKUP(G4556,Bahan,6,FALSE)</f>
        <v>253510</v>
      </c>
      <c r="L4556" s="310">
        <f>J4556*K4556</f>
        <v>4563.1799999999994</v>
      </c>
    </row>
    <row r="4557" spans="5:13" ht="15" customHeight="1" thickBot="1">
      <c r="F4557" s="306"/>
      <c r="G4557" s="301" t="s">
        <v>758</v>
      </c>
      <c r="H4557" s="302"/>
      <c r="I4557" s="307" t="s">
        <v>45</v>
      </c>
      <c r="J4557" s="308">
        <v>1.94</v>
      </c>
      <c r="K4557" s="328">
        <f>VLOOKUP(G4557,Bahan,6,FALSE)</f>
        <v>2460</v>
      </c>
      <c r="L4557" s="310">
        <f>J4557*K4557</f>
        <v>4772.3999999999996</v>
      </c>
    </row>
    <row r="4558" spans="5:13" ht="15" customHeight="1" thickBot="1">
      <c r="F4558" s="316"/>
      <c r="G4558" s="317"/>
      <c r="H4558" s="318"/>
      <c r="I4558" s="318"/>
      <c r="J4558" s="319" t="s">
        <v>189</v>
      </c>
      <c r="K4558" s="320"/>
      <c r="L4558" s="321">
        <f>SUM(L4554:L4557)</f>
        <v>254319.58</v>
      </c>
    </row>
    <row r="4559" spans="5:13" ht="15" customHeight="1" thickBot="1">
      <c r="F4559" s="300" t="s">
        <v>190</v>
      </c>
      <c r="G4559" s="301" t="s">
        <v>191</v>
      </c>
      <c r="H4559" s="302"/>
      <c r="I4559" s="302"/>
      <c r="J4559" s="351"/>
      <c r="K4559" s="328">
        <v>0</v>
      </c>
      <c r="L4559" s="310">
        <f>J4559*K4559</f>
        <v>0</v>
      </c>
    </row>
    <row r="4560" spans="5:13" ht="15" customHeight="1" thickBot="1">
      <c r="F4560" s="316"/>
      <c r="G4560" s="317"/>
      <c r="H4560" s="318"/>
      <c r="I4560" s="318"/>
      <c r="J4560" s="319" t="s">
        <v>192</v>
      </c>
      <c r="K4560" s="320"/>
      <c r="L4560" s="321">
        <f>L4559</f>
        <v>0</v>
      </c>
    </row>
    <row r="4561" spans="5:13" ht="15" customHeight="1">
      <c r="F4561" s="344" t="s">
        <v>193</v>
      </c>
      <c r="G4561" s="345" t="s">
        <v>194</v>
      </c>
      <c r="H4561" s="346"/>
      <c r="I4561" s="346"/>
      <c r="J4561" s="347"/>
      <c r="K4561" s="348">
        <v>0</v>
      </c>
      <c r="L4561" s="310">
        <f>SUM(L4548:L4560)/2</f>
        <v>449394.58</v>
      </c>
    </row>
    <row r="4562" spans="5:13" ht="15" customHeight="1" thickBot="1">
      <c r="F4562" s="331" t="s">
        <v>195</v>
      </c>
      <c r="G4562" s="332" t="s">
        <v>196</v>
      </c>
      <c r="H4562" s="333"/>
      <c r="I4562" s="333"/>
      <c r="J4562" s="350">
        <v>0.1</v>
      </c>
      <c r="K4562" s="335"/>
      <c r="L4562" s="330">
        <f>J4562*L4561</f>
        <v>44939.458000000006</v>
      </c>
    </row>
    <row r="4563" spans="5:13" ht="15" customHeight="1" thickBot="1">
      <c r="F4563" s="340" t="s">
        <v>197</v>
      </c>
      <c r="G4563" s="341" t="s">
        <v>198</v>
      </c>
      <c r="H4563" s="318"/>
      <c r="I4563" s="318"/>
      <c r="J4563" s="342"/>
      <c r="K4563" s="320">
        <v>0</v>
      </c>
      <c r="L4563" s="321">
        <f>ROUNDDOWN(L4561+L4562,0)</f>
        <v>494334</v>
      </c>
    </row>
    <row r="4564" spans="5:13" ht="15" customHeight="1">
      <c r="F4564" s="298"/>
      <c r="G4564" s="298"/>
      <c r="J4564" s="343"/>
    </row>
    <row r="4565" spans="5:13" ht="15" customHeight="1" thickBot="1">
      <c r="E4565" s="356" t="s">
        <v>899</v>
      </c>
      <c r="F4565" s="295" t="s">
        <v>900</v>
      </c>
      <c r="J4565" s="343"/>
      <c r="M4565" s="299">
        <f>L4583</f>
        <v>357045</v>
      </c>
    </row>
    <row r="4566" spans="5:13" ht="15" customHeight="1" thickBot="1">
      <c r="F4566" s="340" t="s">
        <v>136</v>
      </c>
      <c r="G4566" s="341" t="s">
        <v>162</v>
      </c>
      <c r="H4566" s="352" t="s">
        <v>163</v>
      </c>
      <c r="I4566" s="352" t="s">
        <v>138</v>
      </c>
      <c r="J4566" s="353" t="s">
        <v>164</v>
      </c>
      <c r="K4566" s="341" t="s">
        <v>165</v>
      </c>
      <c r="L4566" s="354" t="s">
        <v>166</v>
      </c>
    </row>
    <row r="4567" spans="5:13" ht="15" customHeight="1">
      <c r="F4567" s="300" t="s">
        <v>167</v>
      </c>
      <c r="G4567" s="301" t="s">
        <v>168</v>
      </c>
      <c r="H4567" s="302"/>
      <c r="I4567" s="302"/>
      <c r="J4567" s="351"/>
      <c r="K4567" s="328"/>
      <c r="L4567" s="310"/>
    </row>
    <row r="4568" spans="5:13" ht="15" customHeight="1">
      <c r="F4568" s="306"/>
      <c r="G4568" s="301" t="s">
        <v>169</v>
      </c>
      <c r="H4568" s="307" t="s">
        <v>170</v>
      </c>
      <c r="I4568" s="307" t="s">
        <v>171</v>
      </c>
      <c r="J4568" s="308">
        <v>0.9</v>
      </c>
      <c r="K4568" s="309">
        <f>VLOOKUP(G4568,Upah,8,FALSE)</f>
        <v>125000</v>
      </c>
      <c r="L4568" s="310">
        <f>J4568*K4568</f>
        <v>112500</v>
      </c>
    </row>
    <row r="4569" spans="5:13" ht="15" customHeight="1">
      <c r="F4569" s="306"/>
      <c r="G4569" s="301" t="s">
        <v>308</v>
      </c>
      <c r="H4569" s="307" t="s">
        <v>217</v>
      </c>
      <c r="I4569" s="307" t="s">
        <v>171</v>
      </c>
      <c r="J4569" s="308">
        <v>0.45</v>
      </c>
      <c r="K4569" s="309">
        <f>VLOOKUP(G4569,Upah,8,FALSE)</f>
        <v>150000</v>
      </c>
      <c r="L4569" s="310">
        <f>J4569*K4569</f>
        <v>67500</v>
      </c>
    </row>
    <row r="4570" spans="5:13" ht="15" customHeight="1">
      <c r="F4570" s="306"/>
      <c r="G4570" s="301" t="s">
        <v>232</v>
      </c>
      <c r="H4570" s="307" t="s">
        <v>175</v>
      </c>
      <c r="I4570" s="307" t="s">
        <v>171</v>
      </c>
      <c r="J4570" s="308">
        <v>4.4999999999999998E-2</v>
      </c>
      <c r="K4570" s="309">
        <f>VLOOKUP(G4570,Upah,8,FALSE)</f>
        <v>165000</v>
      </c>
      <c r="L4570" s="310">
        <f>J4570*K4570</f>
        <v>7425</v>
      </c>
    </row>
    <row r="4571" spans="5:13" ht="15" customHeight="1" thickBot="1">
      <c r="F4571" s="306"/>
      <c r="G4571" s="301" t="s">
        <v>176</v>
      </c>
      <c r="H4571" s="307" t="s">
        <v>177</v>
      </c>
      <c r="I4571" s="307" t="s">
        <v>171</v>
      </c>
      <c r="J4571" s="308">
        <v>4.4999999999999998E-2</v>
      </c>
      <c r="K4571" s="309">
        <f>VLOOKUP(G4571,Upah,8,FALSE)</f>
        <v>170000</v>
      </c>
      <c r="L4571" s="310">
        <f>J4571*K4571</f>
        <v>7650</v>
      </c>
    </row>
    <row r="4572" spans="5:13" ht="15" customHeight="1" thickBot="1">
      <c r="F4572" s="316"/>
      <c r="G4572" s="317"/>
      <c r="H4572" s="318"/>
      <c r="I4572" s="318"/>
      <c r="J4572" s="319" t="s">
        <v>178</v>
      </c>
      <c r="K4572" s="320"/>
      <c r="L4572" s="321">
        <f>SUM(L4568:L4571)</f>
        <v>195075</v>
      </c>
    </row>
    <row r="4573" spans="5:13" ht="15" customHeight="1">
      <c r="F4573" s="300" t="s">
        <v>179</v>
      </c>
      <c r="G4573" s="301" t="s">
        <v>180</v>
      </c>
      <c r="H4573" s="302"/>
      <c r="I4573" s="302"/>
      <c r="J4573" s="351"/>
      <c r="K4573" s="328"/>
      <c r="L4573" s="310"/>
    </row>
    <row r="4574" spans="5:13" ht="15" customHeight="1">
      <c r="F4574" s="306"/>
      <c r="G4574" s="301" t="s">
        <v>901</v>
      </c>
      <c r="H4574" s="302"/>
      <c r="I4574" s="307" t="s">
        <v>221</v>
      </c>
      <c r="J4574" s="308">
        <v>53</v>
      </c>
      <c r="K4574" s="328">
        <f>VLOOKUP(G4574,Bahan,6,FALSE)</f>
        <v>1900</v>
      </c>
      <c r="L4574" s="310">
        <f>J4574*K4574</f>
        <v>100700</v>
      </c>
    </row>
    <row r="4575" spans="5:13" ht="15" customHeight="1">
      <c r="F4575" s="306"/>
      <c r="G4575" s="301" t="s">
        <v>183</v>
      </c>
      <c r="H4575" s="302"/>
      <c r="I4575" s="307" t="s">
        <v>45</v>
      </c>
      <c r="J4575" s="308">
        <v>9.3000000000000007</v>
      </c>
      <c r="K4575" s="328">
        <f>VLOOKUP(G4575,Bahan,6,FALSE)</f>
        <v>1880</v>
      </c>
      <c r="L4575" s="310">
        <f>J4575*K4575</f>
        <v>17484</v>
      </c>
    </row>
    <row r="4576" spans="5:13" ht="15" customHeight="1">
      <c r="F4576" s="306"/>
      <c r="G4576" s="301" t="s">
        <v>296</v>
      </c>
      <c r="H4576" s="302"/>
      <c r="I4576" s="307" t="s">
        <v>292</v>
      </c>
      <c r="J4576" s="308">
        <v>1.7999999999999999E-2</v>
      </c>
      <c r="K4576" s="328">
        <f>VLOOKUP(G4576,Bahan,6,FALSE)</f>
        <v>253510</v>
      </c>
      <c r="L4576" s="310">
        <f>J4576*K4576</f>
        <v>4563.1799999999994</v>
      </c>
    </row>
    <row r="4577" spans="5:13" ht="15" customHeight="1" thickBot="1">
      <c r="F4577" s="306"/>
      <c r="G4577" s="301" t="s">
        <v>758</v>
      </c>
      <c r="H4577" s="302"/>
      <c r="I4577" s="307" t="s">
        <v>45</v>
      </c>
      <c r="J4577" s="308">
        <v>2.75</v>
      </c>
      <c r="K4577" s="328">
        <f>VLOOKUP(G4577,Bahan,6,FALSE)</f>
        <v>2460</v>
      </c>
      <c r="L4577" s="310">
        <f>J4577*K4577</f>
        <v>6765</v>
      </c>
    </row>
    <row r="4578" spans="5:13" ht="15" customHeight="1" thickBot="1">
      <c r="F4578" s="316"/>
      <c r="G4578" s="317"/>
      <c r="H4578" s="318"/>
      <c r="I4578" s="318"/>
      <c r="J4578" s="319" t="s">
        <v>189</v>
      </c>
      <c r="K4578" s="320"/>
      <c r="L4578" s="321">
        <f>SUM(L4574:L4577)</f>
        <v>129512.18</v>
      </c>
    </row>
    <row r="4579" spans="5:13" ht="15" customHeight="1" thickBot="1">
      <c r="F4579" s="300" t="s">
        <v>190</v>
      </c>
      <c r="G4579" s="301" t="s">
        <v>191</v>
      </c>
      <c r="H4579" s="302"/>
      <c r="I4579" s="302"/>
      <c r="J4579" s="351"/>
      <c r="K4579" s="328">
        <v>0</v>
      </c>
      <c r="L4579" s="310">
        <f>J4579*K4579</f>
        <v>0</v>
      </c>
    </row>
    <row r="4580" spans="5:13" ht="15" customHeight="1" thickBot="1">
      <c r="F4580" s="316"/>
      <c r="G4580" s="317"/>
      <c r="H4580" s="318"/>
      <c r="I4580" s="318"/>
      <c r="J4580" s="319" t="s">
        <v>192</v>
      </c>
      <c r="K4580" s="320"/>
      <c r="L4580" s="321">
        <f>L4579</f>
        <v>0</v>
      </c>
    </row>
    <row r="4581" spans="5:13" ht="15" customHeight="1">
      <c r="F4581" s="344" t="s">
        <v>193</v>
      </c>
      <c r="G4581" s="345" t="s">
        <v>194</v>
      </c>
      <c r="H4581" s="346"/>
      <c r="I4581" s="346"/>
      <c r="J4581" s="347"/>
      <c r="K4581" s="348">
        <v>0</v>
      </c>
      <c r="L4581" s="310">
        <f>SUM(L4567:L4580)/2</f>
        <v>324587.18</v>
      </c>
    </row>
    <row r="4582" spans="5:13" ht="15" customHeight="1" thickBot="1">
      <c r="F4582" s="331" t="s">
        <v>195</v>
      </c>
      <c r="G4582" s="332" t="s">
        <v>196</v>
      </c>
      <c r="H4582" s="333"/>
      <c r="I4582" s="333"/>
      <c r="J4582" s="350">
        <v>0.1</v>
      </c>
      <c r="K4582" s="335"/>
      <c r="L4582" s="330">
        <f>J4582*L4581</f>
        <v>32458.718000000001</v>
      </c>
    </row>
    <row r="4583" spans="5:13" ht="15" customHeight="1" thickBot="1">
      <c r="F4583" s="340" t="s">
        <v>197</v>
      </c>
      <c r="G4583" s="341" t="s">
        <v>198</v>
      </c>
      <c r="H4583" s="318"/>
      <c r="I4583" s="318"/>
      <c r="J4583" s="342"/>
      <c r="K4583" s="320">
        <v>0</v>
      </c>
      <c r="L4583" s="321">
        <f>ROUNDDOWN(L4581+L4582,0)</f>
        <v>357045</v>
      </c>
    </row>
    <row r="4584" spans="5:13" ht="15" customHeight="1">
      <c r="F4584" s="298"/>
      <c r="G4584" s="298"/>
      <c r="J4584" s="343"/>
    </row>
    <row r="4585" spans="5:13" ht="15" customHeight="1" thickBot="1">
      <c r="E4585" s="356" t="s">
        <v>902</v>
      </c>
      <c r="F4585" s="295" t="s">
        <v>903</v>
      </c>
      <c r="J4585" s="343"/>
      <c r="M4585" s="299">
        <f>L4603</f>
        <v>503201</v>
      </c>
    </row>
    <row r="4586" spans="5:13" ht="15" customHeight="1" thickBot="1">
      <c r="F4586" s="340" t="s">
        <v>136</v>
      </c>
      <c r="G4586" s="341" t="s">
        <v>162</v>
      </c>
      <c r="H4586" s="352" t="s">
        <v>163</v>
      </c>
      <c r="I4586" s="352" t="s">
        <v>138</v>
      </c>
      <c r="J4586" s="353" t="s">
        <v>164</v>
      </c>
      <c r="K4586" s="341" t="s">
        <v>165</v>
      </c>
      <c r="L4586" s="354" t="s">
        <v>166</v>
      </c>
    </row>
    <row r="4587" spans="5:13" ht="15" customHeight="1">
      <c r="F4587" s="300" t="s">
        <v>167</v>
      </c>
      <c r="G4587" s="301" t="s">
        <v>168</v>
      </c>
      <c r="H4587" s="302"/>
      <c r="I4587" s="302"/>
      <c r="J4587" s="351"/>
      <c r="K4587" s="328"/>
      <c r="L4587" s="310"/>
    </row>
    <row r="4588" spans="5:13" ht="15" customHeight="1">
      <c r="F4588" s="306"/>
      <c r="G4588" s="301" t="s">
        <v>169</v>
      </c>
      <c r="H4588" s="307" t="s">
        <v>170</v>
      </c>
      <c r="I4588" s="307" t="s">
        <v>171</v>
      </c>
      <c r="J4588" s="308">
        <v>0.9</v>
      </c>
      <c r="K4588" s="309">
        <f>VLOOKUP(G4588,Upah,8,FALSE)</f>
        <v>125000</v>
      </c>
      <c r="L4588" s="310">
        <f>J4588*K4588</f>
        <v>112500</v>
      </c>
    </row>
    <row r="4589" spans="5:13" ht="15" customHeight="1">
      <c r="F4589" s="306"/>
      <c r="G4589" s="301" t="s">
        <v>308</v>
      </c>
      <c r="H4589" s="307" t="s">
        <v>217</v>
      </c>
      <c r="I4589" s="307" t="s">
        <v>171</v>
      </c>
      <c r="J4589" s="308">
        <v>0.45</v>
      </c>
      <c r="K4589" s="309">
        <f>VLOOKUP(G4589,Upah,8,FALSE)</f>
        <v>150000</v>
      </c>
      <c r="L4589" s="310">
        <f>J4589*K4589</f>
        <v>67500</v>
      </c>
    </row>
    <row r="4590" spans="5:13" ht="15" customHeight="1">
      <c r="F4590" s="306"/>
      <c r="G4590" s="301" t="s">
        <v>232</v>
      </c>
      <c r="H4590" s="307" t="s">
        <v>175</v>
      </c>
      <c r="I4590" s="307" t="s">
        <v>171</v>
      </c>
      <c r="J4590" s="308">
        <v>4.4999999999999998E-2</v>
      </c>
      <c r="K4590" s="309">
        <f>VLOOKUP(G4590,Upah,8,FALSE)</f>
        <v>165000</v>
      </c>
      <c r="L4590" s="310">
        <f>J4590*K4590</f>
        <v>7425</v>
      </c>
    </row>
    <row r="4591" spans="5:13" ht="15" customHeight="1" thickBot="1">
      <c r="F4591" s="306"/>
      <c r="G4591" s="301" t="s">
        <v>176</v>
      </c>
      <c r="H4591" s="307" t="s">
        <v>177</v>
      </c>
      <c r="I4591" s="307" t="s">
        <v>171</v>
      </c>
      <c r="J4591" s="308">
        <v>4.4999999999999998E-2</v>
      </c>
      <c r="K4591" s="309">
        <f>VLOOKUP(G4591,Upah,8,FALSE)</f>
        <v>170000</v>
      </c>
      <c r="L4591" s="310">
        <f>J4591*K4591</f>
        <v>7650</v>
      </c>
    </row>
    <row r="4592" spans="5:13" ht="15" customHeight="1" thickBot="1">
      <c r="F4592" s="316"/>
      <c r="G4592" s="317"/>
      <c r="H4592" s="318"/>
      <c r="I4592" s="318"/>
      <c r="J4592" s="319" t="s">
        <v>178</v>
      </c>
      <c r="K4592" s="320"/>
      <c r="L4592" s="321">
        <f>SUM(L4588:L4591)</f>
        <v>195075</v>
      </c>
    </row>
    <row r="4593" spans="5:13" ht="15" customHeight="1">
      <c r="F4593" s="300" t="s">
        <v>179</v>
      </c>
      <c r="G4593" s="301" t="s">
        <v>180</v>
      </c>
      <c r="H4593" s="302"/>
      <c r="I4593" s="302"/>
      <c r="J4593" s="351"/>
      <c r="K4593" s="328"/>
      <c r="L4593" s="310"/>
    </row>
    <row r="4594" spans="5:13" ht="15" customHeight="1">
      <c r="F4594" s="306"/>
      <c r="G4594" s="301" t="s">
        <v>904</v>
      </c>
      <c r="H4594" s="302"/>
      <c r="I4594" s="307" t="s">
        <v>221</v>
      </c>
      <c r="J4594" s="308">
        <v>106</v>
      </c>
      <c r="K4594" s="328">
        <f>VLOOKUP(G4594,Bahan,6,FALSE)</f>
        <v>2200</v>
      </c>
      <c r="L4594" s="310">
        <f>J4594*K4594</f>
        <v>233200</v>
      </c>
    </row>
    <row r="4595" spans="5:13" ht="15" customHeight="1">
      <c r="F4595" s="306"/>
      <c r="G4595" s="301" t="s">
        <v>183</v>
      </c>
      <c r="H4595" s="302"/>
      <c r="I4595" s="307" t="s">
        <v>45</v>
      </c>
      <c r="J4595" s="308">
        <v>9.3000000000000007</v>
      </c>
      <c r="K4595" s="328">
        <f>VLOOKUP(G4595,Bahan,6,FALSE)</f>
        <v>1880</v>
      </c>
      <c r="L4595" s="310">
        <f>J4595*K4595</f>
        <v>17484</v>
      </c>
    </row>
    <row r="4596" spans="5:13" ht="15" customHeight="1">
      <c r="F4596" s="306"/>
      <c r="G4596" s="301" t="s">
        <v>296</v>
      </c>
      <c r="H4596" s="302"/>
      <c r="I4596" s="307" t="s">
        <v>292</v>
      </c>
      <c r="J4596" s="308">
        <v>1.7999999999999999E-2</v>
      </c>
      <c r="K4596" s="328">
        <f>VLOOKUP(G4596,Bahan,6,FALSE)</f>
        <v>253510</v>
      </c>
      <c r="L4596" s="310">
        <f>J4596*K4596</f>
        <v>4563.1799999999994</v>
      </c>
    </row>
    <row r="4597" spans="5:13" ht="15" customHeight="1" thickBot="1">
      <c r="F4597" s="306"/>
      <c r="G4597" s="301" t="s">
        <v>758</v>
      </c>
      <c r="H4597" s="302"/>
      <c r="I4597" s="307" t="s">
        <v>45</v>
      </c>
      <c r="J4597" s="308">
        <v>2.9</v>
      </c>
      <c r="K4597" s="328">
        <f>VLOOKUP(G4597,Bahan,6,FALSE)</f>
        <v>2460</v>
      </c>
      <c r="L4597" s="310">
        <f>J4597*K4597</f>
        <v>7134</v>
      </c>
    </row>
    <row r="4598" spans="5:13" ht="15" customHeight="1" thickBot="1">
      <c r="F4598" s="316"/>
      <c r="G4598" s="317"/>
      <c r="H4598" s="318"/>
      <c r="I4598" s="318"/>
      <c r="J4598" s="319" t="s">
        <v>189</v>
      </c>
      <c r="K4598" s="320"/>
      <c r="L4598" s="321">
        <f>SUM(L4594:L4597)</f>
        <v>262381.18</v>
      </c>
    </row>
    <row r="4599" spans="5:13" ht="15" customHeight="1" thickBot="1">
      <c r="F4599" s="300" t="s">
        <v>190</v>
      </c>
      <c r="G4599" s="301" t="s">
        <v>191</v>
      </c>
      <c r="H4599" s="302"/>
      <c r="I4599" s="302"/>
      <c r="J4599" s="351"/>
      <c r="K4599" s="328">
        <v>0</v>
      </c>
      <c r="L4599" s="310">
        <f>J4599*K4599</f>
        <v>0</v>
      </c>
    </row>
    <row r="4600" spans="5:13" ht="15" customHeight="1" thickBot="1">
      <c r="F4600" s="316"/>
      <c r="G4600" s="317"/>
      <c r="H4600" s="318"/>
      <c r="I4600" s="318"/>
      <c r="J4600" s="319" t="s">
        <v>192</v>
      </c>
      <c r="K4600" s="320"/>
      <c r="L4600" s="321">
        <f>L4599</f>
        <v>0</v>
      </c>
    </row>
    <row r="4601" spans="5:13" ht="15" customHeight="1">
      <c r="F4601" s="344" t="s">
        <v>193</v>
      </c>
      <c r="G4601" s="345" t="s">
        <v>194</v>
      </c>
      <c r="H4601" s="346"/>
      <c r="I4601" s="346"/>
      <c r="J4601" s="347"/>
      <c r="K4601" s="348">
        <v>0</v>
      </c>
      <c r="L4601" s="310">
        <f>SUM(L4588:L4600)/2</f>
        <v>457456.18000000005</v>
      </c>
    </row>
    <row r="4602" spans="5:13" ht="15" customHeight="1" thickBot="1">
      <c r="F4602" s="331" t="s">
        <v>195</v>
      </c>
      <c r="G4602" s="332" t="s">
        <v>196</v>
      </c>
      <c r="H4602" s="333"/>
      <c r="I4602" s="333"/>
      <c r="J4602" s="350">
        <v>0.1</v>
      </c>
      <c r="K4602" s="335"/>
      <c r="L4602" s="330">
        <f>J4602*L4601</f>
        <v>45745.618000000009</v>
      </c>
    </row>
    <row r="4603" spans="5:13" ht="15" customHeight="1" thickBot="1">
      <c r="F4603" s="340" t="s">
        <v>197</v>
      </c>
      <c r="G4603" s="341" t="s">
        <v>198</v>
      </c>
      <c r="H4603" s="318"/>
      <c r="I4603" s="318"/>
      <c r="J4603" s="342"/>
      <c r="K4603" s="320">
        <v>0</v>
      </c>
      <c r="L4603" s="321">
        <f>ROUNDDOWN(L4601+L4602,0)</f>
        <v>503201</v>
      </c>
    </row>
    <row r="4604" spans="5:13" ht="15" customHeight="1">
      <c r="F4604" s="298"/>
      <c r="G4604" s="298"/>
      <c r="J4604" s="343"/>
    </row>
    <row r="4605" spans="5:13" ht="15" customHeight="1" thickBot="1">
      <c r="E4605" s="356" t="s">
        <v>905</v>
      </c>
      <c r="F4605" s="295" t="s">
        <v>906</v>
      </c>
      <c r="J4605" s="424"/>
      <c r="M4605" s="299">
        <f>L4623</f>
        <v>374535</v>
      </c>
    </row>
    <row r="4606" spans="5:13" ht="15" customHeight="1" thickBot="1">
      <c r="F4606" s="340" t="s">
        <v>136</v>
      </c>
      <c r="G4606" s="341" t="s">
        <v>162</v>
      </c>
      <c r="H4606" s="352" t="s">
        <v>163</v>
      </c>
      <c r="I4606" s="352" t="s">
        <v>138</v>
      </c>
      <c r="J4606" s="353" t="s">
        <v>164</v>
      </c>
      <c r="K4606" s="341" t="s">
        <v>165</v>
      </c>
      <c r="L4606" s="354" t="s">
        <v>166</v>
      </c>
    </row>
    <row r="4607" spans="5:13" ht="15" customHeight="1">
      <c r="F4607" s="300" t="s">
        <v>167</v>
      </c>
      <c r="G4607" s="301" t="s">
        <v>168</v>
      </c>
      <c r="H4607" s="302"/>
      <c r="I4607" s="302"/>
      <c r="J4607" s="351"/>
      <c r="K4607" s="328"/>
      <c r="L4607" s="310"/>
    </row>
    <row r="4608" spans="5:13" ht="15" customHeight="1">
      <c r="F4608" s="306"/>
      <c r="G4608" s="301" t="s">
        <v>169</v>
      </c>
      <c r="H4608" s="307" t="s">
        <v>170</v>
      </c>
      <c r="I4608" s="307" t="s">
        <v>171</v>
      </c>
      <c r="J4608" s="308">
        <v>0.9</v>
      </c>
      <c r="K4608" s="309">
        <f>VLOOKUP(G4608,Upah,8,FALSE)</f>
        <v>125000</v>
      </c>
      <c r="L4608" s="310">
        <f>J4608*K4608</f>
        <v>112500</v>
      </c>
    </row>
    <row r="4609" spans="6:12" ht="15" customHeight="1">
      <c r="F4609" s="306"/>
      <c r="G4609" s="301" t="s">
        <v>308</v>
      </c>
      <c r="H4609" s="307" t="s">
        <v>217</v>
      </c>
      <c r="I4609" s="307" t="s">
        <v>171</v>
      </c>
      <c r="J4609" s="308">
        <v>0.45</v>
      </c>
      <c r="K4609" s="309">
        <f>VLOOKUP(G4609,Upah,8,FALSE)</f>
        <v>150000</v>
      </c>
      <c r="L4609" s="310">
        <f>J4609*K4609</f>
        <v>67500</v>
      </c>
    </row>
    <row r="4610" spans="6:12" ht="15" customHeight="1">
      <c r="F4610" s="306"/>
      <c r="G4610" s="301" t="s">
        <v>232</v>
      </c>
      <c r="H4610" s="307" t="s">
        <v>175</v>
      </c>
      <c r="I4610" s="307" t="s">
        <v>171</v>
      </c>
      <c r="J4610" s="308">
        <v>4.4999999999999998E-2</v>
      </c>
      <c r="K4610" s="309">
        <f>VLOOKUP(G4610,Upah,8,FALSE)</f>
        <v>165000</v>
      </c>
      <c r="L4610" s="310">
        <f>J4610*K4610</f>
        <v>7425</v>
      </c>
    </row>
    <row r="4611" spans="6:12" ht="15" customHeight="1" thickBot="1">
      <c r="F4611" s="306"/>
      <c r="G4611" s="301" t="s">
        <v>176</v>
      </c>
      <c r="H4611" s="307" t="s">
        <v>177</v>
      </c>
      <c r="I4611" s="307" t="s">
        <v>171</v>
      </c>
      <c r="J4611" s="308">
        <v>4.4999999999999998E-2</v>
      </c>
      <c r="K4611" s="309">
        <f>VLOOKUP(G4611,Upah,8,FALSE)</f>
        <v>170000</v>
      </c>
      <c r="L4611" s="310">
        <f>J4611*K4611</f>
        <v>7650</v>
      </c>
    </row>
    <row r="4612" spans="6:12" ht="15" customHeight="1" thickBot="1">
      <c r="F4612" s="316"/>
      <c r="G4612" s="317"/>
      <c r="H4612" s="318"/>
      <c r="I4612" s="318"/>
      <c r="J4612" s="319" t="s">
        <v>178</v>
      </c>
      <c r="K4612" s="320"/>
      <c r="L4612" s="321">
        <f>SUM(L4608:L4611)</f>
        <v>195075</v>
      </c>
    </row>
    <row r="4613" spans="6:12" ht="15" customHeight="1">
      <c r="F4613" s="300" t="s">
        <v>179</v>
      </c>
      <c r="G4613" s="301" t="s">
        <v>180</v>
      </c>
      <c r="H4613" s="302"/>
      <c r="I4613" s="302"/>
      <c r="J4613" s="351"/>
      <c r="K4613" s="328"/>
      <c r="L4613" s="310"/>
    </row>
    <row r="4614" spans="6:12" ht="15" customHeight="1">
      <c r="F4614" s="306"/>
      <c r="G4614" s="301" t="s">
        <v>907</v>
      </c>
      <c r="H4614" s="302"/>
      <c r="I4614" s="307" t="s">
        <v>221</v>
      </c>
      <c r="J4614" s="308">
        <v>53</v>
      </c>
      <c r="K4614" s="328">
        <f>VLOOKUP(G4614,Bahan,6,FALSE)</f>
        <v>2200</v>
      </c>
      <c r="L4614" s="310">
        <f>J4614*K4614</f>
        <v>116600</v>
      </c>
    </row>
    <row r="4615" spans="6:12" ht="15" customHeight="1">
      <c r="F4615" s="306"/>
      <c r="G4615" s="301" t="s">
        <v>183</v>
      </c>
      <c r="H4615" s="302"/>
      <c r="I4615" s="307" t="s">
        <v>45</v>
      </c>
      <c r="J4615" s="308">
        <v>9.3000000000000007</v>
      </c>
      <c r="K4615" s="328">
        <f>VLOOKUP(G4615,Bahan,6,FALSE)</f>
        <v>1880</v>
      </c>
      <c r="L4615" s="310">
        <f>J4615*K4615</f>
        <v>17484</v>
      </c>
    </row>
    <row r="4616" spans="6:12" ht="15" customHeight="1">
      <c r="F4616" s="306"/>
      <c r="G4616" s="301" t="s">
        <v>296</v>
      </c>
      <c r="H4616" s="302"/>
      <c r="I4616" s="307" t="s">
        <v>292</v>
      </c>
      <c r="J4616" s="308">
        <v>1.7999999999999999E-2</v>
      </c>
      <c r="K4616" s="328">
        <f>VLOOKUP(G4616,Bahan,6,FALSE)</f>
        <v>253510</v>
      </c>
      <c r="L4616" s="310">
        <f>J4616*K4616</f>
        <v>4563.1799999999994</v>
      </c>
    </row>
    <row r="4617" spans="6:12" ht="15" customHeight="1" thickBot="1">
      <c r="F4617" s="306"/>
      <c r="G4617" s="301" t="s">
        <v>758</v>
      </c>
      <c r="H4617" s="302"/>
      <c r="I4617" s="307" t="s">
        <v>45</v>
      </c>
      <c r="J4617" s="308">
        <v>2.75</v>
      </c>
      <c r="K4617" s="328">
        <f>VLOOKUP(G4617,Bahan,6,FALSE)</f>
        <v>2460</v>
      </c>
      <c r="L4617" s="310">
        <f>J4617*K4617</f>
        <v>6765</v>
      </c>
    </row>
    <row r="4618" spans="6:12" ht="15" customHeight="1" thickBot="1">
      <c r="F4618" s="316"/>
      <c r="G4618" s="317"/>
      <c r="H4618" s="318"/>
      <c r="I4618" s="318"/>
      <c r="J4618" s="319" t="s">
        <v>189</v>
      </c>
      <c r="K4618" s="320"/>
      <c r="L4618" s="321">
        <f>SUM(L4614:L4617)</f>
        <v>145412.18</v>
      </c>
    </row>
    <row r="4619" spans="6:12" ht="15" customHeight="1" thickBot="1">
      <c r="F4619" s="300" t="s">
        <v>190</v>
      </c>
      <c r="G4619" s="301" t="s">
        <v>191</v>
      </c>
      <c r="H4619" s="302"/>
      <c r="I4619" s="302"/>
      <c r="J4619" s="351"/>
      <c r="K4619" s="328">
        <v>0</v>
      </c>
      <c r="L4619" s="310">
        <f>J4619*K4619</f>
        <v>0</v>
      </c>
    </row>
    <row r="4620" spans="6:12" ht="15" customHeight="1" thickBot="1">
      <c r="F4620" s="316"/>
      <c r="G4620" s="317"/>
      <c r="H4620" s="318"/>
      <c r="I4620" s="318"/>
      <c r="J4620" s="319" t="s">
        <v>192</v>
      </c>
      <c r="K4620" s="320"/>
      <c r="L4620" s="321">
        <f>L4619</f>
        <v>0</v>
      </c>
    </row>
    <row r="4621" spans="6:12" ht="15" customHeight="1">
      <c r="F4621" s="344" t="s">
        <v>193</v>
      </c>
      <c r="G4621" s="345" t="s">
        <v>194</v>
      </c>
      <c r="H4621" s="346"/>
      <c r="I4621" s="346"/>
      <c r="J4621" s="347"/>
      <c r="K4621" s="348">
        <v>0</v>
      </c>
      <c r="L4621" s="310">
        <f>SUM(L4608:L4620)/2</f>
        <v>340487.18000000005</v>
      </c>
    </row>
    <row r="4622" spans="6:12" ht="15" customHeight="1" thickBot="1">
      <c r="F4622" s="331" t="s">
        <v>195</v>
      </c>
      <c r="G4622" s="332" t="s">
        <v>196</v>
      </c>
      <c r="H4622" s="333"/>
      <c r="I4622" s="333"/>
      <c r="J4622" s="350">
        <v>0.1</v>
      </c>
      <c r="K4622" s="335"/>
      <c r="L4622" s="330">
        <f>J4622*L4621</f>
        <v>34048.718000000008</v>
      </c>
    </row>
    <row r="4623" spans="6:12" ht="15" customHeight="1" thickBot="1">
      <c r="F4623" s="340" t="s">
        <v>197</v>
      </c>
      <c r="G4623" s="341" t="s">
        <v>198</v>
      </c>
      <c r="H4623" s="318"/>
      <c r="I4623" s="318"/>
      <c r="J4623" s="342"/>
      <c r="K4623" s="320">
        <v>0</v>
      </c>
      <c r="L4623" s="321">
        <f>ROUNDDOWN(L4621+L4622,0)</f>
        <v>374535</v>
      </c>
    </row>
    <row r="4624" spans="6:12" ht="15" customHeight="1">
      <c r="F4624" s="298"/>
      <c r="G4624" s="298"/>
      <c r="J4624" s="343"/>
    </row>
    <row r="4625" spans="5:13" ht="15" customHeight="1" thickBot="1">
      <c r="E4625" s="356" t="s">
        <v>908</v>
      </c>
      <c r="F4625" s="295" t="s">
        <v>909</v>
      </c>
      <c r="J4625" s="343"/>
      <c r="M4625" s="299">
        <f>L4643</f>
        <v>366514</v>
      </c>
    </row>
    <row r="4626" spans="5:13" ht="15" customHeight="1" thickBot="1">
      <c r="F4626" s="340" t="s">
        <v>136</v>
      </c>
      <c r="G4626" s="341" t="s">
        <v>162</v>
      </c>
      <c r="H4626" s="352" t="s">
        <v>163</v>
      </c>
      <c r="I4626" s="352" t="s">
        <v>138</v>
      </c>
      <c r="J4626" s="353" t="s">
        <v>164</v>
      </c>
      <c r="K4626" s="341" t="s">
        <v>165</v>
      </c>
      <c r="L4626" s="354" t="s">
        <v>166</v>
      </c>
    </row>
    <row r="4627" spans="5:13" ht="15" customHeight="1">
      <c r="F4627" s="300" t="s">
        <v>167</v>
      </c>
      <c r="G4627" s="301" t="s">
        <v>168</v>
      </c>
      <c r="H4627" s="302"/>
      <c r="I4627" s="302"/>
      <c r="J4627" s="351"/>
      <c r="K4627" s="328"/>
      <c r="L4627" s="310"/>
    </row>
    <row r="4628" spans="5:13" ht="15" customHeight="1">
      <c r="F4628" s="306"/>
      <c r="G4628" s="301" t="s">
        <v>169</v>
      </c>
      <c r="H4628" s="307" t="s">
        <v>170</v>
      </c>
      <c r="I4628" s="307" t="s">
        <v>171</v>
      </c>
      <c r="J4628" s="308">
        <v>0.9</v>
      </c>
      <c r="K4628" s="309">
        <f>VLOOKUP(G4628,Upah,8,FALSE)</f>
        <v>125000</v>
      </c>
      <c r="L4628" s="310">
        <f>J4628*K4628</f>
        <v>112500</v>
      </c>
    </row>
    <row r="4629" spans="5:13" ht="15" customHeight="1">
      <c r="F4629" s="306"/>
      <c r="G4629" s="301" t="s">
        <v>308</v>
      </c>
      <c r="H4629" s="307" t="s">
        <v>217</v>
      </c>
      <c r="I4629" s="307" t="s">
        <v>171</v>
      </c>
      <c r="J4629" s="308">
        <v>0.45</v>
      </c>
      <c r="K4629" s="309">
        <f>VLOOKUP(G4629,Upah,8,FALSE)</f>
        <v>150000</v>
      </c>
      <c r="L4629" s="310">
        <f>J4629*K4629</f>
        <v>67500</v>
      </c>
    </row>
    <row r="4630" spans="5:13" ht="15" customHeight="1">
      <c r="F4630" s="306"/>
      <c r="G4630" s="301" t="s">
        <v>232</v>
      </c>
      <c r="H4630" s="307" t="s">
        <v>175</v>
      </c>
      <c r="I4630" s="307" t="s">
        <v>171</v>
      </c>
      <c r="J4630" s="308">
        <v>4.4999999999999998E-2</v>
      </c>
      <c r="K4630" s="309">
        <f>VLOOKUP(G4630,Upah,8,FALSE)</f>
        <v>165000</v>
      </c>
      <c r="L4630" s="310">
        <f>J4630*K4630</f>
        <v>7425</v>
      </c>
    </row>
    <row r="4631" spans="5:13" ht="15" customHeight="1" thickBot="1">
      <c r="F4631" s="306"/>
      <c r="G4631" s="301" t="s">
        <v>176</v>
      </c>
      <c r="H4631" s="307" t="s">
        <v>177</v>
      </c>
      <c r="I4631" s="307" t="s">
        <v>171</v>
      </c>
      <c r="J4631" s="308">
        <v>4.4999999999999998E-2</v>
      </c>
      <c r="K4631" s="309">
        <f>VLOOKUP(G4631,Upah,8,FALSE)</f>
        <v>170000</v>
      </c>
      <c r="L4631" s="310">
        <f>J4631*K4631</f>
        <v>7650</v>
      </c>
    </row>
    <row r="4632" spans="5:13" ht="15" customHeight="1" thickBot="1">
      <c r="F4632" s="316"/>
      <c r="G4632" s="317"/>
      <c r="H4632" s="318"/>
      <c r="I4632" s="318"/>
      <c r="J4632" s="319" t="s">
        <v>178</v>
      </c>
      <c r="K4632" s="320"/>
      <c r="L4632" s="321">
        <f>SUM(L4628:L4631)</f>
        <v>195075</v>
      </c>
    </row>
    <row r="4633" spans="5:13" ht="15" customHeight="1">
      <c r="F4633" s="300" t="s">
        <v>179</v>
      </c>
      <c r="G4633" s="301" t="s">
        <v>180</v>
      </c>
      <c r="H4633" s="302"/>
      <c r="I4633" s="302"/>
      <c r="J4633" s="351"/>
      <c r="K4633" s="328"/>
      <c r="L4633" s="310"/>
    </row>
    <row r="4634" spans="5:13" ht="15" customHeight="1">
      <c r="F4634" s="306"/>
      <c r="G4634" s="301" t="s">
        <v>910</v>
      </c>
      <c r="H4634" s="302"/>
      <c r="I4634" s="307" t="s">
        <v>221</v>
      </c>
      <c r="J4634" s="308">
        <v>26.5</v>
      </c>
      <c r="K4634" s="328">
        <f>VLOOKUP(G4634,Bahan,6,FALSE)</f>
        <v>4200</v>
      </c>
      <c r="L4634" s="310">
        <f>J4634*K4634</f>
        <v>111300</v>
      </c>
    </row>
    <row r="4635" spans="5:13" ht="15" customHeight="1">
      <c r="F4635" s="306"/>
      <c r="G4635" s="301" t="s">
        <v>183</v>
      </c>
      <c r="H4635" s="302"/>
      <c r="I4635" s="307" t="s">
        <v>45</v>
      </c>
      <c r="J4635" s="308">
        <v>9.3000000000000007</v>
      </c>
      <c r="K4635" s="328">
        <f>VLOOKUP(G4635,Bahan,6,FALSE)</f>
        <v>1880</v>
      </c>
      <c r="L4635" s="310">
        <f>J4635*K4635</f>
        <v>17484</v>
      </c>
    </row>
    <row r="4636" spans="5:13" ht="15" customHeight="1">
      <c r="F4636" s="306"/>
      <c r="G4636" s="301" t="s">
        <v>296</v>
      </c>
      <c r="H4636" s="302"/>
      <c r="I4636" s="307" t="s">
        <v>292</v>
      </c>
      <c r="J4636" s="308">
        <v>1.7999999999999999E-2</v>
      </c>
      <c r="K4636" s="328">
        <f>VLOOKUP(G4636,Bahan,6,FALSE)</f>
        <v>253510</v>
      </c>
      <c r="L4636" s="310">
        <f>J4636*K4636</f>
        <v>4563.1799999999994</v>
      </c>
    </row>
    <row r="4637" spans="5:13" ht="15" customHeight="1" thickBot="1">
      <c r="F4637" s="306"/>
      <c r="G4637" s="301" t="s">
        <v>758</v>
      </c>
      <c r="H4637" s="302"/>
      <c r="I4637" s="307" t="s">
        <v>45</v>
      </c>
      <c r="J4637" s="308">
        <v>1.94</v>
      </c>
      <c r="K4637" s="328">
        <f>VLOOKUP(G4637,Bahan,6,FALSE)</f>
        <v>2460</v>
      </c>
      <c r="L4637" s="310">
        <f>J4637*K4637</f>
        <v>4772.3999999999996</v>
      </c>
    </row>
    <row r="4638" spans="5:13" ht="15" customHeight="1" thickBot="1">
      <c r="F4638" s="316"/>
      <c r="G4638" s="317"/>
      <c r="H4638" s="318"/>
      <c r="I4638" s="318"/>
      <c r="J4638" s="319" t="s">
        <v>189</v>
      </c>
      <c r="K4638" s="320"/>
      <c r="L4638" s="321">
        <f>SUM(L4634:L4637)</f>
        <v>138119.57999999999</v>
      </c>
    </row>
    <row r="4639" spans="5:13" ht="15" customHeight="1" thickBot="1">
      <c r="F4639" s="300" t="s">
        <v>190</v>
      </c>
      <c r="G4639" s="301" t="s">
        <v>191</v>
      </c>
      <c r="H4639" s="302"/>
      <c r="I4639" s="302"/>
      <c r="J4639" s="351"/>
      <c r="K4639" s="328">
        <v>0</v>
      </c>
      <c r="L4639" s="310">
        <f>J4639*K4639</f>
        <v>0</v>
      </c>
    </row>
    <row r="4640" spans="5:13" ht="15" customHeight="1" thickBot="1">
      <c r="F4640" s="316"/>
      <c r="G4640" s="317"/>
      <c r="H4640" s="318"/>
      <c r="I4640" s="318"/>
      <c r="J4640" s="319" t="s">
        <v>192</v>
      </c>
      <c r="K4640" s="320"/>
      <c r="L4640" s="321">
        <f>L4639</f>
        <v>0</v>
      </c>
    </row>
    <row r="4641" spans="5:13" ht="15" customHeight="1">
      <c r="F4641" s="344" t="s">
        <v>193</v>
      </c>
      <c r="G4641" s="345" t="s">
        <v>194</v>
      </c>
      <c r="H4641" s="346"/>
      <c r="I4641" s="346"/>
      <c r="J4641" s="347"/>
      <c r="K4641" s="348">
        <v>0</v>
      </c>
      <c r="L4641" s="310">
        <f>SUM(L4627:L4640)/2</f>
        <v>333194.57999999996</v>
      </c>
    </row>
    <row r="4642" spans="5:13" ht="15" customHeight="1" thickBot="1">
      <c r="F4642" s="331" t="s">
        <v>195</v>
      </c>
      <c r="G4642" s="332" t="s">
        <v>196</v>
      </c>
      <c r="H4642" s="333"/>
      <c r="I4642" s="333"/>
      <c r="J4642" s="350">
        <v>0.1</v>
      </c>
      <c r="K4642" s="335"/>
      <c r="L4642" s="330">
        <f>J4642*L4641</f>
        <v>33319.457999999999</v>
      </c>
    </row>
    <row r="4643" spans="5:13" ht="15" customHeight="1" thickBot="1">
      <c r="F4643" s="340" t="s">
        <v>197</v>
      </c>
      <c r="G4643" s="341" t="s">
        <v>198</v>
      </c>
      <c r="H4643" s="318"/>
      <c r="I4643" s="318"/>
      <c r="J4643" s="342"/>
      <c r="K4643" s="320">
        <v>0</v>
      </c>
      <c r="L4643" s="321">
        <f>ROUNDDOWN(L4641+L4642,0)</f>
        <v>366514</v>
      </c>
    </row>
    <row r="4644" spans="5:13" ht="15" customHeight="1">
      <c r="F4644" s="298"/>
      <c r="G4644" s="298"/>
      <c r="J4644" s="343"/>
    </row>
    <row r="4645" spans="5:13" ht="15" customHeight="1" thickBot="1">
      <c r="E4645" s="356" t="s">
        <v>911</v>
      </c>
      <c r="F4645" s="295" t="s">
        <v>912</v>
      </c>
      <c r="J4645" s="343"/>
      <c r="M4645" s="299">
        <f>L4664</f>
        <v>605666</v>
      </c>
    </row>
    <row r="4646" spans="5:13" ht="15" customHeight="1" thickBot="1">
      <c r="F4646" s="340" t="s">
        <v>136</v>
      </c>
      <c r="G4646" s="341" t="s">
        <v>162</v>
      </c>
      <c r="H4646" s="352" t="s">
        <v>163</v>
      </c>
      <c r="I4646" s="352" t="s">
        <v>138</v>
      </c>
      <c r="J4646" s="353" t="s">
        <v>164</v>
      </c>
      <c r="K4646" s="341" t="s">
        <v>165</v>
      </c>
      <c r="L4646" s="354" t="s">
        <v>166</v>
      </c>
    </row>
    <row r="4647" spans="5:13" ht="15" customHeight="1">
      <c r="F4647" s="300" t="s">
        <v>167</v>
      </c>
      <c r="G4647" s="301" t="s">
        <v>168</v>
      </c>
      <c r="H4647" s="302"/>
      <c r="I4647" s="302"/>
      <c r="J4647" s="351"/>
      <c r="K4647" s="328"/>
      <c r="L4647" s="310"/>
    </row>
    <row r="4648" spans="5:13" ht="15" customHeight="1">
      <c r="F4648" s="306"/>
      <c r="G4648" s="301" t="s">
        <v>169</v>
      </c>
      <c r="H4648" s="307" t="s">
        <v>170</v>
      </c>
      <c r="I4648" s="307" t="s">
        <v>171</v>
      </c>
      <c r="J4648" s="308">
        <v>1.3</v>
      </c>
      <c r="K4648" s="309">
        <f>VLOOKUP(G4648,Upah,8,FALSE)</f>
        <v>125000</v>
      </c>
      <c r="L4648" s="310">
        <f>J4648*K4648</f>
        <v>162500</v>
      </c>
    </row>
    <row r="4649" spans="5:13" ht="15" customHeight="1">
      <c r="F4649" s="306"/>
      <c r="G4649" s="301" t="s">
        <v>308</v>
      </c>
      <c r="H4649" s="307" t="s">
        <v>217</v>
      </c>
      <c r="I4649" s="307" t="s">
        <v>171</v>
      </c>
      <c r="J4649" s="308">
        <v>0.65</v>
      </c>
      <c r="K4649" s="309">
        <f>VLOOKUP(G4649,Upah,8,FALSE)</f>
        <v>150000</v>
      </c>
      <c r="L4649" s="310">
        <f>J4649*K4649</f>
        <v>97500</v>
      </c>
    </row>
    <row r="4650" spans="5:13" ht="15" customHeight="1">
      <c r="F4650" s="306"/>
      <c r="G4650" s="301" t="s">
        <v>232</v>
      </c>
      <c r="H4650" s="307" t="s">
        <v>175</v>
      </c>
      <c r="I4650" s="307" t="s">
        <v>171</v>
      </c>
      <c r="J4650" s="308">
        <v>6.5000000000000002E-2</v>
      </c>
      <c r="K4650" s="309">
        <f>VLOOKUP(G4650,Upah,8,FALSE)</f>
        <v>165000</v>
      </c>
      <c r="L4650" s="310">
        <f>J4650*K4650</f>
        <v>10725</v>
      </c>
    </row>
    <row r="4651" spans="5:13" ht="15" customHeight="1" thickBot="1">
      <c r="F4651" s="306"/>
      <c r="G4651" s="301" t="s">
        <v>176</v>
      </c>
      <c r="H4651" s="307" t="s">
        <v>177</v>
      </c>
      <c r="I4651" s="307" t="s">
        <v>171</v>
      </c>
      <c r="J4651" s="308">
        <v>6.5000000000000002E-2</v>
      </c>
      <c r="K4651" s="309">
        <f>VLOOKUP(G4651,Upah,8,FALSE)</f>
        <v>170000</v>
      </c>
      <c r="L4651" s="310">
        <f>J4651*K4651</f>
        <v>11050</v>
      </c>
    </row>
    <row r="4652" spans="5:13" ht="15" customHeight="1" thickBot="1">
      <c r="F4652" s="316"/>
      <c r="G4652" s="317"/>
      <c r="H4652" s="318"/>
      <c r="I4652" s="318"/>
      <c r="J4652" s="319" t="s">
        <v>178</v>
      </c>
      <c r="K4652" s="320"/>
      <c r="L4652" s="321">
        <f>SUM(L4648:L4651)</f>
        <v>281775</v>
      </c>
    </row>
    <row r="4653" spans="5:13" ht="15" customHeight="1">
      <c r="F4653" s="300" t="s">
        <v>179</v>
      </c>
      <c r="G4653" s="301" t="s">
        <v>180</v>
      </c>
      <c r="H4653" s="302"/>
      <c r="I4653" s="302"/>
      <c r="J4653" s="351"/>
      <c r="K4653" s="328"/>
      <c r="L4653" s="310"/>
    </row>
    <row r="4654" spans="5:13" ht="15" customHeight="1">
      <c r="F4654" s="306"/>
      <c r="G4654" s="301" t="s">
        <v>913</v>
      </c>
      <c r="H4654" s="302"/>
      <c r="I4654" s="307" t="s">
        <v>221</v>
      </c>
      <c r="J4654" s="308">
        <v>1.06</v>
      </c>
      <c r="K4654" s="328">
        <f>VLOOKUP(G4654,Bahan,6,FALSE)</f>
        <v>69020</v>
      </c>
      <c r="L4654" s="310">
        <f>J4654*K4654</f>
        <v>73161.2</v>
      </c>
    </row>
    <row r="4655" spans="5:13" ht="15" customHeight="1">
      <c r="F4655" s="306"/>
      <c r="G4655" s="301" t="s">
        <v>183</v>
      </c>
      <c r="H4655" s="302"/>
      <c r="I4655" s="307" t="s">
        <v>45</v>
      </c>
      <c r="J4655" s="308">
        <v>12.44</v>
      </c>
      <c r="K4655" s="328">
        <f>VLOOKUP(G4655,Bahan,6,FALSE)</f>
        <v>1880</v>
      </c>
      <c r="L4655" s="310">
        <f>J4655*K4655</f>
        <v>23387.200000000001</v>
      </c>
    </row>
    <row r="4656" spans="5:13" ht="15" customHeight="1">
      <c r="F4656" s="306"/>
      <c r="G4656" s="301" t="s">
        <v>183</v>
      </c>
      <c r="H4656" s="302"/>
      <c r="I4656" s="307" t="s">
        <v>292</v>
      </c>
      <c r="J4656" s="308">
        <v>2.5000000000000001E-2</v>
      </c>
      <c r="K4656" s="328">
        <f>VLOOKUP(G4656,Bahan,6,FALSE)</f>
        <v>1880</v>
      </c>
      <c r="L4656" s="310">
        <f>J4656*K4656</f>
        <v>47</v>
      </c>
    </row>
    <row r="4657" spans="5:13" ht="15" customHeight="1">
      <c r="F4657" s="306"/>
      <c r="G4657" s="301" t="s">
        <v>296</v>
      </c>
      <c r="H4657" s="302"/>
      <c r="I4657" s="307" t="s">
        <v>45</v>
      </c>
      <c r="J4657" s="308">
        <v>0.65</v>
      </c>
      <c r="K4657" s="328">
        <f>VLOOKUP(G4657,Bahan,6,FALSE)</f>
        <v>253510</v>
      </c>
      <c r="L4657" s="310">
        <f>J4657*K4657</f>
        <v>164781.5</v>
      </c>
    </row>
    <row r="4658" spans="5:13" ht="15" customHeight="1" thickBot="1">
      <c r="F4658" s="306"/>
      <c r="G4658" s="301" t="s">
        <v>758</v>
      </c>
      <c r="H4658" s="302"/>
      <c r="I4658" s="307" t="s">
        <v>221</v>
      </c>
      <c r="J4658" s="308">
        <v>3.03</v>
      </c>
      <c r="K4658" s="328">
        <f>VLOOKUP(G4658,Bahan,6,FALSE)</f>
        <v>2460</v>
      </c>
      <c r="L4658" s="310">
        <f>J4658*K4658</f>
        <v>7453.7999999999993</v>
      </c>
    </row>
    <row r="4659" spans="5:13" ht="15" customHeight="1" thickBot="1">
      <c r="F4659" s="316"/>
      <c r="G4659" s="317"/>
      <c r="H4659" s="318"/>
      <c r="I4659" s="318"/>
      <c r="J4659" s="319" t="s">
        <v>189</v>
      </c>
      <c r="K4659" s="320"/>
      <c r="L4659" s="321">
        <f>SUM(L4654:L4658)</f>
        <v>268830.7</v>
      </c>
    </row>
    <row r="4660" spans="5:13" ht="15" customHeight="1" thickBot="1">
      <c r="F4660" s="300" t="s">
        <v>190</v>
      </c>
      <c r="G4660" s="301" t="s">
        <v>191</v>
      </c>
      <c r="H4660" s="302"/>
      <c r="I4660" s="302"/>
      <c r="J4660" s="351"/>
      <c r="K4660" s="328">
        <v>0</v>
      </c>
      <c r="L4660" s="310">
        <f>J4660*K4660</f>
        <v>0</v>
      </c>
    </row>
    <row r="4661" spans="5:13" ht="15" customHeight="1" thickBot="1">
      <c r="F4661" s="316"/>
      <c r="G4661" s="317"/>
      <c r="H4661" s="318"/>
      <c r="I4661" s="318"/>
      <c r="J4661" s="319" t="s">
        <v>192</v>
      </c>
      <c r="K4661" s="320"/>
      <c r="L4661" s="321">
        <f>L4660</f>
        <v>0</v>
      </c>
    </row>
    <row r="4662" spans="5:13" ht="15" customHeight="1">
      <c r="F4662" s="344" t="s">
        <v>193</v>
      </c>
      <c r="G4662" s="345" t="s">
        <v>194</v>
      </c>
      <c r="H4662" s="346"/>
      <c r="I4662" s="346"/>
      <c r="J4662" s="347"/>
      <c r="K4662" s="348">
        <v>0</v>
      </c>
      <c r="L4662" s="310">
        <f>SUM(L4648:L4661)/2</f>
        <v>550605.69999999995</v>
      </c>
    </row>
    <row r="4663" spans="5:13" ht="15" customHeight="1" thickBot="1">
      <c r="F4663" s="331" t="s">
        <v>195</v>
      </c>
      <c r="G4663" s="332" t="s">
        <v>196</v>
      </c>
      <c r="H4663" s="333"/>
      <c r="I4663" s="333"/>
      <c r="J4663" s="350">
        <v>0.1</v>
      </c>
      <c r="K4663" s="335"/>
      <c r="L4663" s="330">
        <f>J4663*L4662</f>
        <v>55060.57</v>
      </c>
    </row>
    <row r="4664" spans="5:13" ht="15" customHeight="1" thickBot="1">
      <c r="F4664" s="340" t="s">
        <v>197</v>
      </c>
      <c r="G4664" s="341" t="s">
        <v>198</v>
      </c>
      <c r="H4664" s="318"/>
      <c r="I4664" s="318"/>
      <c r="J4664" s="342"/>
      <c r="K4664" s="320">
        <v>0</v>
      </c>
      <c r="L4664" s="321">
        <f>ROUNDDOWN(L4662+L4663,0)</f>
        <v>605666</v>
      </c>
    </row>
    <row r="4665" spans="5:13" ht="15" customHeight="1">
      <c r="F4665" s="298"/>
      <c r="G4665" s="298"/>
      <c r="J4665" s="343"/>
    </row>
    <row r="4666" spans="5:13" ht="15" customHeight="1" thickBot="1">
      <c r="E4666" s="356" t="s">
        <v>914</v>
      </c>
      <c r="F4666" s="295" t="s">
        <v>915</v>
      </c>
      <c r="J4666" s="343"/>
      <c r="M4666" s="299">
        <f>L4684</f>
        <v>336775</v>
      </c>
    </row>
    <row r="4667" spans="5:13" ht="15" customHeight="1" thickBot="1">
      <c r="F4667" s="340" t="s">
        <v>136</v>
      </c>
      <c r="G4667" s="341" t="s">
        <v>162</v>
      </c>
      <c r="H4667" s="352" t="s">
        <v>163</v>
      </c>
      <c r="I4667" s="352" t="s">
        <v>138</v>
      </c>
      <c r="J4667" s="353" t="s">
        <v>164</v>
      </c>
      <c r="K4667" s="341" t="s">
        <v>165</v>
      </c>
      <c r="L4667" s="354" t="s">
        <v>166</v>
      </c>
    </row>
    <row r="4668" spans="5:13" ht="15" customHeight="1">
      <c r="F4668" s="300" t="s">
        <v>167</v>
      </c>
      <c r="G4668" s="301" t="s">
        <v>168</v>
      </c>
      <c r="H4668" s="302"/>
      <c r="I4668" s="302"/>
      <c r="J4668" s="351"/>
      <c r="K4668" s="328"/>
      <c r="L4668" s="310"/>
    </row>
    <row r="4669" spans="5:13" ht="15" customHeight="1">
      <c r="F4669" s="306"/>
      <c r="G4669" s="301" t="s">
        <v>169</v>
      </c>
      <c r="H4669" s="307" t="s">
        <v>170</v>
      </c>
      <c r="I4669" s="307" t="s">
        <v>171</v>
      </c>
      <c r="J4669" s="308">
        <v>1</v>
      </c>
      <c r="K4669" s="309">
        <f>VLOOKUP(G4669,Upah,8,FALSE)</f>
        <v>125000</v>
      </c>
      <c r="L4669" s="310">
        <f>J4669*K4669</f>
        <v>125000</v>
      </c>
    </row>
    <row r="4670" spans="5:13" ht="15" customHeight="1">
      <c r="F4670" s="306"/>
      <c r="G4670" s="301" t="s">
        <v>308</v>
      </c>
      <c r="H4670" s="307" t="s">
        <v>217</v>
      </c>
      <c r="I4670" s="307" t="s">
        <v>171</v>
      </c>
      <c r="J4670" s="308">
        <v>0.5</v>
      </c>
      <c r="K4670" s="309">
        <f>VLOOKUP(G4670,Upah,8,FALSE)</f>
        <v>150000</v>
      </c>
      <c r="L4670" s="310">
        <f>J4670*K4670</f>
        <v>75000</v>
      </c>
    </row>
    <row r="4671" spans="5:13" ht="15" customHeight="1">
      <c r="F4671" s="306"/>
      <c r="G4671" s="301" t="s">
        <v>232</v>
      </c>
      <c r="H4671" s="307" t="s">
        <v>175</v>
      </c>
      <c r="I4671" s="307" t="s">
        <v>171</v>
      </c>
      <c r="J4671" s="308">
        <v>0.05</v>
      </c>
      <c r="K4671" s="309">
        <f>VLOOKUP(G4671,Upah,8,FALSE)</f>
        <v>165000</v>
      </c>
      <c r="L4671" s="310">
        <f>J4671*K4671</f>
        <v>8250</v>
      </c>
    </row>
    <row r="4672" spans="5:13" ht="15" customHeight="1" thickBot="1">
      <c r="F4672" s="306"/>
      <c r="G4672" s="301" t="s">
        <v>176</v>
      </c>
      <c r="H4672" s="307" t="s">
        <v>177</v>
      </c>
      <c r="I4672" s="307" t="s">
        <v>171</v>
      </c>
      <c r="J4672" s="308">
        <v>0.05</v>
      </c>
      <c r="K4672" s="309">
        <f>VLOOKUP(G4672,Upah,8,FALSE)</f>
        <v>170000</v>
      </c>
      <c r="L4672" s="310">
        <f>J4672*K4672</f>
        <v>8500</v>
      </c>
    </row>
    <row r="4673" spans="5:13" ht="15" customHeight="1" thickBot="1">
      <c r="F4673" s="316"/>
      <c r="G4673" s="317"/>
      <c r="H4673" s="318"/>
      <c r="I4673" s="318"/>
      <c r="J4673" s="319" t="s">
        <v>178</v>
      </c>
      <c r="K4673" s="320"/>
      <c r="L4673" s="321">
        <f>SUM(L4669:L4672)</f>
        <v>216750</v>
      </c>
    </row>
    <row r="4674" spans="5:13" ht="15" customHeight="1">
      <c r="F4674" s="300" t="s">
        <v>179</v>
      </c>
      <c r="G4674" s="301" t="s">
        <v>180</v>
      </c>
      <c r="H4674" s="302"/>
      <c r="I4674" s="302"/>
      <c r="J4674" s="351"/>
      <c r="K4674" s="328"/>
      <c r="L4674" s="310"/>
    </row>
    <row r="4675" spans="5:13" ht="15" customHeight="1">
      <c r="F4675" s="306"/>
      <c r="G4675" s="301" t="s">
        <v>916</v>
      </c>
      <c r="H4675" s="302"/>
      <c r="I4675" s="307" t="s">
        <v>221</v>
      </c>
      <c r="J4675" s="308">
        <v>63</v>
      </c>
      <c r="K4675" s="328">
        <f>VLOOKUP(G4675,Bahan,6,FALSE)</f>
        <v>840</v>
      </c>
      <c r="L4675" s="310">
        <f>J4675*K4675</f>
        <v>52920</v>
      </c>
    </row>
    <row r="4676" spans="5:13" ht="15" customHeight="1">
      <c r="F4676" s="306"/>
      <c r="G4676" s="301" t="s">
        <v>183</v>
      </c>
      <c r="H4676" s="302"/>
      <c r="I4676" s="307" t="s">
        <v>45</v>
      </c>
      <c r="J4676" s="308">
        <v>12.44</v>
      </c>
      <c r="K4676" s="328">
        <f>VLOOKUP(G4676,Bahan,6,FALSE)</f>
        <v>1880</v>
      </c>
      <c r="L4676" s="310">
        <f>J4676*K4676</f>
        <v>23387.200000000001</v>
      </c>
    </row>
    <row r="4677" spans="5:13" ht="15" customHeight="1">
      <c r="F4677" s="306"/>
      <c r="G4677" s="301" t="s">
        <v>296</v>
      </c>
      <c r="H4677" s="302"/>
      <c r="I4677" s="307" t="s">
        <v>292</v>
      </c>
      <c r="J4677" s="308">
        <v>2.5000000000000001E-2</v>
      </c>
      <c r="K4677" s="328">
        <f>VLOOKUP(G4677,Bahan,6,FALSE)</f>
        <v>253510</v>
      </c>
      <c r="L4677" s="310">
        <f>J4677*K4677</f>
        <v>6337.75</v>
      </c>
    </row>
    <row r="4678" spans="5:13" ht="15" customHeight="1" thickBot="1">
      <c r="F4678" s="306"/>
      <c r="G4678" s="301" t="s">
        <v>758</v>
      </c>
      <c r="H4678" s="302"/>
      <c r="I4678" s="307" t="s">
        <v>45</v>
      </c>
      <c r="J4678" s="308">
        <v>2.75</v>
      </c>
      <c r="K4678" s="328">
        <f>VLOOKUP(G4678,Bahan,6,FALSE)</f>
        <v>2460</v>
      </c>
      <c r="L4678" s="310">
        <f>J4678*K4678</f>
        <v>6765</v>
      </c>
    </row>
    <row r="4679" spans="5:13" ht="15" customHeight="1" thickBot="1">
      <c r="F4679" s="316"/>
      <c r="G4679" s="317"/>
      <c r="H4679" s="318"/>
      <c r="I4679" s="318"/>
      <c r="J4679" s="319" t="s">
        <v>189</v>
      </c>
      <c r="K4679" s="320"/>
      <c r="L4679" s="321">
        <f>SUM(L4675:L4678)</f>
        <v>89409.95</v>
      </c>
    </row>
    <row r="4680" spans="5:13" ht="15" customHeight="1" thickBot="1">
      <c r="F4680" s="300" t="s">
        <v>190</v>
      </c>
      <c r="G4680" s="301" t="s">
        <v>191</v>
      </c>
      <c r="H4680" s="302"/>
      <c r="I4680" s="302"/>
      <c r="J4680" s="351"/>
      <c r="K4680" s="328">
        <v>0</v>
      </c>
      <c r="L4680" s="310">
        <f>J4680*K4680</f>
        <v>0</v>
      </c>
    </row>
    <row r="4681" spans="5:13" ht="15" customHeight="1" thickBot="1">
      <c r="F4681" s="316"/>
      <c r="G4681" s="317"/>
      <c r="H4681" s="318"/>
      <c r="I4681" s="318"/>
      <c r="J4681" s="319" t="s">
        <v>192</v>
      </c>
      <c r="K4681" s="320"/>
      <c r="L4681" s="321">
        <f>L4680</f>
        <v>0</v>
      </c>
    </row>
    <row r="4682" spans="5:13" ht="15" customHeight="1">
      <c r="F4682" s="344" t="s">
        <v>193</v>
      </c>
      <c r="G4682" s="345" t="s">
        <v>194</v>
      </c>
      <c r="H4682" s="346"/>
      <c r="I4682" s="346"/>
      <c r="J4682" s="347"/>
      <c r="K4682" s="348">
        <v>0</v>
      </c>
      <c r="L4682" s="310">
        <f>SUM(L4669:L4681)/2</f>
        <v>306159.95</v>
      </c>
    </row>
    <row r="4683" spans="5:13" ht="15" customHeight="1" thickBot="1">
      <c r="F4683" s="331" t="s">
        <v>195</v>
      </c>
      <c r="G4683" s="332" t="s">
        <v>196</v>
      </c>
      <c r="H4683" s="333"/>
      <c r="I4683" s="333"/>
      <c r="J4683" s="350">
        <v>0.1</v>
      </c>
      <c r="K4683" s="335"/>
      <c r="L4683" s="330">
        <f>J4683*L4682</f>
        <v>30615.995000000003</v>
      </c>
    </row>
    <row r="4684" spans="5:13" ht="15" customHeight="1" thickBot="1">
      <c r="F4684" s="340" t="s">
        <v>197</v>
      </c>
      <c r="G4684" s="341" t="s">
        <v>198</v>
      </c>
      <c r="H4684" s="318"/>
      <c r="I4684" s="318"/>
      <c r="J4684" s="342"/>
      <c r="K4684" s="320">
        <v>0</v>
      </c>
      <c r="L4684" s="321">
        <f>ROUNDDOWN(L4682+L4683,0)</f>
        <v>336775</v>
      </c>
    </row>
    <row r="4685" spans="5:13" ht="15" customHeight="1">
      <c r="F4685" s="298"/>
      <c r="G4685" s="298"/>
      <c r="J4685" s="343"/>
    </row>
    <row r="4686" spans="5:13" ht="15" customHeight="1" thickBot="1">
      <c r="E4686" s="356" t="s">
        <v>917</v>
      </c>
      <c r="F4686" s="295" t="s">
        <v>918</v>
      </c>
      <c r="J4686" s="343"/>
      <c r="M4686" s="299">
        <f>L4703</f>
        <v>314212</v>
      </c>
    </row>
    <row r="4687" spans="5:13" ht="15" customHeight="1" thickBot="1">
      <c r="F4687" s="340" t="s">
        <v>136</v>
      </c>
      <c r="G4687" s="341" t="s">
        <v>162</v>
      </c>
      <c r="H4687" s="352" t="s">
        <v>163</v>
      </c>
      <c r="I4687" s="352" t="s">
        <v>138</v>
      </c>
      <c r="J4687" s="353" t="s">
        <v>164</v>
      </c>
      <c r="K4687" s="341" t="s">
        <v>165</v>
      </c>
      <c r="L4687" s="354" t="s">
        <v>166</v>
      </c>
    </row>
    <row r="4688" spans="5:13" ht="15" customHeight="1">
      <c r="F4688" s="300" t="s">
        <v>167</v>
      </c>
      <c r="G4688" s="301" t="s">
        <v>168</v>
      </c>
      <c r="H4688" s="302"/>
      <c r="I4688" s="302"/>
      <c r="J4688" s="351"/>
      <c r="K4688" s="328"/>
      <c r="L4688" s="310"/>
    </row>
    <row r="4689" spans="6:12" ht="15" customHeight="1">
      <c r="F4689" s="306"/>
      <c r="G4689" s="301" t="s">
        <v>169</v>
      </c>
      <c r="H4689" s="307" t="s">
        <v>170</v>
      </c>
      <c r="I4689" s="307" t="s">
        <v>171</v>
      </c>
      <c r="J4689" s="308">
        <v>0.7</v>
      </c>
      <c r="K4689" s="309">
        <f>VLOOKUP(G4689,Upah,8,FALSE)</f>
        <v>125000</v>
      </c>
      <c r="L4689" s="310">
        <f>J4689*K4689</f>
        <v>87500</v>
      </c>
    </row>
    <row r="4690" spans="6:12" ht="15" customHeight="1">
      <c r="F4690" s="306"/>
      <c r="G4690" s="301" t="s">
        <v>308</v>
      </c>
      <c r="H4690" s="307" t="s">
        <v>217</v>
      </c>
      <c r="I4690" s="307" t="s">
        <v>171</v>
      </c>
      <c r="J4690" s="308">
        <v>0.35</v>
      </c>
      <c r="K4690" s="309">
        <f>VLOOKUP(G4690,Upah,8,FALSE)</f>
        <v>150000</v>
      </c>
      <c r="L4690" s="310">
        <f>J4690*K4690</f>
        <v>52500</v>
      </c>
    </row>
    <row r="4691" spans="6:12" ht="15" customHeight="1">
      <c r="F4691" s="306"/>
      <c r="G4691" s="301" t="s">
        <v>232</v>
      </c>
      <c r="H4691" s="307" t="s">
        <v>175</v>
      </c>
      <c r="I4691" s="307" t="s">
        <v>171</v>
      </c>
      <c r="J4691" s="308">
        <v>3.5000000000000003E-2</v>
      </c>
      <c r="K4691" s="309">
        <f>VLOOKUP(G4691,Upah,8,FALSE)</f>
        <v>165000</v>
      </c>
      <c r="L4691" s="310">
        <f>J4691*K4691</f>
        <v>5775.0000000000009</v>
      </c>
    </row>
    <row r="4692" spans="6:12" ht="15" customHeight="1" thickBot="1">
      <c r="F4692" s="306"/>
      <c r="G4692" s="301" t="s">
        <v>176</v>
      </c>
      <c r="H4692" s="307" t="s">
        <v>177</v>
      </c>
      <c r="I4692" s="307" t="s">
        <v>171</v>
      </c>
      <c r="J4692" s="308">
        <v>3.5000000000000003E-2</v>
      </c>
      <c r="K4692" s="309">
        <f>VLOOKUP(G4692,Upah,8,FALSE)</f>
        <v>170000</v>
      </c>
      <c r="L4692" s="310">
        <f>J4692*K4692</f>
        <v>5950.0000000000009</v>
      </c>
    </row>
    <row r="4693" spans="6:12" ht="15" customHeight="1" thickBot="1">
      <c r="F4693" s="316"/>
      <c r="G4693" s="317"/>
      <c r="H4693" s="318"/>
      <c r="I4693" s="318"/>
      <c r="J4693" s="319" t="s">
        <v>178</v>
      </c>
      <c r="K4693" s="320"/>
      <c r="L4693" s="321">
        <f>SUM(L4689:L4692)</f>
        <v>151725</v>
      </c>
    </row>
    <row r="4694" spans="6:12" ht="15" customHeight="1">
      <c r="F4694" s="300" t="s">
        <v>179</v>
      </c>
      <c r="G4694" s="301" t="s">
        <v>180</v>
      </c>
      <c r="H4694" s="302"/>
      <c r="I4694" s="302"/>
      <c r="J4694" s="351"/>
      <c r="K4694" s="328"/>
      <c r="L4694" s="310"/>
    </row>
    <row r="4695" spans="6:12" ht="15" customHeight="1">
      <c r="F4695" s="306"/>
      <c r="G4695" s="301" t="s">
        <v>919</v>
      </c>
      <c r="H4695" s="302"/>
      <c r="I4695" s="307" t="s">
        <v>221</v>
      </c>
      <c r="J4695" s="308">
        <v>1.1000000000000001</v>
      </c>
      <c r="K4695" s="328">
        <f>VLOOKUP(G4695,Bahan,6,FALSE)</f>
        <v>93600</v>
      </c>
      <c r="L4695" s="310">
        <f>J4695*K4695</f>
        <v>102960.00000000001</v>
      </c>
    </row>
    <row r="4696" spans="6:12" ht="15" customHeight="1">
      <c r="F4696" s="306"/>
      <c r="G4696" s="301" t="s">
        <v>183</v>
      </c>
      <c r="H4696" s="302"/>
      <c r="I4696" s="307" t="s">
        <v>45</v>
      </c>
      <c r="J4696" s="308">
        <v>11.75</v>
      </c>
      <c r="K4696" s="328">
        <f>VLOOKUP(G4696,Bahan,6,FALSE)</f>
        <v>1880</v>
      </c>
      <c r="L4696" s="310">
        <f>J4696*K4696</f>
        <v>22090</v>
      </c>
    </row>
    <row r="4697" spans="6:12" ht="15" customHeight="1" thickBot="1">
      <c r="F4697" s="306"/>
      <c r="G4697" s="301" t="s">
        <v>296</v>
      </c>
      <c r="H4697" s="302"/>
      <c r="I4697" s="307" t="s">
        <v>292</v>
      </c>
      <c r="J4697" s="308">
        <v>3.5000000000000003E-2</v>
      </c>
      <c r="K4697" s="328">
        <f>VLOOKUP(G4697,Bahan,6,FALSE)</f>
        <v>253510</v>
      </c>
      <c r="L4697" s="310">
        <f>J4697*K4697</f>
        <v>8872.85</v>
      </c>
    </row>
    <row r="4698" spans="6:12" ht="15" customHeight="1" thickBot="1">
      <c r="F4698" s="316"/>
      <c r="G4698" s="317"/>
      <c r="H4698" s="318"/>
      <c r="I4698" s="318"/>
      <c r="J4698" s="319" t="s">
        <v>189</v>
      </c>
      <c r="K4698" s="320"/>
      <c r="L4698" s="321">
        <f>SUM(L4695:L4697)</f>
        <v>133922.85</v>
      </c>
    </row>
    <row r="4699" spans="6:12" ht="15" customHeight="1" thickBot="1">
      <c r="F4699" s="300" t="s">
        <v>190</v>
      </c>
      <c r="G4699" s="301" t="s">
        <v>191</v>
      </c>
      <c r="H4699" s="302"/>
      <c r="I4699" s="302"/>
      <c r="J4699" s="351"/>
      <c r="K4699" s="328">
        <v>0</v>
      </c>
      <c r="L4699" s="310">
        <f>J4699*K4699</f>
        <v>0</v>
      </c>
    </row>
    <row r="4700" spans="6:12" ht="15" customHeight="1" thickBot="1">
      <c r="F4700" s="316"/>
      <c r="G4700" s="317"/>
      <c r="H4700" s="318"/>
      <c r="I4700" s="318"/>
      <c r="J4700" s="319" t="s">
        <v>192</v>
      </c>
      <c r="K4700" s="320"/>
      <c r="L4700" s="321">
        <f>L4699</f>
        <v>0</v>
      </c>
    </row>
    <row r="4701" spans="6:12" ht="15" customHeight="1">
      <c r="F4701" s="344" t="s">
        <v>193</v>
      </c>
      <c r="G4701" s="345" t="s">
        <v>194</v>
      </c>
      <c r="H4701" s="346"/>
      <c r="I4701" s="346"/>
      <c r="J4701" s="347"/>
      <c r="K4701" s="348">
        <v>0</v>
      </c>
      <c r="L4701" s="310">
        <f>SUM(L4689:L4700)/2</f>
        <v>285647.84999999998</v>
      </c>
    </row>
    <row r="4702" spans="6:12" ht="15" customHeight="1" thickBot="1">
      <c r="F4702" s="331" t="s">
        <v>195</v>
      </c>
      <c r="G4702" s="332" t="s">
        <v>196</v>
      </c>
      <c r="H4702" s="333"/>
      <c r="I4702" s="333"/>
      <c r="J4702" s="350">
        <v>0.1</v>
      </c>
      <c r="K4702" s="335"/>
      <c r="L4702" s="330">
        <f>J4702*L4701</f>
        <v>28564.785</v>
      </c>
    </row>
    <row r="4703" spans="6:12" ht="15" customHeight="1" thickBot="1">
      <c r="F4703" s="340" t="s">
        <v>197</v>
      </c>
      <c r="G4703" s="341" t="s">
        <v>198</v>
      </c>
      <c r="H4703" s="318"/>
      <c r="I4703" s="318"/>
      <c r="J4703" s="342"/>
      <c r="K4703" s="320">
        <v>0</v>
      </c>
      <c r="L4703" s="321">
        <f>ROUNDDOWN(L4701+L4702,0)</f>
        <v>314212</v>
      </c>
    </row>
    <row r="4704" spans="6:12" ht="15" customHeight="1">
      <c r="F4704" s="298"/>
      <c r="G4704" s="298"/>
      <c r="J4704" s="343"/>
    </row>
    <row r="4705" spans="5:13" ht="15" customHeight="1" thickBot="1">
      <c r="E4705" s="356" t="s">
        <v>920</v>
      </c>
      <c r="F4705" s="295" t="s">
        <v>921</v>
      </c>
      <c r="J4705" s="343"/>
      <c r="M4705" s="299">
        <f>L4722</f>
        <v>220921</v>
      </c>
    </row>
    <row r="4706" spans="5:13" ht="15" customHeight="1" thickBot="1">
      <c r="F4706" s="340" t="s">
        <v>136</v>
      </c>
      <c r="G4706" s="341" t="s">
        <v>162</v>
      </c>
      <c r="H4706" s="352" t="s">
        <v>163</v>
      </c>
      <c r="I4706" s="352" t="s">
        <v>138</v>
      </c>
      <c r="J4706" s="353" t="s">
        <v>164</v>
      </c>
      <c r="K4706" s="341" t="s">
        <v>165</v>
      </c>
      <c r="L4706" s="354" t="s">
        <v>166</v>
      </c>
    </row>
    <row r="4707" spans="5:13" ht="15" customHeight="1">
      <c r="F4707" s="300" t="s">
        <v>167</v>
      </c>
      <c r="G4707" s="301" t="s">
        <v>168</v>
      </c>
      <c r="H4707" s="302"/>
      <c r="I4707" s="302"/>
      <c r="J4707" s="351"/>
      <c r="K4707" s="328"/>
      <c r="L4707" s="310"/>
    </row>
    <row r="4708" spans="5:13" ht="15" customHeight="1">
      <c r="F4708" s="306"/>
      <c r="G4708" s="301" t="s">
        <v>169</v>
      </c>
      <c r="H4708" s="307" t="s">
        <v>170</v>
      </c>
      <c r="I4708" s="307" t="s">
        <v>171</v>
      </c>
      <c r="J4708" s="308">
        <v>0.7</v>
      </c>
      <c r="K4708" s="309">
        <f>VLOOKUP(G4708,Upah,8,FALSE)</f>
        <v>125000</v>
      </c>
      <c r="L4708" s="310">
        <f>J4708*K4708</f>
        <v>87500</v>
      </c>
    </row>
    <row r="4709" spans="5:13" ht="15" customHeight="1">
      <c r="F4709" s="306"/>
      <c r="G4709" s="301" t="s">
        <v>308</v>
      </c>
      <c r="H4709" s="307" t="s">
        <v>217</v>
      </c>
      <c r="I4709" s="307" t="s">
        <v>171</v>
      </c>
      <c r="J4709" s="308">
        <v>0.35</v>
      </c>
      <c r="K4709" s="309">
        <f>VLOOKUP(G4709,Upah,8,FALSE)</f>
        <v>150000</v>
      </c>
      <c r="L4709" s="310">
        <f>J4709*K4709</f>
        <v>52500</v>
      </c>
    </row>
    <row r="4710" spans="5:13" ht="15" customHeight="1">
      <c r="F4710" s="306"/>
      <c r="G4710" s="301" t="s">
        <v>232</v>
      </c>
      <c r="H4710" s="307" t="s">
        <v>175</v>
      </c>
      <c r="I4710" s="307" t="s">
        <v>171</v>
      </c>
      <c r="J4710" s="308">
        <v>3.5000000000000003E-2</v>
      </c>
      <c r="K4710" s="309">
        <f>VLOOKUP(G4710,Upah,8,FALSE)</f>
        <v>165000</v>
      </c>
      <c r="L4710" s="310">
        <f>J4710*K4710</f>
        <v>5775.0000000000009</v>
      </c>
    </row>
    <row r="4711" spans="5:13" ht="15" customHeight="1" thickBot="1">
      <c r="F4711" s="306"/>
      <c r="G4711" s="301" t="s">
        <v>176</v>
      </c>
      <c r="H4711" s="307" t="s">
        <v>177</v>
      </c>
      <c r="I4711" s="307" t="s">
        <v>171</v>
      </c>
      <c r="J4711" s="308">
        <v>3.5000000000000003E-2</v>
      </c>
      <c r="K4711" s="309">
        <f>VLOOKUP(G4711,Upah,8,FALSE)</f>
        <v>170000</v>
      </c>
      <c r="L4711" s="310">
        <f>J4711*K4711</f>
        <v>5950.0000000000009</v>
      </c>
    </row>
    <row r="4712" spans="5:13" ht="15" customHeight="1" thickBot="1">
      <c r="F4712" s="316"/>
      <c r="G4712" s="317"/>
      <c r="H4712" s="318"/>
      <c r="I4712" s="318"/>
      <c r="J4712" s="319" t="s">
        <v>178</v>
      </c>
      <c r="K4712" s="320"/>
      <c r="L4712" s="321">
        <f>SUM(L4708:L4711)</f>
        <v>151725</v>
      </c>
    </row>
    <row r="4713" spans="5:13" ht="15" customHeight="1">
      <c r="F4713" s="300" t="s">
        <v>179</v>
      </c>
      <c r="G4713" s="301" t="s">
        <v>180</v>
      </c>
      <c r="H4713" s="302"/>
      <c r="I4713" s="302"/>
      <c r="J4713" s="351"/>
      <c r="K4713" s="328"/>
      <c r="L4713" s="310"/>
    </row>
    <row r="4714" spans="5:13" ht="15" customHeight="1">
      <c r="F4714" s="306"/>
      <c r="G4714" s="301" t="s">
        <v>922</v>
      </c>
      <c r="H4714" s="302"/>
      <c r="I4714" s="307" t="s">
        <v>221</v>
      </c>
      <c r="J4714" s="308">
        <v>1.1000000000000001</v>
      </c>
      <c r="K4714" s="328">
        <f>VLOOKUP(G4714,Bahan,6,FALSE)</f>
        <v>16500</v>
      </c>
      <c r="L4714" s="310">
        <f>J4714*K4714</f>
        <v>18150</v>
      </c>
    </row>
    <row r="4715" spans="5:13" ht="15" customHeight="1">
      <c r="F4715" s="306"/>
      <c r="G4715" s="301" t="s">
        <v>183</v>
      </c>
      <c r="H4715" s="302"/>
      <c r="I4715" s="307" t="s">
        <v>45</v>
      </c>
      <c r="J4715" s="308">
        <v>11.75</v>
      </c>
      <c r="K4715" s="328">
        <f>VLOOKUP(G4715,Bahan,6,FALSE)</f>
        <v>1880</v>
      </c>
      <c r="L4715" s="310">
        <f>J4715*K4715</f>
        <v>22090</v>
      </c>
    </row>
    <row r="4716" spans="5:13" ht="15" customHeight="1" thickBot="1">
      <c r="F4716" s="306"/>
      <c r="G4716" s="301" t="s">
        <v>296</v>
      </c>
      <c r="H4716" s="302"/>
      <c r="I4716" s="307" t="s">
        <v>292</v>
      </c>
      <c r="J4716" s="308">
        <v>3.5000000000000003E-2</v>
      </c>
      <c r="K4716" s="328">
        <f>VLOOKUP(G4716,Bahan,6,FALSE)</f>
        <v>253510</v>
      </c>
      <c r="L4716" s="310">
        <f>J4716*K4716</f>
        <v>8872.85</v>
      </c>
    </row>
    <row r="4717" spans="5:13" ht="15" customHeight="1" thickBot="1">
      <c r="F4717" s="316"/>
      <c r="G4717" s="317"/>
      <c r="H4717" s="318"/>
      <c r="I4717" s="318"/>
      <c r="J4717" s="319" t="s">
        <v>189</v>
      </c>
      <c r="K4717" s="320"/>
      <c r="L4717" s="321">
        <f>SUM(L4714:L4716)</f>
        <v>49112.85</v>
      </c>
    </row>
    <row r="4718" spans="5:13" ht="15" customHeight="1" thickBot="1">
      <c r="F4718" s="300" t="s">
        <v>190</v>
      </c>
      <c r="G4718" s="301" t="s">
        <v>191</v>
      </c>
      <c r="H4718" s="302"/>
      <c r="I4718" s="302"/>
      <c r="J4718" s="351"/>
      <c r="K4718" s="328">
        <v>0</v>
      </c>
      <c r="L4718" s="310">
        <f>J4718*K4718</f>
        <v>0</v>
      </c>
    </row>
    <row r="4719" spans="5:13" ht="15" customHeight="1" thickBot="1">
      <c r="F4719" s="316"/>
      <c r="G4719" s="317"/>
      <c r="H4719" s="318"/>
      <c r="I4719" s="318"/>
      <c r="J4719" s="319" t="s">
        <v>192</v>
      </c>
      <c r="K4719" s="320"/>
      <c r="L4719" s="321">
        <f>L4718</f>
        <v>0</v>
      </c>
    </row>
    <row r="4720" spans="5:13" ht="15" customHeight="1">
      <c r="F4720" s="344" t="s">
        <v>193</v>
      </c>
      <c r="G4720" s="345" t="s">
        <v>194</v>
      </c>
      <c r="H4720" s="346"/>
      <c r="I4720" s="346"/>
      <c r="J4720" s="347"/>
      <c r="K4720" s="348">
        <v>0</v>
      </c>
      <c r="L4720" s="310">
        <f>SUM(L4707:L4719)/2</f>
        <v>200837.84999999998</v>
      </c>
    </row>
    <row r="4721" spans="5:13" ht="15" customHeight="1" thickBot="1">
      <c r="F4721" s="331" t="s">
        <v>195</v>
      </c>
      <c r="G4721" s="332" t="s">
        <v>196</v>
      </c>
      <c r="H4721" s="333"/>
      <c r="I4721" s="333"/>
      <c r="J4721" s="350">
        <v>0.1</v>
      </c>
      <c r="K4721" s="335"/>
      <c r="L4721" s="330">
        <f>J4721*L4720</f>
        <v>20083.785</v>
      </c>
    </row>
    <row r="4722" spans="5:13" ht="15" customHeight="1" thickBot="1">
      <c r="F4722" s="340" t="s">
        <v>197</v>
      </c>
      <c r="G4722" s="341" t="s">
        <v>198</v>
      </c>
      <c r="H4722" s="318"/>
      <c r="I4722" s="318"/>
      <c r="J4722" s="342"/>
      <c r="K4722" s="320">
        <v>0</v>
      </c>
      <c r="L4722" s="321">
        <f>ROUNDDOWN(L4720+L4721,0)</f>
        <v>220921</v>
      </c>
    </row>
    <row r="4723" spans="5:13" ht="15" customHeight="1">
      <c r="F4723" s="298"/>
      <c r="G4723" s="298"/>
      <c r="J4723" s="343"/>
    </row>
    <row r="4724" spans="5:13" ht="15" customHeight="1" thickBot="1">
      <c r="E4724" s="356" t="s">
        <v>923</v>
      </c>
      <c r="F4724" s="295" t="s">
        <v>924</v>
      </c>
      <c r="J4724" s="343"/>
      <c r="M4724" s="299">
        <f>L4740</f>
        <v>324031</v>
      </c>
    </row>
    <row r="4725" spans="5:13" ht="15" customHeight="1" thickBot="1">
      <c r="F4725" s="340" t="s">
        <v>136</v>
      </c>
      <c r="G4725" s="341" t="s">
        <v>162</v>
      </c>
      <c r="H4725" s="352" t="s">
        <v>163</v>
      </c>
      <c r="I4725" s="352" t="s">
        <v>138</v>
      </c>
      <c r="J4725" s="353" t="s">
        <v>164</v>
      </c>
      <c r="K4725" s="341" t="s">
        <v>165</v>
      </c>
      <c r="L4725" s="354" t="s">
        <v>166</v>
      </c>
    </row>
    <row r="4726" spans="5:13" ht="15" customHeight="1">
      <c r="F4726" s="300" t="s">
        <v>167</v>
      </c>
      <c r="G4726" s="301" t="s">
        <v>168</v>
      </c>
      <c r="H4726" s="302"/>
      <c r="I4726" s="302"/>
      <c r="J4726" s="351"/>
      <c r="K4726" s="328"/>
      <c r="L4726" s="310"/>
    </row>
    <row r="4727" spans="5:13" ht="15" customHeight="1">
      <c r="F4727" s="306"/>
      <c r="G4727" s="301" t="s">
        <v>169</v>
      </c>
      <c r="H4727" s="307" t="s">
        <v>170</v>
      </c>
      <c r="I4727" s="307" t="s">
        <v>171</v>
      </c>
      <c r="J4727" s="308">
        <v>0.15</v>
      </c>
      <c r="K4727" s="309">
        <f>VLOOKUP(G4727,Upah,8,FALSE)</f>
        <v>125000</v>
      </c>
      <c r="L4727" s="310">
        <f>J4727*K4727</f>
        <v>18750</v>
      </c>
    </row>
    <row r="4728" spans="5:13" ht="15" customHeight="1">
      <c r="F4728" s="306"/>
      <c r="G4728" s="301" t="s">
        <v>308</v>
      </c>
      <c r="H4728" s="307" t="s">
        <v>217</v>
      </c>
      <c r="I4728" s="307" t="s">
        <v>171</v>
      </c>
      <c r="J4728" s="308">
        <v>0.15</v>
      </c>
      <c r="K4728" s="309">
        <f>VLOOKUP(G4728,Upah,8,FALSE)</f>
        <v>150000</v>
      </c>
      <c r="L4728" s="310">
        <f>J4728*K4728</f>
        <v>22500</v>
      </c>
    </row>
    <row r="4729" spans="5:13" ht="15" customHeight="1">
      <c r="F4729" s="306"/>
      <c r="G4729" s="301" t="s">
        <v>232</v>
      </c>
      <c r="H4729" s="307" t="s">
        <v>175</v>
      </c>
      <c r="I4729" s="307" t="s">
        <v>171</v>
      </c>
      <c r="J4729" s="308">
        <v>1.4999999999999999E-2</v>
      </c>
      <c r="K4729" s="309">
        <f>VLOOKUP(G4729,Upah,8,FALSE)</f>
        <v>165000</v>
      </c>
      <c r="L4729" s="310">
        <f>J4729*K4729</f>
        <v>2475</v>
      </c>
    </row>
    <row r="4730" spans="5:13" ht="15" customHeight="1" thickBot="1">
      <c r="F4730" s="306"/>
      <c r="G4730" s="301" t="s">
        <v>176</v>
      </c>
      <c r="H4730" s="307" t="s">
        <v>177</v>
      </c>
      <c r="I4730" s="307" t="s">
        <v>171</v>
      </c>
      <c r="J4730" s="308">
        <v>8.0000000000000002E-3</v>
      </c>
      <c r="K4730" s="309">
        <f>VLOOKUP(G4730,Upah,8,FALSE)</f>
        <v>170000</v>
      </c>
      <c r="L4730" s="310">
        <f>J4730*K4730</f>
        <v>1360</v>
      </c>
    </row>
    <row r="4731" spans="5:13" ht="15" customHeight="1" thickBot="1">
      <c r="F4731" s="316"/>
      <c r="G4731" s="317"/>
      <c r="H4731" s="318"/>
      <c r="I4731" s="318"/>
      <c r="J4731" s="319" t="s">
        <v>178</v>
      </c>
      <c r="K4731" s="320"/>
      <c r="L4731" s="321">
        <f>SUM(L4727:L4730)</f>
        <v>45085</v>
      </c>
    </row>
    <row r="4732" spans="5:13" ht="15" customHeight="1">
      <c r="F4732" s="300" t="s">
        <v>179</v>
      </c>
      <c r="G4732" s="301" t="s">
        <v>180</v>
      </c>
      <c r="H4732" s="302"/>
      <c r="I4732" s="302"/>
      <c r="J4732" s="351"/>
      <c r="K4732" s="328"/>
      <c r="L4732" s="310"/>
    </row>
    <row r="4733" spans="5:13" ht="15" customHeight="1">
      <c r="F4733" s="306"/>
      <c r="G4733" s="301" t="s">
        <v>925</v>
      </c>
      <c r="H4733" s="302"/>
      <c r="I4733" s="307" t="s">
        <v>221</v>
      </c>
      <c r="J4733" s="308">
        <v>11.87</v>
      </c>
      <c r="K4733" s="328">
        <f>VLOOKUP(G4733,Bahan,6,FALSE)</f>
        <v>20570</v>
      </c>
      <c r="L4733" s="310">
        <f>J4733*K4733</f>
        <v>244165.9</v>
      </c>
    </row>
    <row r="4734" spans="5:13" ht="15" customHeight="1" thickBot="1">
      <c r="F4734" s="306"/>
      <c r="G4734" s="301" t="s">
        <v>880</v>
      </c>
      <c r="H4734" s="302"/>
      <c r="I4734" s="307" t="s">
        <v>45</v>
      </c>
      <c r="J4734" s="308">
        <v>0.35</v>
      </c>
      <c r="K4734" s="328">
        <f>VLOOKUP(G4734,Bahan,6,FALSE)</f>
        <v>15210</v>
      </c>
      <c r="L4734" s="310">
        <f>J4734*K4734</f>
        <v>5323.5</v>
      </c>
    </row>
    <row r="4735" spans="5:13" ht="15" customHeight="1" thickBot="1">
      <c r="F4735" s="316"/>
      <c r="G4735" s="317"/>
      <c r="H4735" s="318"/>
      <c r="I4735" s="318"/>
      <c r="J4735" s="319" t="s">
        <v>189</v>
      </c>
      <c r="K4735" s="320"/>
      <c r="L4735" s="321">
        <f>SUM(L4733:L4734)</f>
        <v>249489.4</v>
      </c>
    </row>
    <row r="4736" spans="5:13" ht="15" customHeight="1" thickBot="1">
      <c r="F4736" s="300" t="s">
        <v>190</v>
      </c>
      <c r="G4736" s="301" t="s">
        <v>191</v>
      </c>
      <c r="H4736" s="302"/>
      <c r="I4736" s="302"/>
      <c r="J4736" s="351"/>
      <c r="K4736" s="328">
        <v>0</v>
      </c>
      <c r="L4736" s="310">
        <f>J4736*K4736</f>
        <v>0</v>
      </c>
    </row>
    <row r="4737" spans="5:13" ht="15" customHeight="1" thickBot="1">
      <c r="F4737" s="316"/>
      <c r="G4737" s="317"/>
      <c r="H4737" s="318"/>
      <c r="I4737" s="318"/>
      <c r="J4737" s="319" t="s">
        <v>192</v>
      </c>
      <c r="K4737" s="320"/>
      <c r="L4737" s="321">
        <f>L4736</f>
        <v>0</v>
      </c>
    </row>
    <row r="4738" spans="5:13" ht="15" customHeight="1">
      <c r="F4738" s="344" t="s">
        <v>193</v>
      </c>
      <c r="G4738" s="345" t="s">
        <v>194</v>
      </c>
      <c r="H4738" s="346"/>
      <c r="I4738" s="346"/>
      <c r="J4738" s="347"/>
      <c r="K4738" s="348">
        <v>0</v>
      </c>
      <c r="L4738" s="310">
        <f>SUM(L4727:L4737)/2</f>
        <v>294574.40000000002</v>
      </c>
    </row>
    <row r="4739" spans="5:13" ht="15" customHeight="1" thickBot="1">
      <c r="F4739" s="331" t="s">
        <v>195</v>
      </c>
      <c r="G4739" s="332" t="s">
        <v>196</v>
      </c>
      <c r="H4739" s="333"/>
      <c r="I4739" s="333"/>
      <c r="J4739" s="350">
        <v>0.1</v>
      </c>
      <c r="K4739" s="335"/>
      <c r="L4739" s="330">
        <f>J4739*L4738</f>
        <v>29457.440000000002</v>
      </c>
    </row>
    <row r="4740" spans="5:13" ht="15" customHeight="1" thickBot="1">
      <c r="F4740" s="340" t="s">
        <v>197</v>
      </c>
      <c r="G4740" s="341" t="s">
        <v>198</v>
      </c>
      <c r="H4740" s="318"/>
      <c r="I4740" s="318"/>
      <c r="J4740" s="342"/>
      <c r="K4740" s="320">
        <v>0</v>
      </c>
      <c r="L4740" s="321">
        <f>ROUNDDOWN(L4738+L4739,0)</f>
        <v>324031</v>
      </c>
    </row>
    <row r="4741" spans="5:13" ht="15" customHeight="1">
      <c r="F4741" s="298"/>
      <c r="G4741" s="298"/>
      <c r="J4741" s="343"/>
    </row>
    <row r="4742" spans="5:13" ht="15" customHeight="1" thickBot="1">
      <c r="E4742" s="356" t="s">
        <v>926</v>
      </c>
      <c r="F4742" s="295" t="s">
        <v>927</v>
      </c>
      <c r="J4742" s="343"/>
      <c r="M4742" s="299">
        <f>L4758</f>
        <v>146198</v>
      </c>
    </row>
    <row r="4743" spans="5:13" ht="15" customHeight="1" thickBot="1">
      <c r="F4743" s="340" t="s">
        <v>136</v>
      </c>
      <c r="G4743" s="341" t="s">
        <v>162</v>
      </c>
      <c r="H4743" s="352" t="s">
        <v>163</v>
      </c>
      <c r="I4743" s="352" t="s">
        <v>138</v>
      </c>
      <c r="J4743" s="353" t="s">
        <v>164</v>
      </c>
      <c r="K4743" s="341" t="s">
        <v>165</v>
      </c>
      <c r="L4743" s="354" t="s">
        <v>166</v>
      </c>
    </row>
    <row r="4744" spans="5:13" ht="15" customHeight="1">
      <c r="F4744" s="300" t="s">
        <v>167</v>
      </c>
      <c r="G4744" s="301" t="s">
        <v>168</v>
      </c>
      <c r="H4744" s="302"/>
      <c r="I4744" s="302"/>
      <c r="J4744" s="351"/>
      <c r="K4744" s="328"/>
      <c r="L4744" s="310"/>
    </row>
    <row r="4745" spans="5:13" ht="15" customHeight="1">
      <c r="F4745" s="306"/>
      <c r="G4745" s="301" t="s">
        <v>169</v>
      </c>
      <c r="H4745" s="307" t="s">
        <v>170</v>
      </c>
      <c r="I4745" s="307" t="s">
        <v>171</v>
      </c>
      <c r="J4745" s="308">
        <v>0.35</v>
      </c>
      <c r="K4745" s="309">
        <f>VLOOKUP(G4745,Upah,8,FALSE)</f>
        <v>125000</v>
      </c>
      <c r="L4745" s="310">
        <f>J4745*K4745</f>
        <v>43750</v>
      </c>
    </row>
    <row r="4746" spans="5:13" ht="15" customHeight="1">
      <c r="F4746" s="306"/>
      <c r="G4746" s="301" t="s">
        <v>308</v>
      </c>
      <c r="H4746" s="307" t="s">
        <v>217</v>
      </c>
      <c r="I4746" s="307" t="s">
        <v>171</v>
      </c>
      <c r="J4746" s="308">
        <v>0.17499999999999999</v>
      </c>
      <c r="K4746" s="309">
        <f>VLOOKUP(G4746,Upah,8,FALSE)</f>
        <v>150000</v>
      </c>
      <c r="L4746" s="310">
        <f>J4746*K4746</f>
        <v>26250</v>
      </c>
    </row>
    <row r="4747" spans="5:13" ht="15" customHeight="1">
      <c r="F4747" s="306"/>
      <c r="G4747" s="301" t="s">
        <v>232</v>
      </c>
      <c r="H4747" s="307" t="s">
        <v>175</v>
      </c>
      <c r="I4747" s="307" t="s">
        <v>171</v>
      </c>
      <c r="J4747" s="308">
        <v>1.7000000000000001E-2</v>
      </c>
      <c r="K4747" s="309">
        <f>VLOOKUP(G4747,Upah,8,FALSE)</f>
        <v>165000</v>
      </c>
      <c r="L4747" s="310">
        <f>J4747*K4747</f>
        <v>2805</v>
      </c>
    </row>
    <row r="4748" spans="5:13" ht="15" customHeight="1" thickBot="1">
      <c r="F4748" s="306"/>
      <c r="G4748" s="301" t="s">
        <v>176</v>
      </c>
      <c r="H4748" s="307" t="s">
        <v>177</v>
      </c>
      <c r="I4748" s="307" t="s">
        <v>171</v>
      </c>
      <c r="J4748" s="308">
        <v>2E-3</v>
      </c>
      <c r="K4748" s="309">
        <f>VLOOKUP(G4748,Upah,8,FALSE)</f>
        <v>170000</v>
      </c>
      <c r="L4748" s="310">
        <f>J4748*K4748</f>
        <v>340</v>
      </c>
    </row>
    <row r="4749" spans="5:13" ht="15" customHeight="1" thickBot="1">
      <c r="F4749" s="316"/>
      <c r="G4749" s="317"/>
      <c r="H4749" s="318"/>
      <c r="I4749" s="318"/>
      <c r="J4749" s="319" t="s">
        <v>178</v>
      </c>
      <c r="K4749" s="320"/>
      <c r="L4749" s="321">
        <f>SUM(L4745:L4748)</f>
        <v>73145</v>
      </c>
    </row>
    <row r="4750" spans="5:13" ht="15" customHeight="1">
      <c r="F4750" s="300" t="s">
        <v>179</v>
      </c>
      <c r="G4750" s="301" t="s">
        <v>180</v>
      </c>
      <c r="H4750" s="302"/>
      <c r="I4750" s="302"/>
      <c r="J4750" s="351"/>
      <c r="K4750" s="328"/>
      <c r="L4750" s="310"/>
    </row>
    <row r="4751" spans="5:13" ht="15" customHeight="1">
      <c r="F4751" s="306"/>
      <c r="G4751" s="301" t="s">
        <v>928</v>
      </c>
      <c r="H4751" s="302"/>
      <c r="I4751" s="307" t="s">
        <v>33</v>
      </c>
      <c r="J4751" s="308">
        <v>2.2000000000000002</v>
      </c>
      <c r="K4751" s="328">
        <f>VLOOKUP(G4751,Bahan,6,FALSE)</f>
        <v>25000</v>
      </c>
      <c r="L4751" s="310">
        <f>J4751*K4751</f>
        <v>55000.000000000007</v>
      </c>
    </row>
    <row r="4752" spans="5:13" ht="15" customHeight="1" thickBot="1">
      <c r="F4752" s="306"/>
      <c r="G4752" s="301" t="s">
        <v>929</v>
      </c>
      <c r="H4752" s="302"/>
      <c r="I4752" s="307" t="s">
        <v>45</v>
      </c>
      <c r="J4752" s="308">
        <v>0.25</v>
      </c>
      <c r="K4752" s="328">
        <f>VLOOKUP(G4752,Bahan,6,FALSE)</f>
        <v>19050</v>
      </c>
      <c r="L4752" s="310">
        <f>J4752*K4752</f>
        <v>4762.5</v>
      </c>
    </row>
    <row r="4753" spans="5:13" ht="15" customHeight="1" thickBot="1">
      <c r="F4753" s="316"/>
      <c r="G4753" s="317"/>
      <c r="H4753" s="318"/>
      <c r="I4753" s="318"/>
      <c r="J4753" s="319" t="s">
        <v>189</v>
      </c>
      <c r="K4753" s="320"/>
      <c r="L4753" s="321">
        <f>SUM(L4751:L4752)</f>
        <v>59762.500000000007</v>
      </c>
    </row>
    <row r="4754" spans="5:13" ht="15" customHeight="1" thickBot="1">
      <c r="F4754" s="300" t="s">
        <v>190</v>
      </c>
      <c r="G4754" s="301" t="s">
        <v>191</v>
      </c>
      <c r="H4754" s="302"/>
      <c r="I4754" s="302"/>
      <c r="J4754" s="351"/>
      <c r="K4754" s="328">
        <v>0</v>
      </c>
      <c r="L4754" s="310">
        <f>J4754*K4754</f>
        <v>0</v>
      </c>
    </row>
    <row r="4755" spans="5:13" ht="15" customHeight="1" thickBot="1">
      <c r="F4755" s="316"/>
      <c r="G4755" s="317"/>
      <c r="H4755" s="318"/>
      <c r="I4755" s="318"/>
      <c r="J4755" s="319" t="s">
        <v>192</v>
      </c>
      <c r="K4755" s="320"/>
      <c r="L4755" s="321">
        <f>L4754</f>
        <v>0</v>
      </c>
    </row>
    <row r="4756" spans="5:13" ht="15" customHeight="1">
      <c r="F4756" s="344" t="s">
        <v>193</v>
      </c>
      <c r="G4756" s="345" t="s">
        <v>194</v>
      </c>
      <c r="H4756" s="346"/>
      <c r="I4756" s="346"/>
      <c r="J4756" s="347"/>
      <c r="K4756" s="348">
        <v>0</v>
      </c>
      <c r="L4756" s="310">
        <f>SUM(L4745:L4755)/2</f>
        <v>132907.5</v>
      </c>
    </row>
    <row r="4757" spans="5:13" ht="15" customHeight="1" thickBot="1">
      <c r="F4757" s="331" t="s">
        <v>195</v>
      </c>
      <c r="G4757" s="332" t="s">
        <v>196</v>
      </c>
      <c r="H4757" s="333"/>
      <c r="I4757" s="333"/>
      <c r="J4757" s="350">
        <v>0.1</v>
      </c>
      <c r="K4757" s="335"/>
      <c r="L4757" s="330">
        <f>J4757*L4756</f>
        <v>13290.75</v>
      </c>
    </row>
    <row r="4758" spans="5:13" ht="15" customHeight="1" thickBot="1">
      <c r="F4758" s="340" t="s">
        <v>197</v>
      </c>
      <c r="G4758" s="341" t="s">
        <v>198</v>
      </c>
      <c r="H4758" s="318"/>
      <c r="I4758" s="318"/>
      <c r="J4758" s="342"/>
      <c r="K4758" s="320">
        <v>0</v>
      </c>
      <c r="L4758" s="321">
        <f>ROUNDDOWN(L4756+L4757,0)</f>
        <v>146198</v>
      </c>
    </row>
    <row r="4759" spans="5:13" ht="15" customHeight="1">
      <c r="F4759" s="298"/>
      <c r="G4759" s="298"/>
      <c r="J4759" s="343"/>
    </row>
    <row r="4760" spans="5:13" ht="15" customHeight="1" thickBot="1">
      <c r="E4760" s="356" t="s">
        <v>930</v>
      </c>
      <c r="F4760" s="295" t="s">
        <v>931</v>
      </c>
      <c r="J4760" s="343"/>
      <c r="M4760" s="299">
        <f>L4775</f>
        <v>63360</v>
      </c>
    </row>
    <row r="4761" spans="5:13" ht="15" customHeight="1" thickBot="1">
      <c r="F4761" s="340" t="s">
        <v>136</v>
      </c>
      <c r="G4761" s="341" t="s">
        <v>162</v>
      </c>
      <c r="H4761" s="352" t="s">
        <v>163</v>
      </c>
      <c r="I4761" s="352" t="s">
        <v>138</v>
      </c>
      <c r="J4761" s="353" t="s">
        <v>164</v>
      </c>
      <c r="K4761" s="341" t="s">
        <v>165</v>
      </c>
      <c r="L4761" s="354" t="s">
        <v>166</v>
      </c>
    </row>
    <row r="4762" spans="5:13" ht="15" customHeight="1">
      <c r="F4762" s="300" t="s">
        <v>167</v>
      </c>
      <c r="G4762" s="301" t="s">
        <v>168</v>
      </c>
      <c r="H4762" s="302"/>
      <c r="I4762" s="302"/>
      <c r="J4762" s="351"/>
      <c r="K4762" s="328"/>
      <c r="L4762" s="310"/>
    </row>
    <row r="4763" spans="5:13" ht="15" customHeight="1">
      <c r="F4763" s="306"/>
      <c r="G4763" s="301" t="s">
        <v>169</v>
      </c>
      <c r="H4763" s="307" t="s">
        <v>170</v>
      </c>
      <c r="I4763" s="307" t="s">
        <v>171</v>
      </c>
      <c r="J4763" s="308">
        <v>0.12</v>
      </c>
      <c r="K4763" s="309">
        <f>VLOOKUP(G4763,Upah,8,FALSE)</f>
        <v>125000</v>
      </c>
      <c r="L4763" s="310">
        <f>J4763*K4763</f>
        <v>15000</v>
      </c>
    </row>
    <row r="4764" spans="5:13" ht="15" customHeight="1">
      <c r="F4764" s="306"/>
      <c r="G4764" s="301" t="s">
        <v>308</v>
      </c>
      <c r="H4764" s="307" t="s">
        <v>217</v>
      </c>
      <c r="I4764" s="307" t="s">
        <v>171</v>
      </c>
      <c r="J4764" s="308">
        <v>0.12</v>
      </c>
      <c r="K4764" s="309">
        <f>VLOOKUP(G4764,Upah,8,FALSE)</f>
        <v>150000</v>
      </c>
      <c r="L4764" s="310">
        <f>J4764*K4764</f>
        <v>18000</v>
      </c>
    </row>
    <row r="4765" spans="5:13" ht="15" customHeight="1">
      <c r="F4765" s="306"/>
      <c r="G4765" s="301" t="s">
        <v>232</v>
      </c>
      <c r="H4765" s="307" t="s">
        <v>175</v>
      </c>
      <c r="I4765" s="307" t="s">
        <v>171</v>
      </c>
      <c r="J4765" s="308">
        <v>1.2E-2</v>
      </c>
      <c r="K4765" s="309">
        <f>VLOOKUP(G4765,Upah,8,FALSE)</f>
        <v>165000</v>
      </c>
      <c r="L4765" s="310">
        <f>J4765*K4765</f>
        <v>1980</v>
      </c>
    </row>
    <row r="4766" spans="5:13" ht="15" customHeight="1" thickBot="1">
      <c r="F4766" s="306"/>
      <c r="G4766" s="301" t="s">
        <v>176</v>
      </c>
      <c r="H4766" s="307" t="s">
        <v>177</v>
      </c>
      <c r="I4766" s="307" t="s">
        <v>171</v>
      </c>
      <c r="J4766" s="308">
        <v>6.0000000000000001E-3</v>
      </c>
      <c r="K4766" s="309">
        <f>VLOOKUP(G4766,Upah,8,FALSE)</f>
        <v>170000</v>
      </c>
      <c r="L4766" s="310">
        <f>J4766*K4766</f>
        <v>1020</v>
      </c>
    </row>
    <row r="4767" spans="5:13" ht="15" customHeight="1" thickBot="1">
      <c r="F4767" s="316"/>
      <c r="G4767" s="317"/>
      <c r="H4767" s="318"/>
      <c r="I4767" s="318"/>
      <c r="J4767" s="319" t="s">
        <v>178</v>
      </c>
      <c r="K4767" s="320"/>
      <c r="L4767" s="321">
        <f>SUM(L4763:L4766)</f>
        <v>36000</v>
      </c>
    </row>
    <row r="4768" spans="5:13" ht="15" customHeight="1">
      <c r="F4768" s="300" t="s">
        <v>179</v>
      </c>
      <c r="G4768" s="301" t="s">
        <v>180</v>
      </c>
      <c r="H4768" s="302"/>
      <c r="I4768" s="302"/>
      <c r="J4768" s="351"/>
      <c r="K4768" s="328"/>
      <c r="L4768" s="310"/>
    </row>
    <row r="4769" spans="5:13" ht="15" customHeight="1" thickBot="1">
      <c r="F4769" s="306"/>
      <c r="G4769" s="301" t="s">
        <v>932</v>
      </c>
      <c r="H4769" s="302"/>
      <c r="I4769" s="307" t="s">
        <v>45</v>
      </c>
      <c r="J4769" s="308">
        <v>5</v>
      </c>
      <c r="K4769" s="328">
        <f>VLOOKUP(G4769,Bahan,6,FALSE)</f>
        <v>4320</v>
      </c>
      <c r="L4769" s="310">
        <f>J4769*K4769</f>
        <v>21600</v>
      </c>
    </row>
    <row r="4770" spans="5:13" ht="15" customHeight="1" thickBot="1">
      <c r="F4770" s="316"/>
      <c r="G4770" s="317"/>
      <c r="H4770" s="318"/>
      <c r="I4770" s="318"/>
      <c r="J4770" s="319" t="s">
        <v>189</v>
      </c>
      <c r="K4770" s="320"/>
      <c r="L4770" s="321">
        <f>SUM(L4768:L4769)</f>
        <v>21600</v>
      </c>
    </row>
    <row r="4771" spans="5:13" ht="15" customHeight="1" thickBot="1">
      <c r="F4771" s="300" t="s">
        <v>190</v>
      </c>
      <c r="G4771" s="301" t="s">
        <v>191</v>
      </c>
      <c r="H4771" s="302"/>
      <c r="I4771" s="302"/>
      <c r="J4771" s="351"/>
      <c r="K4771" s="328">
        <v>0</v>
      </c>
      <c r="L4771" s="310">
        <f>J4771*K4771</f>
        <v>0</v>
      </c>
    </row>
    <row r="4772" spans="5:13" ht="15" customHeight="1" thickBot="1">
      <c r="F4772" s="316"/>
      <c r="G4772" s="317"/>
      <c r="H4772" s="318"/>
      <c r="I4772" s="318"/>
      <c r="J4772" s="319" t="s">
        <v>192</v>
      </c>
      <c r="K4772" s="320"/>
      <c r="L4772" s="321">
        <f>L4771</f>
        <v>0</v>
      </c>
    </row>
    <row r="4773" spans="5:13" ht="15" customHeight="1">
      <c r="F4773" s="344" t="s">
        <v>193</v>
      </c>
      <c r="G4773" s="345" t="s">
        <v>194</v>
      </c>
      <c r="H4773" s="346"/>
      <c r="I4773" s="346"/>
      <c r="J4773" s="347"/>
      <c r="K4773" s="348">
        <v>0</v>
      </c>
      <c r="L4773" s="310">
        <f>SUM(L4762:L4772)/2</f>
        <v>57600</v>
      </c>
    </row>
    <row r="4774" spans="5:13" ht="15" customHeight="1" thickBot="1">
      <c r="F4774" s="331" t="s">
        <v>195</v>
      </c>
      <c r="G4774" s="332" t="s">
        <v>196</v>
      </c>
      <c r="H4774" s="333"/>
      <c r="I4774" s="333"/>
      <c r="J4774" s="350">
        <v>0.1</v>
      </c>
      <c r="K4774" s="335"/>
      <c r="L4774" s="330">
        <f>J4774*L4773</f>
        <v>5760</v>
      </c>
    </row>
    <row r="4775" spans="5:13" ht="15" customHeight="1" thickBot="1">
      <c r="F4775" s="340" t="s">
        <v>197</v>
      </c>
      <c r="G4775" s="341" t="s">
        <v>198</v>
      </c>
      <c r="H4775" s="318"/>
      <c r="I4775" s="318"/>
      <c r="J4775" s="342"/>
      <c r="K4775" s="320">
        <v>0</v>
      </c>
      <c r="L4775" s="321">
        <f>ROUNDDOWN(L4773+L4774,0)</f>
        <v>63360</v>
      </c>
    </row>
    <row r="4776" spans="5:13" ht="15" customHeight="1">
      <c r="F4776" s="298"/>
      <c r="G4776" s="298"/>
      <c r="J4776" s="343"/>
    </row>
    <row r="4777" spans="5:13" ht="15" customHeight="1" thickBot="1">
      <c r="E4777" s="356" t="s">
        <v>933</v>
      </c>
      <c r="F4777" s="295" t="s">
        <v>934</v>
      </c>
      <c r="J4777" s="343"/>
      <c r="M4777" s="299">
        <f>L4793</f>
        <v>83398</v>
      </c>
    </row>
    <row r="4778" spans="5:13" ht="15" customHeight="1" thickBot="1">
      <c r="F4778" s="340" t="s">
        <v>136</v>
      </c>
      <c r="G4778" s="341" t="s">
        <v>162</v>
      </c>
      <c r="H4778" s="352" t="s">
        <v>163</v>
      </c>
      <c r="I4778" s="352" t="s">
        <v>138</v>
      </c>
      <c r="J4778" s="353" t="s">
        <v>164</v>
      </c>
      <c r="K4778" s="341" t="s">
        <v>165</v>
      </c>
      <c r="L4778" s="354" t="s">
        <v>166</v>
      </c>
    </row>
    <row r="4779" spans="5:13" ht="15" customHeight="1">
      <c r="F4779" s="300" t="s">
        <v>167</v>
      </c>
      <c r="G4779" s="301" t="s">
        <v>168</v>
      </c>
      <c r="H4779" s="302"/>
      <c r="I4779" s="302"/>
      <c r="J4779" s="351"/>
      <c r="K4779" s="328"/>
      <c r="L4779" s="310"/>
    </row>
    <row r="4780" spans="5:13" ht="15" customHeight="1">
      <c r="F4780" s="306"/>
      <c r="G4780" s="301" t="s">
        <v>169</v>
      </c>
      <c r="H4780" s="307" t="s">
        <v>170</v>
      </c>
      <c r="I4780" s="307" t="s">
        <v>171</v>
      </c>
      <c r="J4780" s="308">
        <v>0.08</v>
      </c>
      <c r="K4780" s="309">
        <f>VLOOKUP(G4780,Upah,8,FALSE)</f>
        <v>125000</v>
      </c>
      <c r="L4780" s="310">
        <f>J4780*K4780</f>
        <v>10000</v>
      </c>
    </row>
    <row r="4781" spans="5:13" ht="15" customHeight="1">
      <c r="F4781" s="306"/>
      <c r="G4781" s="301" t="s">
        <v>308</v>
      </c>
      <c r="H4781" s="307" t="s">
        <v>217</v>
      </c>
      <c r="I4781" s="307" t="s">
        <v>171</v>
      </c>
      <c r="J4781" s="308">
        <v>0.08</v>
      </c>
      <c r="K4781" s="309">
        <f>VLOOKUP(G4781,Upah,8,FALSE)</f>
        <v>150000</v>
      </c>
      <c r="L4781" s="310">
        <f>J4781*K4781</f>
        <v>12000</v>
      </c>
    </row>
    <row r="4782" spans="5:13" ht="15" customHeight="1">
      <c r="F4782" s="306"/>
      <c r="G4782" s="301" t="s">
        <v>232</v>
      </c>
      <c r="H4782" s="307" t="s">
        <v>175</v>
      </c>
      <c r="I4782" s="307" t="s">
        <v>171</v>
      </c>
      <c r="J4782" s="308">
        <v>8.0000000000000002E-3</v>
      </c>
      <c r="K4782" s="309">
        <f>VLOOKUP(G4782,Upah,8,FALSE)</f>
        <v>165000</v>
      </c>
      <c r="L4782" s="310">
        <f>J4782*K4782</f>
        <v>1320</v>
      </c>
    </row>
    <row r="4783" spans="5:13" ht="15" customHeight="1" thickBot="1">
      <c r="F4783" s="306"/>
      <c r="G4783" s="301" t="s">
        <v>176</v>
      </c>
      <c r="H4783" s="307" t="s">
        <v>177</v>
      </c>
      <c r="I4783" s="307" t="s">
        <v>171</v>
      </c>
      <c r="J4783" s="308">
        <v>4.0000000000000001E-3</v>
      </c>
      <c r="K4783" s="309">
        <f>VLOOKUP(G4783,Upah,8,FALSE)</f>
        <v>170000</v>
      </c>
      <c r="L4783" s="310">
        <f>J4783*K4783</f>
        <v>680</v>
      </c>
    </row>
    <row r="4784" spans="5:13" ht="15" customHeight="1" thickBot="1">
      <c r="F4784" s="316"/>
      <c r="G4784" s="317"/>
      <c r="H4784" s="318"/>
      <c r="I4784" s="318"/>
      <c r="J4784" s="319" t="s">
        <v>178</v>
      </c>
      <c r="K4784" s="320"/>
      <c r="L4784" s="321">
        <f>SUM(L4780:L4783)</f>
        <v>24000</v>
      </c>
    </row>
    <row r="4785" spans="5:13" ht="15" customHeight="1">
      <c r="F4785" s="300" t="s">
        <v>179</v>
      </c>
      <c r="G4785" s="301" t="s">
        <v>180</v>
      </c>
      <c r="H4785" s="302"/>
      <c r="I4785" s="302"/>
      <c r="J4785" s="351"/>
      <c r="K4785" s="328"/>
      <c r="L4785" s="310"/>
    </row>
    <row r="4786" spans="5:13" ht="15" customHeight="1">
      <c r="F4786" s="306"/>
      <c r="G4786" s="301" t="s">
        <v>935</v>
      </c>
      <c r="H4786" s="302"/>
      <c r="I4786" s="307" t="s">
        <v>221</v>
      </c>
      <c r="J4786" s="308">
        <v>1.76</v>
      </c>
      <c r="K4786" s="328">
        <f>VLOOKUP(G4786,Bahan,6,FALSE)</f>
        <v>28750</v>
      </c>
      <c r="L4786" s="310">
        <f>J4786*K4786</f>
        <v>50600</v>
      </c>
    </row>
    <row r="4787" spans="5:13" ht="15" customHeight="1" thickBot="1">
      <c r="F4787" s="306"/>
      <c r="G4787" s="301" t="s">
        <v>880</v>
      </c>
      <c r="H4787" s="302"/>
      <c r="I4787" s="307" t="s">
        <v>45</v>
      </c>
      <c r="J4787" s="308">
        <v>0.08</v>
      </c>
      <c r="K4787" s="328">
        <f>VLOOKUP(G4787,Bahan,6,FALSE)</f>
        <v>15210</v>
      </c>
      <c r="L4787" s="310">
        <f>J4787*K4787</f>
        <v>1216.8</v>
      </c>
    </row>
    <row r="4788" spans="5:13" ht="15" customHeight="1" thickBot="1">
      <c r="F4788" s="316"/>
      <c r="G4788" s="317"/>
      <c r="H4788" s="318"/>
      <c r="I4788" s="318"/>
      <c r="J4788" s="319" t="s">
        <v>189</v>
      </c>
      <c r="K4788" s="320"/>
      <c r="L4788" s="321">
        <f>SUM(L4786:L4787)</f>
        <v>51816.800000000003</v>
      </c>
    </row>
    <row r="4789" spans="5:13" ht="15" customHeight="1" thickBot="1">
      <c r="F4789" s="300" t="s">
        <v>190</v>
      </c>
      <c r="G4789" s="301" t="s">
        <v>191</v>
      </c>
      <c r="H4789" s="302"/>
      <c r="I4789" s="302"/>
      <c r="J4789" s="351"/>
      <c r="K4789" s="328">
        <v>0</v>
      </c>
      <c r="L4789" s="310">
        <f>J4789*K4789</f>
        <v>0</v>
      </c>
    </row>
    <row r="4790" spans="5:13" ht="15" customHeight="1" thickBot="1">
      <c r="F4790" s="316"/>
      <c r="G4790" s="317"/>
      <c r="H4790" s="318"/>
      <c r="I4790" s="318"/>
      <c r="J4790" s="319" t="s">
        <v>192</v>
      </c>
      <c r="K4790" s="320"/>
      <c r="L4790" s="321">
        <f>L4789</f>
        <v>0</v>
      </c>
    </row>
    <row r="4791" spans="5:13" ht="15" customHeight="1">
      <c r="F4791" s="344" t="s">
        <v>193</v>
      </c>
      <c r="G4791" s="345" t="s">
        <v>194</v>
      </c>
      <c r="H4791" s="346"/>
      <c r="I4791" s="346"/>
      <c r="J4791" s="347"/>
      <c r="K4791" s="348">
        <v>0</v>
      </c>
      <c r="L4791" s="310">
        <f>SUM(L4780:L4790)/2</f>
        <v>75816.800000000003</v>
      </c>
    </row>
    <row r="4792" spans="5:13" ht="15" customHeight="1" thickBot="1">
      <c r="F4792" s="331" t="s">
        <v>195</v>
      </c>
      <c r="G4792" s="332" t="s">
        <v>196</v>
      </c>
      <c r="H4792" s="333"/>
      <c r="I4792" s="333"/>
      <c r="J4792" s="350">
        <v>0.1</v>
      </c>
      <c r="K4792" s="335"/>
      <c r="L4792" s="330">
        <f>J4792*L4791</f>
        <v>7581.68</v>
      </c>
    </row>
    <row r="4793" spans="5:13" ht="15" customHeight="1" thickBot="1">
      <c r="F4793" s="340" t="s">
        <v>197</v>
      </c>
      <c r="G4793" s="341" t="s">
        <v>198</v>
      </c>
      <c r="H4793" s="318"/>
      <c r="I4793" s="318"/>
      <c r="J4793" s="342"/>
      <c r="K4793" s="320">
        <v>0</v>
      </c>
      <c r="L4793" s="321">
        <f>ROUNDDOWN(L4791+L4792,0)</f>
        <v>83398</v>
      </c>
    </row>
    <row r="4794" spans="5:13" ht="15" customHeight="1">
      <c r="F4794" s="298"/>
      <c r="G4794" s="298"/>
      <c r="J4794" s="343"/>
    </row>
    <row r="4795" spans="5:13" ht="15" customHeight="1" thickBot="1">
      <c r="E4795" s="356" t="s">
        <v>936</v>
      </c>
      <c r="F4795" s="295" t="s">
        <v>937</v>
      </c>
      <c r="J4795" s="343"/>
      <c r="M4795" s="299">
        <f>L4811</f>
        <v>64091</v>
      </c>
    </row>
    <row r="4796" spans="5:13" ht="15" customHeight="1" thickBot="1">
      <c r="F4796" s="340" t="s">
        <v>136</v>
      </c>
      <c r="G4796" s="341" t="s">
        <v>162</v>
      </c>
      <c r="H4796" s="352" t="s">
        <v>163</v>
      </c>
      <c r="I4796" s="352" t="s">
        <v>138</v>
      </c>
      <c r="J4796" s="353" t="s">
        <v>164</v>
      </c>
      <c r="K4796" s="341" t="s">
        <v>165</v>
      </c>
      <c r="L4796" s="354" t="s">
        <v>166</v>
      </c>
    </row>
    <row r="4797" spans="5:13" ht="15" customHeight="1">
      <c r="F4797" s="300" t="s">
        <v>167</v>
      </c>
      <c r="G4797" s="301" t="s">
        <v>168</v>
      </c>
      <c r="H4797" s="302"/>
      <c r="I4797" s="302"/>
      <c r="J4797" s="351"/>
      <c r="K4797" s="328"/>
      <c r="L4797" s="310"/>
    </row>
    <row r="4798" spans="5:13" ht="15" customHeight="1">
      <c r="F4798" s="306"/>
      <c r="G4798" s="301" t="s">
        <v>169</v>
      </c>
      <c r="H4798" s="307" t="s">
        <v>170</v>
      </c>
      <c r="I4798" s="307" t="s">
        <v>171</v>
      </c>
      <c r="J4798" s="308">
        <v>0.12</v>
      </c>
      <c r="K4798" s="309">
        <f>VLOOKUP(G4798,Upah,8,FALSE)</f>
        <v>125000</v>
      </c>
      <c r="L4798" s="310">
        <f>J4798*K4798</f>
        <v>15000</v>
      </c>
    </row>
    <row r="4799" spans="5:13" ht="15" customHeight="1">
      <c r="F4799" s="306"/>
      <c r="G4799" s="301" t="s">
        <v>308</v>
      </c>
      <c r="H4799" s="307" t="s">
        <v>217</v>
      </c>
      <c r="I4799" s="307" t="s">
        <v>171</v>
      </c>
      <c r="J4799" s="308">
        <v>0.12</v>
      </c>
      <c r="K4799" s="309">
        <f>VLOOKUP(G4799,Upah,8,FALSE)</f>
        <v>150000</v>
      </c>
      <c r="L4799" s="310">
        <f>J4799*K4799</f>
        <v>18000</v>
      </c>
    </row>
    <row r="4800" spans="5:13" ht="15" customHeight="1">
      <c r="F4800" s="306"/>
      <c r="G4800" s="301" t="s">
        <v>232</v>
      </c>
      <c r="H4800" s="307" t="s">
        <v>175</v>
      </c>
      <c r="I4800" s="307" t="s">
        <v>171</v>
      </c>
      <c r="J4800" s="308">
        <v>1.2E-2</v>
      </c>
      <c r="K4800" s="309">
        <f>VLOOKUP(G4800,Upah,8,FALSE)</f>
        <v>165000</v>
      </c>
      <c r="L4800" s="310">
        <f>J4800*K4800</f>
        <v>1980</v>
      </c>
    </row>
    <row r="4801" spans="5:13" ht="15" customHeight="1" thickBot="1">
      <c r="F4801" s="306"/>
      <c r="G4801" s="301" t="s">
        <v>176</v>
      </c>
      <c r="H4801" s="307" t="s">
        <v>177</v>
      </c>
      <c r="I4801" s="307" t="s">
        <v>171</v>
      </c>
      <c r="J4801" s="308">
        <v>6.0000000000000001E-3</v>
      </c>
      <c r="K4801" s="309">
        <f>VLOOKUP(G4801,Upah,8,FALSE)</f>
        <v>170000</v>
      </c>
      <c r="L4801" s="310">
        <f>J4801*K4801</f>
        <v>1020</v>
      </c>
    </row>
    <row r="4802" spans="5:13" ht="15" customHeight="1" thickBot="1">
      <c r="F4802" s="316"/>
      <c r="G4802" s="317"/>
      <c r="H4802" s="318"/>
      <c r="I4802" s="318"/>
      <c r="J4802" s="319" t="s">
        <v>178</v>
      </c>
      <c r="K4802" s="320"/>
      <c r="L4802" s="321">
        <f>SUM(L4798:L4801)</f>
        <v>36000</v>
      </c>
    </row>
    <row r="4803" spans="5:13" ht="15" customHeight="1">
      <c r="F4803" s="300" t="s">
        <v>179</v>
      </c>
      <c r="G4803" s="301" t="s">
        <v>180</v>
      </c>
      <c r="H4803" s="302"/>
      <c r="I4803" s="302"/>
      <c r="J4803" s="351"/>
      <c r="K4803" s="328"/>
      <c r="L4803" s="310"/>
    </row>
    <row r="4804" spans="5:13" ht="15" customHeight="1">
      <c r="F4804" s="306"/>
      <c r="G4804" s="301" t="s">
        <v>938</v>
      </c>
      <c r="H4804" s="302"/>
      <c r="I4804" s="307" t="s">
        <v>292</v>
      </c>
      <c r="J4804" s="308">
        <v>3.0000000000000001E-3</v>
      </c>
      <c r="K4804" s="328">
        <f>VLOOKUP(G4804,Bahan,6,FALSE)</f>
        <v>7407750</v>
      </c>
      <c r="L4804" s="310">
        <f>J4804*K4804</f>
        <v>22223.25</v>
      </c>
    </row>
    <row r="4805" spans="5:13" ht="15" customHeight="1" thickBot="1">
      <c r="F4805" s="306"/>
      <c r="G4805" s="301" t="s">
        <v>586</v>
      </c>
      <c r="H4805" s="302"/>
      <c r="I4805" s="307" t="s">
        <v>45</v>
      </c>
      <c r="J4805" s="308">
        <v>0.05</v>
      </c>
      <c r="K4805" s="328">
        <f>VLOOKUP(G4805,Bahan,6,FALSE)</f>
        <v>840</v>
      </c>
      <c r="L4805" s="310">
        <f>J4805*K4805</f>
        <v>42</v>
      </c>
    </row>
    <row r="4806" spans="5:13" ht="15" customHeight="1" thickBot="1">
      <c r="F4806" s="316"/>
      <c r="G4806" s="317"/>
      <c r="H4806" s="318"/>
      <c r="I4806" s="318"/>
      <c r="J4806" s="319" t="s">
        <v>189</v>
      </c>
      <c r="K4806" s="320"/>
      <c r="L4806" s="321">
        <f>SUM(L4804:L4805)</f>
        <v>22265.25</v>
      </c>
    </row>
    <row r="4807" spans="5:13" ht="15" customHeight="1" thickBot="1">
      <c r="F4807" s="300" t="s">
        <v>190</v>
      </c>
      <c r="G4807" s="301" t="s">
        <v>191</v>
      </c>
      <c r="H4807" s="302"/>
      <c r="I4807" s="302"/>
      <c r="J4807" s="351"/>
      <c r="K4807" s="328">
        <v>0</v>
      </c>
      <c r="L4807" s="310">
        <f>J4807*K4807</f>
        <v>0</v>
      </c>
    </row>
    <row r="4808" spans="5:13" ht="15" customHeight="1" thickBot="1">
      <c r="F4808" s="316"/>
      <c r="G4808" s="317"/>
      <c r="H4808" s="318"/>
      <c r="I4808" s="318"/>
      <c r="J4808" s="319" t="s">
        <v>192</v>
      </c>
      <c r="K4808" s="320"/>
      <c r="L4808" s="321">
        <f>L4807</f>
        <v>0</v>
      </c>
    </row>
    <row r="4809" spans="5:13" ht="15" customHeight="1">
      <c r="F4809" s="344" t="s">
        <v>193</v>
      </c>
      <c r="G4809" s="345" t="s">
        <v>194</v>
      </c>
      <c r="H4809" s="346"/>
      <c r="I4809" s="346"/>
      <c r="J4809" s="347"/>
      <c r="K4809" s="348">
        <v>0</v>
      </c>
      <c r="L4809" s="310">
        <f>SUM(L4798:L4808)/2</f>
        <v>58265.25</v>
      </c>
    </row>
    <row r="4810" spans="5:13" ht="15" customHeight="1" thickBot="1">
      <c r="F4810" s="331" t="s">
        <v>195</v>
      </c>
      <c r="G4810" s="332" t="s">
        <v>196</v>
      </c>
      <c r="H4810" s="333"/>
      <c r="I4810" s="333"/>
      <c r="J4810" s="350">
        <v>0.1</v>
      </c>
      <c r="K4810" s="335"/>
      <c r="L4810" s="330">
        <f>J4810*L4809</f>
        <v>5826.5250000000005</v>
      </c>
    </row>
    <row r="4811" spans="5:13" ht="15" customHeight="1" thickBot="1">
      <c r="F4811" s="340" t="s">
        <v>197</v>
      </c>
      <c r="G4811" s="341" t="s">
        <v>198</v>
      </c>
      <c r="H4811" s="318"/>
      <c r="I4811" s="318"/>
      <c r="J4811" s="342"/>
      <c r="K4811" s="320">
        <v>0</v>
      </c>
      <c r="L4811" s="321">
        <f>ROUNDDOWN(L4809+L4810,0)</f>
        <v>64091</v>
      </c>
    </row>
    <row r="4812" spans="5:13" ht="15" customHeight="1">
      <c r="F4812" s="298"/>
      <c r="G4812" s="298"/>
      <c r="J4812" s="343"/>
    </row>
    <row r="4813" spans="5:13" ht="15" customHeight="1" thickBot="1">
      <c r="E4813" s="297" t="s">
        <v>939</v>
      </c>
      <c r="F4813" s="295" t="s">
        <v>940</v>
      </c>
      <c r="G4813" s="298"/>
      <c r="J4813" s="343"/>
      <c r="M4813" s="299">
        <f>L4830</f>
        <v>291536</v>
      </c>
    </row>
    <row r="4814" spans="5:13" ht="15" customHeight="1" thickBot="1">
      <c r="F4814" s="340" t="s">
        <v>136</v>
      </c>
      <c r="G4814" s="341" t="s">
        <v>162</v>
      </c>
      <c r="H4814" s="352" t="s">
        <v>163</v>
      </c>
      <c r="I4814" s="352" t="s">
        <v>138</v>
      </c>
      <c r="J4814" s="353" t="s">
        <v>164</v>
      </c>
      <c r="K4814" s="341" t="s">
        <v>165</v>
      </c>
      <c r="L4814" s="354" t="s">
        <v>166</v>
      </c>
    </row>
    <row r="4815" spans="5:13" ht="15" customHeight="1">
      <c r="F4815" s="322" t="s">
        <v>167</v>
      </c>
      <c r="G4815" s="323" t="s">
        <v>168</v>
      </c>
      <c r="H4815" s="324"/>
      <c r="I4815" s="324"/>
      <c r="J4815" s="325"/>
      <c r="K4815" s="326"/>
      <c r="L4815" s="327"/>
    </row>
    <row r="4816" spans="5:13" ht="15" customHeight="1">
      <c r="F4816" s="306"/>
      <c r="G4816" s="301" t="s">
        <v>169</v>
      </c>
      <c r="H4816" s="307" t="s">
        <v>170</v>
      </c>
      <c r="I4816" s="307" t="s">
        <v>171</v>
      </c>
      <c r="J4816" s="402">
        <v>0.25</v>
      </c>
      <c r="K4816" s="309">
        <f>VLOOKUP(G4816,Upah,8,FALSE)</f>
        <v>125000</v>
      </c>
      <c r="L4816" s="310">
        <f>J4816*K4816</f>
        <v>31250</v>
      </c>
    </row>
    <row r="4817" spans="5:13" ht="15" customHeight="1">
      <c r="F4817" s="306"/>
      <c r="G4817" s="301" t="s">
        <v>172</v>
      </c>
      <c r="H4817" s="307" t="s">
        <v>173</v>
      </c>
      <c r="I4817" s="307" t="s">
        <v>171</v>
      </c>
      <c r="J4817" s="402">
        <v>0.25</v>
      </c>
      <c r="K4817" s="309">
        <f>VLOOKUP(G4817,Upah,8,FALSE)</f>
        <v>150000</v>
      </c>
      <c r="L4817" s="310">
        <f>J4817*K4817</f>
        <v>37500</v>
      </c>
    </row>
    <row r="4818" spans="5:13" ht="15" customHeight="1">
      <c r="F4818" s="306"/>
      <c r="G4818" s="301" t="s">
        <v>232</v>
      </c>
      <c r="H4818" s="307" t="s">
        <v>175</v>
      </c>
      <c r="I4818" s="307" t="s">
        <v>171</v>
      </c>
      <c r="J4818" s="402">
        <v>2.5000000000000001E-2</v>
      </c>
      <c r="K4818" s="309">
        <f>VLOOKUP(G4818,Upah,8,FALSE)</f>
        <v>165000</v>
      </c>
      <c r="L4818" s="310">
        <f>J4818*K4818</f>
        <v>4125</v>
      </c>
    </row>
    <row r="4819" spans="5:13" ht="15" customHeight="1" thickBot="1">
      <c r="F4819" s="311"/>
      <c r="G4819" s="312" t="s">
        <v>176</v>
      </c>
      <c r="H4819" s="313" t="s">
        <v>177</v>
      </c>
      <c r="I4819" s="313" t="s">
        <v>171</v>
      </c>
      <c r="J4819" s="403">
        <v>2.5000000000000001E-3</v>
      </c>
      <c r="K4819" s="309">
        <f>VLOOKUP(G4819,Upah,8,FALSE)</f>
        <v>170000</v>
      </c>
      <c r="L4819" s="330">
        <f>J4819*K4819</f>
        <v>425</v>
      </c>
    </row>
    <row r="4820" spans="5:13" ht="15" customHeight="1" thickBot="1">
      <c r="F4820" s="316"/>
      <c r="G4820" s="317"/>
      <c r="H4820" s="318"/>
      <c r="I4820" s="318"/>
      <c r="J4820" s="319" t="s">
        <v>178</v>
      </c>
      <c r="K4820" s="320"/>
      <c r="L4820" s="321">
        <f>SUM(L4816:L4819)</f>
        <v>73300</v>
      </c>
    </row>
    <row r="4821" spans="5:13" ht="15" customHeight="1">
      <c r="F4821" s="322" t="s">
        <v>179</v>
      </c>
      <c r="G4821" s="323" t="s">
        <v>180</v>
      </c>
      <c r="H4821" s="324"/>
      <c r="I4821" s="324"/>
      <c r="J4821" s="325"/>
      <c r="K4821" s="326"/>
      <c r="L4821" s="327"/>
    </row>
    <row r="4822" spans="5:13" ht="15" customHeight="1">
      <c r="F4822" s="306"/>
      <c r="G4822" s="404" t="s">
        <v>941</v>
      </c>
      <c r="H4822" s="302"/>
      <c r="I4822" s="370" t="s">
        <v>2074</v>
      </c>
      <c r="J4822" s="308">
        <v>1.01</v>
      </c>
      <c r="K4822" s="328">
        <f>VLOOKUP(G4822,Bahan,6,FALSE)</f>
        <v>155250</v>
      </c>
      <c r="L4822" s="310">
        <f>J4822*K4822</f>
        <v>156802.5</v>
      </c>
    </row>
    <row r="4823" spans="5:13" ht="15" customHeight="1" thickBot="1">
      <c r="F4823" s="311"/>
      <c r="G4823" s="376" t="s">
        <v>1700</v>
      </c>
      <c r="H4823" s="329"/>
      <c r="I4823" s="374" t="s">
        <v>2075</v>
      </c>
      <c r="J4823" s="314">
        <v>0.05</v>
      </c>
      <c r="K4823" s="328">
        <f>VLOOKUP(G4823,Bahan,6,FALSE)</f>
        <v>350000</v>
      </c>
      <c r="L4823" s="330">
        <f>J4823*K4823</f>
        <v>17500</v>
      </c>
    </row>
    <row r="4824" spans="5:13" ht="15" customHeight="1" thickBot="1">
      <c r="F4824" s="316"/>
      <c r="G4824" s="317"/>
      <c r="H4824" s="318"/>
      <c r="I4824" s="318"/>
      <c r="J4824" s="319" t="s">
        <v>189</v>
      </c>
      <c r="K4824" s="320"/>
      <c r="L4824" s="321">
        <f>SUM(L4822:L4823)</f>
        <v>174302.5</v>
      </c>
    </row>
    <row r="4825" spans="5:13" ht="15" customHeight="1">
      <c r="F4825" s="322" t="s">
        <v>190</v>
      </c>
      <c r="G4825" s="323" t="s">
        <v>191</v>
      </c>
      <c r="H4825" s="324"/>
      <c r="I4825" s="324"/>
      <c r="J4825" s="325"/>
      <c r="K4825" s="326">
        <v>0</v>
      </c>
      <c r="L4825" s="327"/>
    </row>
    <row r="4826" spans="5:13" ht="15" customHeight="1" thickBot="1">
      <c r="F4826" s="337"/>
      <c r="G4826" s="312" t="s">
        <v>942</v>
      </c>
      <c r="H4826" s="329"/>
      <c r="I4826" s="329" t="s">
        <v>943</v>
      </c>
      <c r="J4826" s="425">
        <v>0.1</v>
      </c>
      <c r="K4826" s="339">
        <f>L4824</f>
        <v>174302.5</v>
      </c>
      <c r="L4826" s="330">
        <f>J4826*K4826</f>
        <v>17430.25</v>
      </c>
    </row>
    <row r="4827" spans="5:13" ht="15" customHeight="1" thickBot="1">
      <c r="F4827" s="316"/>
      <c r="G4827" s="317"/>
      <c r="H4827" s="318"/>
      <c r="I4827" s="318"/>
      <c r="J4827" s="319" t="s">
        <v>192</v>
      </c>
      <c r="K4827" s="320"/>
      <c r="L4827" s="321">
        <f>L4826</f>
        <v>17430.25</v>
      </c>
    </row>
    <row r="4828" spans="5:13" ht="15" customHeight="1">
      <c r="F4828" s="322" t="s">
        <v>193</v>
      </c>
      <c r="G4828" s="323" t="s">
        <v>194</v>
      </c>
      <c r="H4828" s="324"/>
      <c r="I4828" s="324"/>
      <c r="J4828" s="325"/>
      <c r="K4828" s="326">
        <v>0</v>
      </c>
      <c r="L4828" s="327">
        <f>SUM(L4816:L4827)/2</f>
        <v>265032.75</v>
      </c>
    </row>
    <row r="4829" spans="5:13" ht="15" customHeight="1">
      <c r="F4829" s="300" t="s">
        <v>195</v>
      </c>
      <c r="G4829" s="301" t="s">
        <v>196</v>
      </c>
      <c r="H4829" s="302"/>
      <c r="I4829" s="302"/>
      <c r="J4829" s="426">
        <v>0.1</v>
      </c>
      <c r="K4829" s="328"/>
      <c r="L4829" s="310">
        <f>J4829*L4828</f>
        <v>26503.275000000001</v>
      </c>
    </row>
    <row r="4830" spans="5:13" ht="15" customHeight="1" thickBot="1">
      <c r="F4830" s="427" t="s">
        <v>197</v>
      </c>
      <c r="G4830" s="363" t="s">
        <v>198</v>
      </c>
      <c r="H4830" s="364"/>
      <c r="I4830" s="364"/>
      <c r="J4830" s="428"/>
      <c r="K4830" s="413">
        <v>0</v>
      </c>
      <c r="L4830" s="367">
        <f>ROUNDDOWN(L4828+L4829,0)</f>
        <v>291536</v>
      </c>
    </row>
    <row r="4831" spans="5:13" ht="15" customHeight="1">
      <c r="G4831" s="298"/>
      <c r="J4831" s="343"/>
    </row>
    <row r="4832" spans="5:13" ht="15" customHeight="1" thickBot="1">
      <c r="E4832" s="387" t="s">
        <v>944</v>
      </c>
      <c r="F4832" s="295" t="s">
        <v>945</v>
      </c>
      <c r="G4832" s="298"/>
      <c r="J4832" s="343"/>
      <c r="M4832" s="299">
        <f>L4849</f>
        <v>115041</v>
      </c>
    </row>
    <row r="4833" spans="6:12" ht="15" customHeight="1" thickBot="1">
      <c r="F4833" s="340" t="s">
        <v>136</v>
      </c>
      <c r="G4833" s="341" t="s">
        <v>162</v>
      </c>
      <c r="H4833" s="352" t="s">
        <v>163</v>
      </c>
      <c r="I4833" s="352" t="s">
        <v>138</v>
      </c>
      <c r="J4833" s="353" t="s">
        <v>164</v>
      </c>
      <c r="K4833" s="341" t="s">
        <v>165</v>
      </c>
      <c r="L4833" s="354" t="s">
        <v>166</v>
      </c>
    </row>
    <row r="4834" spans="6:12" ht="15" customHeight="1">
      <c r="F4834" s="322" t="s">
        <v>167</v>
      </c>
      <c r="G4834" s="323" t="s">
        <v>168</v>
      </c>
      <c r="H4834" s="324"/>
      <c r="I4834" s="324"/>
      <c r="J4834" s="325"/>
      <c r="K4834" s="326"/>
      <c r="L4834" s="327"/>
    </row>
    <row r="4835" spans="6:12" ht="15" customHeight="1">
      <c r="F4835" s="306"/>
      <c r="G4835" s="301" t="s">
        <v>169</v>
      </c>
      <c r="H4835" s="307" t="s">
        <v>170</v>
      </c>
      <c r="I4835" s="307" t="s">
        <v>171</v>
      </c>
      <c r="J4835" s="402">
        <v>0.25</v>
      </c>
      <c r="K4835" s="309">
        <f>VLOOKUP(G4835,Upah,8,FALSE)</f>
        <v>125000</v>
      </c>
      <c r="L4835" s="310">
        <f>J4835*K4835</f>
        <v>31250</v>
      </c>
    </row>
    <row r="4836" spans="6:12" ht="15" customHeight="1">
      <c r="F4836" s="306"/>
      <c r="G4836" s="301" t="s">
        <v>172</v>
      </c>
      <c r="H4836" s="307" t="s">
        <v>173</v>
      </c>
      <c r="I4836" s="307" t="s">
        <v>171</v>
      </c>
      <c r="J4836" s="402">
        <v>0.25</v>
      </c>
      <c r="K4836" s="309">
        <f>VLOOKUP(G4836,Upah,8,FALSE)</f>
        <v>150000</v>
      </c>
      <c r="L4836" s="310">
        <f>J4836*K4836</f>
        <v>37500</v>
      </c>
    </row>
    <row r="4837" spans="6:12" ht="15" customHeight="1">
      <c r="F4837" s="306"/>
      <c r="G4837" s="301" t="s">
        <v>232</v>
      </c>
      <c r="H4837" s="307" t="s">
        <v>175</v>
      </c>
      <c r="I4837" s="307" t="s">
        <v>171</v>
      </c>
      <c r="J4837" s="402">
        <v>2.5000000000000001E-2</v>
      </c>
      <c r="K4837" s="309">
        <f>VLOOKUP(G4837,Upah,8,FALSE)</f>
        <v>165000</v>
      </c>
      <c r="L4837" s="310">
        <f>J4837*K4837</f>
        <v>4125</v>
      </c>
    </row>
    <row r="4838" spans="6:12" ht="15" customHeight="1" thickBot="1">
      <c r="F4838" s="311"/>
      <c r="G4838" s="312" t="s">
        <v>176</v>
      </c>
      <c r="H4838" s="313" t="s">
        <v>177</v>
      </c>
      <c r="I4838" s="313" t="s">
        <v>171</v>
      </c>
      <c r="J4838" s="403">
        <v>2.5000000000000001E-3</v>
      </c>
      <c r="K4838" s="309">
        <f>VLOOKUP(G4838,Upah,8,FALSE)</f>
        <v>170000</v>
      </c>
      <c r="L4838" s="330">
        <f>J4838*K4838</f>
        <v>425</v>
      </c>
    </row>
    <row r="4839" spans="6:12" ht="15" customHeight="1" thickBot="1">
      <c r="F4839" s="316"/>
      <c r="G4839" s="317"/>
      <c r="H4839" s="318"/>
      <c r="I4839" s="318"/>
      <c r="J4839" s="319" t="s">
        <v>178</v>
      </c>
      <c r="K4839" s="320"/>
      <c r="L4839" s="321">
        <f>SUM(L4835:L4838)</f>
        <v>73300</v>
      </c>
    </row>
    <row r="4840" spans="6:12" ht="15" customHeight="1">
      <c r="F4840" s="322" t="s">
        <v>179</v>
      </c>
      <c r="G4840" s="323" t="s">
        <v>180</v>
      </c>
      <c r="H4840" s="324"/>
      <c r="I4840" s="324"/>
      <c r="J4840" s="325"/>
      <c r="K4840" s="326"/>
      <c r="L4840" s="327"/>
    </row>
    <row r="4841" spans="6:12" ht="15" customHeight="1">
      <c r="F4841" s="306"/>
      <c r="G4841" s="404" t="s">
        <v>946</v>
      </c>
      <c r="H4841" s="302"/>
      <c r="I4841" s="370" t="s">
        <v>2074</v>
      </c>
      <c r="J4841" s="371">
        <v>1.01</v>
      </c>
      <c r="K4841" s="328">
        <f>VLOOKUP(G4841,Bahan,6,FALSE)</f>
        <v>3900</v>
      </c>
      <c r="L4841" s="310">
        <f>J4841*K4841</f>
        <v>3939</v>
      </c>
    </row>
    <row r="4842" spans="6:12" ht="15" customHeight="1" thickBot="1">
      <c r="F4842" s="311"/>
      <c r="G4842" s="376" t="s">
        <v>1700</v>
      </c>
      <c r="H4842" s="329"/>
      <c r="I4842" s="374" t="s">
        <v>2075</v>
      </c>
      <c r="J4842" s="375">
        <v>7.0000000000000007E-2</v>
      </c>
      <c r="K4842" s="328">
        <f>VLOOKUP(G4842,Bahan,6,FALSE)</f>
        <v>350000</v>
      </c>
      <c r="L4842" s="330">
        <f>J4842*K4842</f>
        <v>24500.000000000004</v>
      </c>
    </row>
    <row r="4843" spans="6:12" ht="15" customHeight="1" thickBot="1">
      <c r="F4843" s="316"/>
      <c r="G4843" s="317"/>
      <c r="H4843" s="318"/>
      <c r="I4843" s="318"/>
      <c r="J4843" s="319" t="s">
        <v>189</v>
      </c>
      <c r="K4843" s="320"/>
      <c r="L4843" s="321">
        <f>SUM(L4841:L4842)</f>
        <v>28439.000000000004</v>
      </c>
    </row>
    <row r="4844" spans="6:12" ht="15" customHeight="1">
      <c r="F4844" s="322" t="s">
        <v>190</v>
      </c>
      <c r="G4844" s="323" t="s">
        <v>191</v>
      </c>
      <c r="H4844" s="324"/>
      <c r="I4844" s="324"/>
      <c r="J4844" s="325"/>
      <c r="K4844" s="326">
        <v>0</v>
      </c>
      <c r="L4844" s="327"/>
    </row>
    <row r="4845" spans="6:12" ht="15" customHeight="1" thickBot="1">
      <c r="F4845" s="337"/>
      <c r="G4845" s="312" t="s">
        <v>942</v>
      </c>
      <c r="H4845" s="329"/>
      <c r="I4845" s="329" t="s">
        <v>943</v>
      </c>
      <c r="J4845" s="425">
        <v>0.1</v>
      </c>
      <c r="K4845" s="339">
        <f>L4843</f>
        <v>28439.000000000004</v>
      </c>
      <c r="L4845" s="330">
        <f>J4845*K4845</f>
        <v>2843.9000000000005</v>
      </c>
    </row>
    <row r="4846" spans="6:12" ht="15" customHeight="1" thickBot="1">
      <c r="F4846" s="316"/>
      <c r="G4846" s="317"/>
      <c r="H4846" s="318"/>
      <c r="I4846" s="318"/>
      <c r="J4846" s="319" t="s">
        <v>192</v>
      </c>
      <c r="K4846" s="320"/>
      <c r="L4846" s="321">
        <f>L4845</f>
        <v>2843.9000000000005</v>
      </c>
    </row>
    <row r="4847" spans="6:12" ht="15" customHeight="1">
      <c r="F4847" s="322" t="s">
        <v>193</v>
      </c>
      <c r="G4847" s="323" t="s">
        <v>194</v>
      </c>
      <c r="H4847" s="324"/>
      <c r="I4847" s="324"/>
      <c r="J4847" s="325"/>
      <c r="K4847" s="326">
        <v>0</v>
      </c>
      <c r="L4847" s="327">
        <f>SUM(L4835:L4846)/2</f>
        <v>104582.9</v>
      </c>
    </row>
    <row r="4848" spans="6:12" ht="15" customHeight="1">
      <c r="F4848" s="300" t="s">
        <v>195</v>
      </c>
      <c r="G4848" s="301" t="s">
        <v>196</v>
      </c>
      <c r="H4848" s="302"/>
      <c r="I4848" s="302"/>
      <c r="J4848" s="426">
        <v>0.1</v>
      </c>
      <c r="K4848" s="328"/>
      <c r="L4848" s="310">
        <f>J4848*L4847</f>
        <v>10458.290000000001</v>
      </c>
    </row>
    <row r="4849" spans="5:13" ht="15" customHeight="1" thickBot="1">
      <c r="F4849" s="427" t="s">
        <v>197</v>
      </c>
      <c r="G4849" s="363" t="s">
        <v>198</v>
      </c>
      <c r="H4849" s="364"/>
      <c r="I4849" s="364"/>
      <c r="J4849" s="428"/>
      <c r="K4849" s="413">
        <v>0</v>
      </c>
      <c r="L4849" s="367">
        <f>ROUNDDOWN(L4847+L4848,0)</f>
        <v>115041</v>
      </c>
    </row>
    <row r="4850" spans="5:13" ht="15" customHeight="1">
      <c r="G4850" s="298"/>
      <c r="J4850" s="343"/>
    </row>
    <row r="4851" spans="5:13" ht="15" customHeight="1" thickBot="1">
      <c r="E4851" s="387" t="s">
        <v>947</v>
      </c>
      <c r="F4851" s="295" t="s">
        <v>948</v>
      </c>
      <c r="G4851" s="298"/>
      <c r="J4851" s="343"/>
      <c r="M4851" s="299">
        <f>L4868</f>
        <v>303573</v>
      </c>
    </row>
    <row r="4852" spans="5:13" ht="15" customHeight="1" thickBot="1">
      <c r="F4852" s="340" t="s">
        <v>136</v>
      </c>
      <c r="G4852" s="341" t="s">
        <v>162</v>
      </c>
      <c r="H4852" s="352" t="s">
        <v>163</v>
      </c>
      <c r="I4852" s="352" t="s">
        <v>138</v>
      </c>
      <c r="J4852" s="353" t="s">
        <v>164</v>
      </c>
      <c r="K4852" s="341" t="s">
        <v>165</v>
      </c>
      <c r="L4852" s="354" t="s">
        <v>166</v>
      </c>
    </row>
    <row r="4853" spans="5:13" ht="15" customHeight="1">
      <c r="F4853" s="300" t="s">
        <v>167</v>
      </c>
      <c r="G4853" s="301" t="s">
        <v>168</v>
      </c>
      <c r="H4853" s="302"/>
      <c r="I4853" s="302"/>
      <c r="J4853" s="351"/>
      <c r="K4853" s="328"/>
      <c r="L4853" s="310"/>
    </row>
    <row r="4854" spans="5:13" ht="15" customHeight="1">
      <c r="F4854" s="306"/>
      <c r="G4854" s="301" t="s">
        <v>169</v>
      </c>
      <c r="H4854" s="307" t="s">
        <v>170</v>
      </c>
      <c r="I4854" s="307" t="s">
        <v>171</v>
      </c>
      <c r="J4854" s="402">
        <v>0.25</v>
      </c>
      <c r="K4854" s="309">
        <f>VLOOKUP(G4854,Upah,8,FALSE)</f>
        <v>125000</v>
      </c>
      <c r="L4854" s="310">
        <f>J4854*K4854</f>
        <v>31250</v>
      </c>
    </row>
    <row r="4855" spans="5:13" ht="15" customHeight="1">
      <c r="F4855" s="306"/>
      <c r="G4855" s="301" t="s">
        <v>172</v>
      </c>
      <c r="H4855" s="307" t="s">
        <v>173</v>
      </c>
      <c r="I4855" s="307" t="s">
        <v>171</v>
      </c>
      <c r="J4855" s="402">
        <v>0.25</v>
      </c>
      <c r="K4855" s="309">
        <f>VLOOKUP(G4855,Upah,8,FALSE)</f>
        <v>150000</v>
      </c>
      <c r="L4855" s="310">
        <f>J4855*K4855</f>
        <v>37500</v>
      </c>
    </row>
    <row r="4856" spans="5:13" ht="15" customHeight="1">
      <c r="F4856" s="306"/>
      <c r="G4856" s="301" t="s">
        <v>232</v>
      </c>
      <c r="H4856" s="307" t="s">
        <v>175</v>
      </c>
      <c r="I4856" s="307" t="s">
        <v>171</v>
      </c>
      <c r="J4856" s="402">
        <v>2.5000000000000001E-2</v>
      </c>
      <c r="K4856" s="309">
        <f>VLOOKUP(G4856,Upah,8,FALSE)</f>
        <v>165000</v>
      </c>
      <c r="L4856" s="310">
        <f>J4856*K4856</f>
        <v>4125</v>
      </c>
    </row>
    <row r="4857" spans="5:13" ht="15" customHeight="1" thickBot="1">
      <c r="F4857" s="306"/>
      <c r="G4857" s="301" t="s">
        <v>176</v>
      </c>
      <c r="H4857" s="307" t="s">
        <v>177</v>
      </c>
      <c r="I4857" s="307" t="s">
        <v>171</v>
      </c>
      <c r="J4857" s="403">
        <v>2.5000000000000001E-3</v>
      </c>
      <c r="K4857" s="309">
        <f>VLOOKUP(G4857,Upah,8,FALSE)</f>
        <v>170000</v>
      </c>
      <c r="L4857" s="310">
        <f>J4857*K4857</f>
        <v>425</v>
      </c>
    </row>
    <row r="4858" spans="5:13" ht="15" customHeight="1" thickBot="1">
      <c r="F4858" s="316"/>
      <c r="G4858" s="317"/>
      <c r="H4858" s="318"/>
      <c r="I4858" s="318"/>
      <c r="J4858" s="319" t="s">
        <v>178</v>
      </c>
      <c r="K4858" s="320"/>
      <c r="L4858" s="321">
        <f>SUM(L4854:L4857)</f>
        <v>73300</v>
      </c>
    </row>
    <row r="4859" spans="5:13" ht="15" customHeight="1">
      <c r="F4859" s="300" t="s">
        <v>179</v>
      </c>
      <c r="G4859" s="301" t="s">
        <v>180</v>
      </c>
      <c r="H4859" s="302"/>
      <c r="I4859" s="302"/>
      <c r="J4859" s="351"/>
      <c r="K4859" s="328"/>
      <c r="L4859" s="310"/>
    </row>
    <row r="4860" spans="5:13" ht="15" customHeight="1">
      <c r="F4860" s="306"/>
      <c r="G4860" s="404" t="s">
        <v>949</v>
      </c>
      <c r="H4860" s="302"/>
      <c r="I4860" s="370" t="s">
        <v>2074</v>
      </c>
      <c r="J4860" s="308">
        <v>1.01</v>
      </c>
      <c r="K4860" s="328">
        <f>VLOOKUP(G4860,Bahan,6,FALSE)</f>
        <v>165100</v>
      </c>
      <c r="L4860" s="310">
        <f>J4860*K4860</f>
        <v>166751</v>
      </c>
    </row>
    <row r="4861" spans="5:13" ht="15" customHeight="1" thickBot="1">
      <c r="F4861" s="311"/>
      <c r="G4861" s="376" t="s">
        <v>1700</v>
      </c>
      <c r="H4861" s="329"/>
      <c r="I4861" s="374" t="s">
        <v>2075</v>
      </c>
      <c r="J4861" s="314">
        <v>0.05</v>
      </c>
      <c r="K4861" s="328">
        <f>VLOOKUP(G4861,Bahan,6,FALSE)</f>
        <v>350000</v>
      </c>
      <c r="L4861" s="330">
        <f>J4861*K4861</f>
        <v>17500</v>
      </c>
    </row>
    <row r="4862" spans="5:13" ht="15" customHeight="1" thickBot="1">
      <c r="F4862" s="316"/>
      <c r="G4862" s="317"/>
      <c r="H4862" s="318"/>
      <c r="I4862" s="318"/>
      <c r="J4862" s="319" t="s">
        <v>189</v>
      </c>
      <c r="K4862" s="320"/>
      <c r="L4862" s="321">
        <f>SUM(L4860:L4861)</f>
        <v>184251</v>
      </c>
    </row>
    <row r="4863" spans="5:13" ht="15" customHeight="1">
      <c r="F4863" s="300" t="s">
        <v>190</v>
      </c>
      <c r="G4863" s="301" t="s">
        <v>191</v>
      </c>
      <c r="H4863" s="302"/>
      <c r="I4863" s="302"/>
      <c r="J4863" s="351"/>
      <c r="K4863" s="328">
        <v>0</v>
      </c>
      <c r="L4863" s="310"/>
    </row>
    <row r="4864" spans="5:13" ht="15" customHeight="1" thickBot="1">
      <c r="F4864" s="331"/>
      <c r="G4864" s="332" t="s">
        <v>942</v>
      </c>
      <c r="H4864" s="333"/>
      <c r="I4864" s="333" t="s">
        <v>943</v>
      </c>
      <c r="J4864" s="334">
        <v>0.1</v>
      </c>
      <c r="K4864" s="328">
        <f>L4862</f>
        <v>184251</v>
      </c>
      <c r="L4864" s="336">
        <f>J4864*K4864</f>
        <v>18425.100000000002</v>
      </c>
    </row>
    <row r="4865" spans="5:13" ht="15" customHeight="1" thickBot="1">
      <c r="F4865" s="316"/>
      <c r="G4865" s="317"/>
      <c r="H4865" s="318"/>
      <c r="I4865" s="318"/>
      <c r="J4865" s="319" t="s">
        <v>192</v>
      </c>
      <c r="K4865" s="320"/>
      <c r="L4865" s="321">
        <f>L4864</f>
        <v>18425.100000000002</v>
      </c>
    </row>
    <row r="4866" spans="5:13" ht="15" customHeight="1">
      <c r="F4866" s="344" t="s">
        <v>193</v>
      </c>
      <c r="G4866" s="345" t="s">
        <v>194</v>
      </c>
      <c r="H4866" s="346"/>
      <c r="I4866" s="346"/>
      <c r="J4866" s="347"/>
      <c r="K4866" s="348">
        <v>0</v>
      </c>
      <c r="L4866" s="310">
        <f>SUM(L4854:L4865)/2</f>
        <v>275976.09999999998</v>
      </c>
    </row>
    <row r="4867" spans="5:13" ht="15" customHeight="1" thickBot="1">
      <c r="F4867" s="331" t="s">
        <v>195</v>
      </c>
      <c r="G4867" s="332" t="s">
        <v>196</v>
      </c>
      <c r="H4867" s="333"/>
      <c r="I4867" s="333"/>
      <c r="J4867" s="350">
        <v>0.1</v>
      </c>
      <c r="K4867" s="335"/>
      <c r="L4867" s="330">
        <f>J4867*L4866</f>
        <v>27597.61</v>
      </c>
    </row>
    <row r="4868" spans="5:13" ht="15" customHeight="1" thickBot="1">
      <c r="F4868" s="340" t="s">
        <v>197</v>
      </c>
      <c r="G4868" s="341" t="s">
        <v>198</v>
      </c>
      <c r="H4868" s="318"/>
      <c r="I4868" s="318"/>
      <c r="J4868" s="342"/>
      <c r="K4868" s="320">
        <v>0</v>
      </c>
      <c r="L4868" s="321">
        <f>ROUNDDOWN(L4866+L4867,0)</f>
        <v>303573</v>
      </c>
    </row>
    <row r="4869" spans="5:13" ht="15" customHeight="1">
      <c r="G4869" s="298"/>
      <c r="J4869" s="343"/>
    </row>
    <row r="4870" spans="5:13" ht="15" customHeight="1" thickBot="1">
      <c r="E4870" s="387" t="s">
        <v>950</v>
      </c>
      <c r="F4870" s="295" t="s">
        <v>951</v>
      </c>
      <c r="G4870" s="298"/>
      <c r="J4870" s="343"/>
      <c r="M4870" s="299">
        <f>L4887</f>
        <v>281002</v>
      </c>
    </row>
    <row r="4871" spans="5:13" ht="15" customHeight="1" thickBot="1">
      <c r="F4871" s="340" t="s">
        <v>136</v>
      </c>
      <c r="G4871" s="341" t="s">
        <v>162</v>
      </c>
      <c r="H4871" s="352" t="s">
        <v>163</v>
      </c>
      <c r="I4871" s="352" t="s">
        <v>138</v>
      </c>
      <c r="J4871" s="353" t="s">
        <v>164</v>
      </c>
      <c r="K4871" s="341" t="s">
        <v>165</v>
      </c>
      <c r="L4871" s="354" t="s">
        <v>166</v>
      </c>
    </row>
    <row r="4872" spans="5:13" ht="15" customHeight="1">
      <c r="F4872" s="300" t="s">
        <v>167</v>
      </c>
      <c r="G4872" s="301" t="s">
        <v>168</v>
      </c>
      <c r="H4872" s="302"/>
      <c r="I4872" s="302"/>
      <c r="J4872" s="351"/>
      <c r="K4872" s="328"/>
      <c r="L4872" s="310"/>
    </row>
    <row r="4873" spans="5:13" ht="15" customHeight="1">
      <c r="F4873" s="306"/>
      <c r="G4873" s="301" t="s">
        <v>169</v>
      </c>
      <c r="H4873" s="307" t="s">
        <v>170</v>
      </c>
      <c r="I4873" s="307" t="s">
        <v>171</v>
      </c>
      <c r="J4873" s="402">
        <v>0.25</v>
      </c>
      <c r="K4873" s="309">
        <f>VLOOKUP(G4873,Upah,8,FALSE)</f>
        <v>125000</v>
      </c>
      <c r="L4873" s="310">
        <f>J4873*K4873</f>
        <v>31250</v>
      </c>
    </row>
    <row r="4874" spans="5:13" ht="15" customHeight="1">
      <c r="F4874" s="306"/>
      <c r="G4874" s="301" t="s">
        <v>172</v>
      </c>
      <c r="H4874" s="307" t="s">
        <v>173</v>
      </c>
      <c r="I4874" s="307" t="s">
        <v>171</v>
      </c>
      <c r="J4874" s="402">
        <v>0.25</v>
      </c>
      <c r="K4874" s="309">
        <f>VLOOKUP(G4874,Upah,8,FALSE)</f>
        <v>150000</v>
      </c>
      <c r="L4874" s="310">
        <f>J4874*K4874</f>
        <v>37500</v>
      </c>
    </row>
    <row r="4875" spans="5:13" ht="15" customHeight="1">
      <c r="F4875" s="306"/>
      <c r="G4875" s="301" t="s">
        <v>232</v>
      </c>
      <c r="H4875" s="307" t="s">
        <v>175</v>
      </c>
      <c r="I4875" s="307" t="s">
        <v>171</v>
      </c>
      <c r="J4875" s="402">
        <v>2.5000000000000001E-2</v>
      </c>
      <c r="K4875" s="309">
        <f>VLOOKUP(G4875,Upah,8,FALSE)</f>
        <v>165000</v>
      </c>
      <c r="L4875" s="310">
        <f>J4875*K4875</f>
        <v>4125</v>
      </c>
    </row>
    <row r="4876" spans="5:13" ht="15" customHeight="1" thickBot="1">
      <c r="F4876" s="306"/>
      <c r="G4876" s="301" t="s">
        <v>176</v>
      </c>
      <c r="H4876" s="307" t="s">
        <v>177</v>
      </c>
      <c r="I4876" s="307" t="s">
        <v>171</v>
      </c>
      <c r="J4876" s="403">
        <v>2.5000000000000001E-3</v>
      </c>
      <c r="K4876" s="309">
        <f>VLOOKUP(G4876,Upah,8,FALSE)</f>
        <v>170000</v>
      </c>
      <c r="L4876" s="310">
        <f>J4876*K4876</f>
        <v>425</v>
      </c>
    </row>
    <row r="4877" spans="5:13" ht="15" customHeight="1" thickBot="1">
      <c r="F4877" s="316"/>
      <c r="G4877" s="317"/>
      <c r="H4877" s="318"/>
      <c r="I4877" s="318"/>
      <c r="J4877" s="319" t="s">
        <v>178</v>
      </c>
      <c r="K4877" s="320"/>
      <c r="L4877" s="321">
        <f>SUM(L4873:L4876)</f>
        <v>73300</v>
      </c>
    </row>
    <row r="4878" spans="5:13" ht="15" customHeight="1">
      <c r="F4878" s="300" t="s">
        <v>179</v>
      </c>
      <c r="G4878" s="301" t="s">
        <v>180</v>
      </c>
      <c r="H4878" s="302"/>
      <c r="I4878" s="302"/>
      <c r="J4878" s="351"/>
      <c r="K4878" s="328"/>
      <c r="L4878" s="310"/>
    </row>
    <row r="4879" spans="5:13" ht="15" customHeight="1">
      <c r="F4879" s="306"/>
      <c r="G4879" s="404" t="s">
        <v>952</v>
      </c>
      <c r="H4879" s="302"/>
      <c r="I4879" s="370" t="s">
        <v>2074</v>
      </c>
      <c r="J4879" s="308">
        <v>1.01</v>
      </c>
      <c r="K4879" s="328">
        <f>VLOOKUP(G4879,Bahan,6,FALSE)</f>
        <v>139700</v>
      </c>
      <c r="L4879" s="310">
        <f>J4879*K4879</f>
        <v>141097</v>
      </c>
    </row>
    <row r="4880" spans="5:13" ht="15" customHeight="1" thickBot="1">
      <c r="F4880" s="311"/>
      <c r="G4880" s="376" t="s">
        <v>1700</v>
      </c>
      <c r="H4880" s="329"/>
      <c r="I4880" s="374" t="s">
        <v>2075</v>
      </c>
      <c r="J4880" s="314">
        <v>7.0000000000000007E-2</v>
      </c>
      <c r="K4880" s="328">
        <f>VLOOKUP(G4880,Bahan,6,FALSE)</f>
        <v>350000</v>
      </c>
      <c r="L4880" s="330">
        <f>J4880*K4880</f>
        <v>24500.000000000004</v>
      </c>
    </row>
    <row r="4881" spans="5:13" ht="15" customHeight="1" thickBot="1">
      <c r="F4881" s="316"/>
      <c r="G4881" s="317"/>
      <c r="H4881" s="318"/>
      <c r="I4881" s="318"/>
      <c r="J4881" s="319" t="s">
        <v>189</v>
      </c>
      <c r="K4881" s="320"/>
      <c r="L4881" s="321">
        <f>SUM(L4879:L4880)</f>
        <v>165597</v>
      </c>
    </row>
    <row r="4882" spans="5:13" ht="15" customHeight="1">
      <c r="F4882" s="300" t="s">
        <v>190</v>
      </c>
      <c r="G4882" s="301" t="s">
        <v>191</v>
      </c>
      <c r="H4882" s="302"/>
      <c r="I4882" s="302"/>
      <c r="J4882" s="351"/>
      <c r="K4882" s="328">
        <v>0</v>
      </c>
      <c r="L4882" s="310"/>
    </row>
    <row r="4883" spans="5:13" ht="15" customHeight="1" thickBot="1">
      <c r="F4883" s="331"/>
      <c r="G4883" s="332" t="s">
        <v>942</v>
      </c>
      <c r="H4883" s="333"/>
      <c r="I4883" s="333" t="s">
        <v>943</v>
      </c>
      <c r="J4883" s="334">
        <v>0.1</v>
      </c>
      <c r="K4883" s="328">
        <f>L4881</f>
        <v>165597</v>
      </c>
      <c r="L4883" s="336">
        <f>J4883*K4883</f>
        <v>16559.7</v>
      </c>
    </row>
    <row r="4884" spans="5:13" ht="15" customHeight="1" thickBot="1">
      <c r="F4884" s="316"/>
      <c r="G4884" s="317"/>
      <c r="H4884" s="318"/>
      <c r="I4884" s="318"/>
      <c r="J4884" s="319" t="s">
        <v>192</v>
      </c>
      <c r="K4884" s="320"/>
      <c r="L4884" s="321">
        <f>L4883</f>
        <v>16559.7</v>
      </c>
    </row>
    <row r="4885" spans="5:13" ht="15" customHeight="1">
      <c r="F4885" s="344" t="s">
        <v>193</v>
      </c>
      <c r="G4885" s="345" t="s">
        <v>194</v>
      </c>
      <c r="H4885" s="346"/>
      <c r="I4885" s="346"/>
      <c r="J4885" s="347"/>
      <c r="K4885" s="348">
        <v>0</v>
      </c>
      <c r="L4885" s="310">
        <f>SUM(L4873:L4884)/2</f>
        <v>255456.7</v>
      </c>
    </row>
    <row r="4886" spans="5:13" ht="15" customHeight="1" thickBot="1">
      <c r="F4886" s="331" t="s">
        <v>195</v>
      </c>
      <c r="G4886" s="332" t="s">
        <v>196</v>
      </c>
      <c r="H4886" s="333"/>
      <c r="I4886" s="333"/>
      <c r="J4886" s="350">
        <v>0.1</v>
      </c>
      <c r="K4886" s="335"/>
      <c r="L4886" s="330">
        <f>J4886*L4885</f>
        <v>25545.670000000002</v>
      </c>
    </row>
    <row r="4887" spans="5:13" ht="15" customHeight="1" thickBot="1">
      <c r="F4887" s="340" t="s">
        <v>197</v>
      </c>
      <c r="G4887" s="341" t="s">
        <v>198</v>
      </c>
      <c r="H4887" s="318"/>
      <c r="I4887" s="318"/>
      <c r="J4887" s="342"/>
      <c r="K4887" s="320">
        <v>0</v>
      </c>
      <c r="L4887" s="321">
        <f>ROUNDDOWN(L4885+L4886,0)</f>
        <v>281002</v>
      </c>
    </row>
    <row r="4888" spans="5:13" ht="15" customHeight="1">
      <c r="G4888" s="298"/>
      <c r="J4888" s="343"/>
    </row>
    <row r="4889" spans="5:13" ht="15" customHeight="1" thickBot="1">
      <c r="E4889" s="387" t="s">
        <v>953</v>
      </c>
      <c r="F4889" s="295" t="s">
        <v>954</v>
      </c>
      <c r="G4889" s="298"/>
      <c r="J4889" s="343"/>
      <c r="M4889" s="299">
        <f>L4905</f>
        <v>203649</v>
      </c>
    </row>
    <row r="4890" spans="5:13" ht="15" customHeight="1" thickBot="1">
      <c r="F4890" s="340" t="s">
        <v>136</v>
      </c>
      <c r="G4890" s="341" t="s">
        <v>162</v>
      </c>
      <c r="H4890" s="352" t="s">
        <v>163</v>
      </c>
      <c r="I4890" s="352" t="s">
        <v>138</v>
      </c>
      <c r="J4890" s="353" t="s">
        <v>164</v>
      </c>
      <c r="K4890" s="341" t="s">
        <v>165</v>
      </c>
      <c r="L4890" s="354" t="s">
        <v>166</v>
      </c>
    </row>
    <row r="4891" spans="5:13" ht="15" customHeight="1">
      <c r="F4891" s="300" t="s">
        <v>167</v>
      </c>
      <c r="G4891" s="301" t="s">
        <v>168</v>
      </c>
      <c r="H4891" s="302"/>
      <c r="I4891" s="302"/>
      <c r="J4891" s="351"/>
      <c r="K4891" s="328"/>
      <c r="L4891" s="310"/>
    </row>
    <row r="4892" spans="5:13" ht="15" customHeight="1">
      <c r="F4892" s="306"/>
      <c r="G4892" s="301" t="s">
        <v>169</v>
      </c>
      <c r="H4892" s="307" t="s">
        <v>170</v>
      </c>
      <c r="I4892" s="307" t="s">
        <v>171</v>
      </c>
      <c r="J4892" s="308">
        <v>0.15</v>
      </c>
      <c r="K4892" s="309">
        <f>VLOOKUP(G4892,Upah,8,FALSE)</f>
        <v>125000</v>
      </c>
      <c r="L4892" s="310">
        <f>J4892*K4892</f>
        <v>18750</v>
      </c>
    </row>
    <row r="4893" spans="5:13" ht="15" customHeight="1">
      <c r="F4893" s="306"/>
      <c r="G4893" s="301" t="s">
        <v>379</v>
      </c>
      <c r="H4893" s="307" t="s">
        <v>380</v>
      </c>
      <c r="I4893" s="307" t="s">
        <v>171</v>
      </c>
      <c r="J4893" s="308">
        <v>7.4999999999999997E-2</v>
      </c>
      <c r="K4893" s="309">
        <f>VLOOKUP(G4893,Upah,8,FALSE)</f>
        <v>150000</v>
      </c>
      <c r="L4893" s="310">
        <f>J4893*K4893</f>
        <v>11250</v>
      </c>
    </row>
    <row r="4894" spans="5:13" ht="15" customHeight="1">
      <c r="F4894" s="306"/>
      <c r="G4894" s="301" t="s">
        <v>174</v>
      </c>
      <c r="H4894" s="307" t="s">
        <v>175</v>
      </c>
      <c r="I4894" s="307" t="s">
        <v>171</v>
      </c>
      <c r="J4894" s="308">
        <v>8.0000000000000002E-3</v>
      </c>
      <c r="K4894" s="309">
        <f>VLOOKUP(G4894,Upah,8,FALSE)</f>
        <v>165000</v>
      </c>
      <c r="L4894" s="310">
        <f>J4894*K4894</f>
        <v>1320</v>
      </c>
    </row>
    <row r="4895" spans="5:13" ht="15" customHeight="1" thickBot="1">
      <c r="F4895" s="306"/>
      <c r="G4895" s="301" t="s">
        <v>176</v>
      </c>
      <c r="H4895" s="307" t="s">
        <v>177</v>
      </c>
      <c r="I4895" s="307" t="s">
        <v>171</v>
      </c>
      <c r="J4895" s="308">
        <v>8.0000000000000002E-3</v>
      </c>
      <c r="K4895" s="309">
        <f>VLOOKUP(G4895,Upah,8,FALSE)</f>
        <v>170000</v>
      </c>
      <c r="L4895" s="310">
        <f>J4895*K4895</f>
        <v>1360</v>
      </c>
    </row>
    <row r="4896" spans="5:13" ht="15" customHeight="1" thickBot="1">
      <c r="F4896" s="316"/>
      <c r="G4896" s="317"/>
      <c r="H4896" s="318"/>
      <c r="I4896" s="318"/>
      <c r="J4896" s="319" t="s">
        <v>178</v>
      </c>
      <c r="K4896" s="320"/>
      <c r="L4896" s="321">
        <f>SUM(L4892:L4895)</f>
        <v>32680</v>
      </c>
    </row>
    <row r="4897" spans="1:13" ht="15" customHeight="1">
      <c r="F4897" s="300" t="s">
        <v>179</v>
      </c>
      <c r="G4897" s="301" t="s">
        <v>180</v>
      </c>
      <c r="H4897" s="302"/>
      <c r="I4897" s="302"/>
      <c r="J4897" s="351"/>
      <c r="K4897" s="328"/>
      <c r="L4897" s="310"/>
    </row>
    <row r="4898" spans="1:13" ht="15" customHeight="1">
      <c r="F4898" s="306"/>
      <c r="G4898" s="301" t="s">
        <v>955</v>
      </c>
      <c r="H4898" s="302"/>
      <c r="I4898" s="307" t="s">
        <v>202</v>
      </c>
      <c r="J4898" s="308">
        <v>0.36499999999999999</v>
      </c>
      <c r="K4898" s="328">
        <f>VLOOKUP(G4898,Bahan,6,FALSE)</f>
        <v>384810</v>
      </c>
      <c r="L4898" s="310">
        <f>J4898*K4898</f>
        <v>140455.65</v>
      </c>
    </row>
    <row r="4899" spans="1:13" ht="15" customHeight="1" thickBot="1">
      <c r="F4899" s="306"/>
      <c r="G4899" s="301" t="s">
        <v>956</v>
      </c>
      <c r="H4899" s="302"/>
      <c r="I4899" s="307" t="s">
        <v>36</v>
      </c>
      <c r="J4899" s="308">
        <v>20</v>
      </c>
      <c r="K4899" s="328">
        <f>VLOOKUP(G4899,Bahan,6,FALSE)</f>
        <v>600</v>
      </c>
      <c r="L4899" s="310">
        <f>J4899*K4899</f>
        <v>12000</v>
      </c>
    </row>
    <row r="4900" spans="1:13" ht="15" customHeight="1" thickBot="1">
      <c r="F4900" s="316"/>
      <c r="G4900" s="317"/>
      <c r="H4900" s="318"/>
      <c r="I4900" s="318"/>
      <c r="J4900" s="319" t="s">
        <v>189</v>
      </c>
      <c r="K4900" s="320"/>
      <c r="L4900" s="321">
        <f>SUM(L4898:L4899)</f>
        <v>152455.65</v>
      </c>
    </row>
    <row r="4901" spans="1:13" ht="15" customHeight="1" thickBot="1">
      <c r="F4901" s="300" t="s">
        <v>190</v>
      </c>
      <c r="G4901" s="301" t="s">
        <v>191</v>
      </c>
      <c r="H4901" s="302"/>
      <c r="I4901" s="302"/>
      <c r="J4901" s="351"/>
      <c r="K4901" s="328">
        <v>0</v>
      </c>
      <c r="L4901" s="310">
        <f>J4901*K4901</f>
        <v>0</v>
      </c>
    </row>
    <row r="4902" spans="1:13" ht="15" customHeight="1" thickBot="1">
      <c r="F4902" s="316"/>
      <c r="G4902" s="317"/>
      <c r="H4902" s="318"/>
      <c r="I4902" s="318"/>
      <c r="J4902" s="319" t="s">
        <v>192</v>
      </c>
      <c r="K4902" s="320"/>
      <c r="L4902" s="321">
        <f>L4901</f>
        <v>0</v>
      </c>
    </row>
    <row r="4903" spans="1:13" ht="15" customHeight="1">
      <c r="F4903" s="344" t="s">
        <v>193</v>
      </c>
      <c r="G4903" s="345" t="s">
        <v>194</v>
      </c>
      <c r="H4903" s="346"/>
      <c r="I4903" s="346"/>
      <c r="J4903" s="347"/>
      <c r="K4903" s="348">
        <v>0</v>
      </c>
      <c r="L4903" s="310">
        <f>SUM(L4892:L4902)/2</f>
        <v>185135.65</v>
      </c>
    </row>
    <row r="4904" spans="1:13" ht="15" customHeight="1" thickBot="1">
      <c r="F4904" s="331" t="s">
        <v>195</v>
      </c>
      <c r="G4904" s="332" t="s">
        <v>196</v>
      </c>
      <c r="H4904" s="333"/>
      <c r="I4904" s="333"/>
      <c r="J4904" s="350">
        <v>0.1</v>
      </c>
      <c r="K4904" s="335"/>
      <c r="L4904" s="330">
        <f>J4904*L4903</f>
        <v>18513.564999999999</v>
      </c>
    </row>
    <row r="4905" spans="1:13" ht="15" customHeight="1" thickBot="1">
      <c r="F4905" s="340" t="s">
        <v>197</v>
      </c>
      <c r="G4905" s="341" t="s">
        <v>198</v>
      </c>
      <c r="H4905" s="318"/>
      <c r="I4905" s="318"/>
      <c r="J4905" s="342"/>
      <c r="K4905" s="320">
        <v>0</v>
      </c>
      <c r="L4905" s="321">
        <f>ROUNDDOWN(L4903+L4904,0)</f>
        <v>203649</v>
      </c>
    </row>
    <row r="4906" spans="1:13" ht="15" customHeight="1">
      <c r="G4906" s="298"/>
      <c r="J4906" s="343"/>
    </row>
    <row r="4907" spans="1:13" s="422" customFormat="1" ht="15" customHeight="1">
      <c r="A4907" s="619"/>
      <c r="B4907" s="619"/>
      <c r="C4907" s="619"/>
      <c r="D4907" s="560" t="s">
        <v>957</v>
      </c>
      <c r="E4907" s="358" t="s">
        <v>958</v>
      </c>
      <c r="F4907" s="419"/>
      <c r="G4907" s="419"/>
      <c r="H4907" s="420"/>
      <c r="I4907" s="420"/>
      <c r="J4907" s="421"/>
      <c r="K4907" s="419"/>
      <c r="L4907" s="419"/>
      <c r="M4907" s="419"/>
    </row>
    <row r="4908" spans="1:13" ht="15" customHeight="1" thickBot="1">
      <c r="E4908" s="297" t="s">
        <v>959</v>
      </c>
      <c r="F4908" s="298" t="s">
        <v>960</v>
      </c>
      <c r="J4908" s="343"/>
      <c r="M4908" s="299">
        <f>L4924</f>
        <v>126353</v>
      </c>
    </row>
    <row r="4909" spans="1:13" ht="15" customHeight="1" thickBot="1">
      <c r="F4909" s="340" t="s">
        <v>136</v>
      </c>
      <c r="G4909" s="341" t="s">
        <v>162</v>
      </c>
      <c r="H4909" s="352" t="s">
        <v>163</v>
      </c>
      <c r="I4909" s="352" t="s">
        <v>138</v>
      </c>
      <c r="J4909" s="353" t="s">
        <v>164</v>
      </c>
      <c r="K4909" s="341" t="s">
        <v>165</v>
      </c>
      <c r="L4909" s="354" t="s">
        <v>166</v>
      </c>
    </row>
    <row r="4910" spans="1:13" ht="15" customHeight="1">
      <c r="F4910" s="344" t="s">
        <v>167</v>
      </c>
      <c r="G4910" s="345" t="s">
        <v>168</v>
      </c>
      <c r="H4910" s="346"/>
      <c r="I4910" s="346"/>
      <c r="J4910" s="347"/>
      <c r="K4910" s="348"/>
      <c r="L4910" s="349"/>
    </row>
    <row r="4911" spans="1:13" ht="15" customHeight="1">
      <c r="F4911" s="306"/>
      <c r="G4911" s="301" t="s">
        <v>169</v>
      </c>
      <c r="H4911" s="307" t="s">
        <v>170</v>
      </c>
      <c r="I4911" s="307" t="s">
        <v>171</v>
      </c>
      <c r="J4911" s="308">
        <v>0.03</v>
      </c>
      <c r="K4911" s="309">
        <f>VLOOKUP(G4911,Upah,8,FALSE)</f>
        <v>125000</v>
      </c>
      <c r="L4911" s="310">
        <f>J4911*K4911</f>
        <v>3750</v>
      </c>
    </row>
    <row r="4912" spans="1:13" ht="15" customHeight="1">
      <c r="F4912" s="306"/>
      <c r="G4912" s="301" t="s">
        <v>413</v>
      </c>
      <c r="H4912" s="307" t="s">
        <v>173</v>
      </c>
      <c r="I4912" s="307" t="s">
        <v>171</v>
      </c>
      <c r="J4912" s="308">
        <v>7.0000000000000007E-2</v>
      </c>
      <c r="K4912" s="309">
        <f>VLOOKUP(G4912,Upah,8,FALSE)</f>
        <v>150000</v>
      </c>
      <c r="L4912" s="310">
        <f>J4912*K4912</f>
        <v>10500.000000000002</v>
      </c>
    </row>
    <row r="4913" spans="5:13" ht="15" customHeight="1">
      <c r="F4913" s="306"/>
      <c r="G4913" s="301" t="s">
        <v>232</v>
      </c>
      <c r="H4913" s="307" t="s">
        <v>175</v>
      </c>
      <c r="I4913" s="307" t="s">
        <v>171</v>
      </c>
      <c r="J4913" s="308">
        <v>7.0000000000000001E-3</v>
      </c>
      <c r="K4913" s="309">
        <f>VLOOKUP(G4913,Upah,8,FALSE)</f>
        <v>165000</v>
      </c>
      <c r="L4913" s="310">
        <f>J4913*K4913</f>
        <v>1155</v>
      </c>
    </row>
    <row r="4914" spans="5:13" ht="15" customHeight="1" thickBot="1">
      <c r="F4914" s="306"/>
      <c r="G4914" s="301" t="s">
        <v>176</v>
      </c>
      <c r="H4914" s="307" t="s">
        <v>177</v>
      </c>
      <c r="I4914" s="307" t="s">
        <v>171</v>
      </c>
      <c r="J4914" s="308">
        <v>4.0000000000000001E-3</v>
      </c>
      <c r="K4914" s="309">
        <f>VLOOKUP(G4914,Upah,8,FALSE)</f>
        <v>170000</v>
      </c>
      <c r="L4914" s="310">
        <f>J4914*K4914</f>
        <v>680</v>
      </c>
    </row>
    <row r="4915" spans="5:13" ht="15" customHeight="1" thickBot="1">
      <c r="F4915" s="316"/>
      <c r="G4915" s="317"/>
      <c r="H4915" s="318"/>
      <c r="I4915" s="318"/>
      <c r="J4915" s="319" t="s">
        <v>178</v>
      </c>
      <c r="K4915" s="320"/>
      <c r="L4915" s="321">
        <f>SUM(L4911:L4914)</f>
        <v>16085.000000000002</v>
      </c>
    </row>
    <row r="4916" spans="5:13" ht="15" customHeight="1">
      <c r="F4916" s="300" t="s">
        <v>179</v>
      </c>
      <c r="G4916" s="301" t="s">
        <v>180</v>
      </c>
      <c r="H4916" s="302"/>
      <c r="I4916" s="302"/>
      <c r="J4916" s="351"/>
      <c r="K4916" s="328"/>
      <c r="L4916" s="310"/>
    </row>
    <row r="4917" spans="5:13" ht="15" customHeight="1">
      <c r="F4917" s="306"/>
      <c r="G4917" s="301" t="s">
        <v>961</v>
      </c>
      <c r="H4917" s="302"/>
      <c r="I4917" s="307" t="s">
        <v>23</v>
      </c>
      <c r="J4917" s="308">
        <v>1.1000000000000001</v>
      </c>
      <c r="K4917" s="328">
        <f>VLOOKUP(G4917,Bahan,6,FALSE)</f>
        <v>89600</v>
      </c>
      <c r="L4917" s="310">
        <f>J4917*K4917</f>
        <v>98560.000000000015</v>
      </c>
    </row>
    <row r="4918" spans="5:13" ht="15" customHeight="1" thickBot="1">
      <c r="F4918" s="306"/>
      <c r="G4918" s="301" t="s">
        <v>962</v>
      </c>
      <c r="H4918" s="302"/>
      <c r="I4918" s="307" t="s">
        <v>38</v>
      </c>
      <c r="J4918" s="308">
        <v>0.01</v>
      </c>
      <c r="K4918" s="328">
        <f>VLOOKUP(G4918,Bahan,6,FALSE)</f>
        <v>22140</v>
      </c>
      <c r="L4918" s="310">
        <f>J4918*K4918</f>
        <v>221.4</v>
      </c>
    </row>
    <row r="4919" spans="5:13" ht="15" customHeight="1" thickBot="1">
      <c r="F4919" s="316"/>
      <c r="G4919" s="317"/>
      <c r="H4919" s="318"/>
      <c r="I4919" s="318"/>
      <c r="J4919" s="319" t="s">
        <v>189</v>
      </c>
      <c r="K4919" s="320"/>
      <c r="L4919" s="321">
        <f>SUM(L4917:L4918)</f>
        <v>98781.400000000009</v>
      </c>
    </row>
    <row r="4920" spans="5:13" ht="15" customHeight="1" thickBot="1">
      <c r="F4920" s="300" t="s">
        <v>190</v>
      </c>
      <c r="G4920" s="301" t="s">
        <v>191</v>
      </c>
      <c r="H4920" s="302"/>
      <c r="I4920" s="302"/>
      <c r="J4920" s="351"/>
      <c r="K4920" s="328">
        <v>0</v>
      </c>
      <c r="L4920" s="310">
        <f>J4920*K4920</f>
        <v>0</v>
      </c>
    </row>
    <row r="4921" spans="5:13" ht="15" customHeight="1" thickBot="1">
      <c r="F4921" s="316"/>
      <c r="G4921" s="317"/>
      <c r="H4921" s="318"/>
      <c r="I4921" s="318"/>
      <c r="J4921" s="319" t="s">
        <v>192</v>
      </c>
      <c r="K4921" s="320"/>
      <c r="L4921" s="321">
        <f>L4920</f>
        <v>0</v>
      </c>
    </row>
    <row r="4922" spans="5:13" ht="15" customHeight="1">
      <c r="F4922" s="344" t="s">
        <v>193</v>
      </c>
      <c r="G4922" s="345" t="s">
        <v>194</v>
      </c>
      <c r="H4922" s="346"/>
      <c r="I4922" s="346"/>
      <c r="J4922" s="347"/>
      <c r="K4922" s="348">
        <v>0</v>
      </c>
      <c r="L4922" s="310">
        <f>SUM(L4911:L4921)/2</f>
        <v>114866.40000000001</v>
      </c>
    </row>
    <row r="4923" spans="5:13" ht="15" customHeight="1" thickBot="1">
      <c r="F4923" s="331" t="s">
        <v>195</v>
      </c>
      <c r="G4923" s="332" t="s">
        <v>196</v>
      </c>
      <c r="H4923" s="333"/>
      <c r="I4923" s="333"/>
      <c r="J4923" s="350">
        <v>0.1</v>
      </c>
      <c r="K4923" s="335"/>
      <c r="L4923" s="330">
        <f>J4923*L4922</f>
        <v>11486.640000000001</v>
      </c>
    </row>
    <row r="4924" spans="5:13" ht="15" customHeight="1" thickBot="1">
      <c r="F4924" s="340" t="s">
        <v>197</v>
      </c>
      <c r="G4924" s="341" t="s">
        <v>198</v>
      </c>
      <c r="H4924" s="318"/>
      <c r="I4924" s="318"/>
      <c r="J4924" s="342"/>
      <c r="K4924" s="320">
        <v>0</v>
      </c>
      <c r="L4924" s="321">
        <f>ROUNDDOWN(L4922+L4923,0)</f>
        <v>126353</v>
      </c>
    </row>
    <row r="4925" spans="5:13" ht="15" customHeight="1">
      <c r="F4925" s="298"/>
      <c r="G4925" s="298"/>
      <c r="J4925" s="343"/>
    </row>
    <row r="4926" spans="5:13" ht="15" customHeight="1" thickBot="1">
      <c r="E4926" s="356" t="s">
        <v>963</v>
      </c>
      <c r="F4926" s="295" t="s">
        <v>964</v>
      </c>
      <c r="J4926" s="343"/>
      <c r="M4926" s="299">
        <f>L4942</f>
        <v>604457</v>
      </c>
    </row>
    <row r="4927" spans="5:13" ht="15" customHeight="1" thickBot="1">
      <c r="F4927" s="340" t="s">
        <v>136</v>
      </c>
      <c r="G4927" s="341" t="s">
        <v>162</v>
      </c>
      <c r="H4927" s="352" t="s">
        <v>163</v>
      </c>
      <c r="I4927" s="352" t="s">
        <v>138</v>
      </c>
      <c r="J4927" s="353" t="s">
        <v>164</v>
      </c>
      <c r="K4927" s="341" t="s">
        <v>165</v>
      </c>
      <c r="L4927" s="354" t="s">
        <v>166</v>
      </c>
    </row>
    <row r="4928" spans="5:13" ht="15" customHeight="1">
      <c r="F4928" s="300" t="s">
        <v>167</v>
      </c>
      <c r="G4928" s="301" t="s">
        <v>168</v>
      </c>
      <c r="H4928" s="302"/>
      <c r="I4928" s="302"/>
      <c r="J4928" s="351"/>
      <c r="K4928" s="328"/>
      <c r="L4928" s="310"/>
    </row>
    <row r="4929" spans="5:13" ht="15" customHeight="1">
      <c r="F4929" s="306"/>
      <c r="G4929" s="301" t="s">
        <v>169</v>
      </c>
      <c r="H4929" s="307" t="s">
        <v>170</v>
      </c>
      <c r="I4929" s="307" t="s">
        <v>171</v>
      </c>
      <c r="J4929" s="308">
        <v>0.12</v>
      </c>
      <c r="K4929" s="309">
        <f>VLOOKUP(G4929,Upah,8,FALSE)</f>
        <v>125000</v>
      </c>
      <c r="L4929" s="310">
        <f>J4929*K4929</f>
        <v>15000</v>
      </c>
    </row>
    <row r="4930" spans="5:13" ht="15" customHeight="1">
      <c r="F4930" s="306"/>
      <c r="G4930" s="301" t="s">
        <v>413</v>
      </c>
      <c r="H4930" s="307" t="s">
        <v>173</v>
      </c>
      <c r="I4930" s="307" t="s">
        <v>171</v>
      </c>
      <c r="J4930" s="308">
        <v>0.12</v>
      </c>
      <c r="K4930" s="309">
        <f>VLOOKUP(G4930,Upah,8,FALSE)</f>
        <v>150000</v>
      </c>
      <c r="L4930" s="310">
        <f>J4930*K4930</f>
        <v>18000</v>
      </c>
    </row>
    <row r="4931" spans="5:13" ht="15" customHeight="1">
      <c r="F4931" s="306"/>
      <c r="G4931" s="301" t="s">
        <v>232</v>
      </c>
      <c r="H4931" s="307" t="s">
        <v>175</v>
      </c>
      <c r="I4931" s="307" t="s">
        <v>171</v>
      </c>
      <c r="J4931" s="308">
        <v>1.2E-2</v>
      </c>
      <c r="K4931" s="309">
        <f>VLOOKUP(G4931,Upah,8,FALSE)</f>
        <v>165000</v>
      </c>
      <c r="L4931" s="310">
        <f>J4931*K4931</f>
        <v>1980</v>
      </c>
    </row>
    <row r="4932" spans="5:13" ht="15" customHeight="1" thickBot="1">
      <c r="F4932" s="306"/>
      <c r="G4932" s="301" t="s">
        <v>176</v>
      </c>
      <c r="H4932" s="307" t="s">
        <v>177</v>
      </c>
      <c r="I4932" s="307" t="s">
        <v>171</v>
      </c>
      <c r="J4932" s="308">
        <v>6.0000000000000001E-3</v>
      </c>
      <c r="K4932" s="309">
        <f>VLOOKUP(G4932,Upah,8,FALSE)</f>
        <v>170000</v>
      </c>
      <c r="L4932" s="310">
        <f>J4932*K4932</f>
        <v>1020</v>
      </c>
    </row>
    <row r="4933" spans="5:13" ht="15" customHeight="1" thickBot="1">
      <c r="F4933" s="316"/>
      <c r="G4933" s="317"/>
      <c r="H4933" s="318"/>
      <c r="I4933" s="318"/>
      <c r="J4933" s="319" t="s">
        <v>178</v>
      </c>
      <c r="K4933" s="320"/>
      <c r="L4933" s="321">
        <f>SUM(L4929:L4932)</f>
        <v>36000</v>
      </c>
    </row>
    <row r="4934" spans="5:13" ht="15" customHeight="1">
      <c r="F4934" s="300" t="s">
        <v>179</v>
      </c>
      <c r="G4934" s="301" t="s">
        <v>180</v>
      </c>
      <c r="H4934" s="302"/>
      <c r="I4934" s="302"/>
      <c r="J4934" s="351"/>
      <c r="K4934" s="328"/>
      <c r="L4934" s="310"/>
    </row>
    <row r="4935" spans="5:13" ht="15" customHeight="1">
      <c r="F4935" s="306"/>
      <c r="G4935" s="301" t="s">
        <v>965</v>
      </c>
      <c r="H4935" s="302"/>
      <c r="I4935" s="307" t="s">
        <v>423</v>
      </c>
      <c r="J4935" s="308">
        <v>12</v>
      </c>
      <c r="K4935" s="328">
        <f>VLOOKUP(G4935,Bahan,6,FALSE)</f>
        <v>42700</v>
      </c>
      <c r="L4935" s="310">
        <f>J4935*K4935</f>
        <v>512400</v>
      </c>
    </row>
    <row r="4936" spans="5:13" ht="15" customHeight="1" thickBot="1">
      <c r="F4936" s="306"/>
      <c r="G4936" s="301" t="s">
        <v>962</v>
      </c>
      <c r="H4936" s="302"/>
      <c r="I4936" s="307" t="s">
        <v>38</v>
      </c>
      <c r="J4936" s="308">
        <v>0.05</v>
      </c>
      <c r="K4936" s="328">
        <f>VLOOKUP(G4936,Bahan,6,FALSE)</f>
        <v>22140</v>
      </c>
      <c r="L4936" s="310">
        <f>J4936*K4936</f>
        <v>1107</v>
      </c>
    </row>
    <row r="4937" spans="5:13" ht="15" customHeight="1" thickBot="1">
      <c r="F4937" s="316"/>
      <c r="G4937" s="317"/>
      <c r="H4937" s="318"/>
      <c r="I4937" s="318"/>
      <c r="J4937" s="319" t="s">
        <v>189</v>
      </c>
      <c r="K4937" s="320"/>
      <c r="L4937" s="321">
        <f>SUM(L4935:L4936)</f>
        <v>513507</v>
      </c>
    </row>
    <row r="4938" spans="5:13" ht="15" customHeight="1" thickBot="1">
      <c r="F4938" s="300" t="s">
        <v>190</v>
      </c>
      <c r="G4938" s="301" t="s">
        <v>191</v>
      </c>
      <c r="H4938" s="302"/>
      <c r="I4938" s="302"/>
      <c r="J4938" s="351"/>
      <c r="K4938" s="328">
        <v>0</v>
      </c>
      <c r="L4938" s="310">
        <f>J4938*K4938</f>
        <v>0</v>
      </c>
    </row>
    <row r="4939" spans="5:13" ht="15" customHeight="1" thickBot="1">
      <c r="F4939" s="316"/>
      <c r="G4939" s="317"/>
      <c r="H4939" s="318"/>
      <c r="I4939" s="318"/>
      <c r="J4939" s="319" t="s">
        <v>192</v>
      </c>
      <c r="K4939" s="320"/>
      <c r="L4939" s="321">
        <f>L4938</f>
        <v>0</v>
      </c>
    </row>
    <row r="4940" spans="5:13" ht="15" customHeight="1">
      <c r="F4940" s="344" t="s">
        <v>193</v>
      </c>
      <c r="G4940" s="345" t="s">
        <v>194</v>
      </c>
      <c r="H4940" s="346"/>
      <c r="I4940" s="346"/>
      <c r="J4940" s="347"/>
      <c r="K4940" s="348">
        <v>0</v>
      </c>
      <c r="L4940" s="310">
        <f>SUM(L4929:L4939)/2</f>
        <v>549507</v>
      </c>
    </row>
    <row r="4941" spans="5:13" ht="15" customHeight="1" thickBot="1">
      <c r="F4941" s="331" t="s">
        <v>195</v>
      </c>
      <c r="G4941" s="332" t="s">
        <v>196</v>
      </c>
      <c r="H4941" s="333"/>
      <c r="I4941" s="333"/>
      <c r="J4941" s="350">
        <v>0.1</v>
      </c>
      <c r="K4941" s="335"/>
      <c r="L4941" s="330">
        <f>J4941*L4940</f>
        <v>54950.700000000004</v>
      </c>
    </row>
    <row r="4942" spans="5:13" ht="15" customHeight="1" thickBot="1">
      <c r="F4942" s="340" t="s">
        <v>197</v>
      </c>
      <c r="G4942" s="341" t="s">
        <v>198</v>
      </c>
      <c r="H4942" s="318"/>
      <c r="I4942" s="318"/>
      <c r="J4942" s="342"/>
      <c r="K4942" s="320">
        <v>0</v>
      </c>
      <c r="L4942" s="321">
        <f>ROUNDDOWN(L4940+L4941,0)</f>
        <v>604457</v>
      </c>
    </row>
    <row r="4943" spans="5:13" ht="15" customHeight="1">
      <c r="F4943" s="298"/>
      <c r="G4943" s="298"/>
      <c r="J4943" s="343"/>
    </row>
    <row r="4944" spans="5:13" ht="15" customHeight="1" thickBot="1">
      <c r="E4944" s="356" t="s">
        <v>966</v>
      </c>
      <c r="F4944" s="295" t="s">
        <v>967</v>
      </c>
      <c r="J4944" s="343"/>
      <c r="M4944" s="299">
        <f>L4960</f>
        <v>458388</v>
      </c>
    </row>
    <row r="4945" spans="6:12" ht="15" customHeight="1" thickBot="1">
      <c r="F4945" s="340" t="s">
        <v>136</v>
      </c>
      <c r="G4945" s="341" t="s">
        <v>162</v>
      </c>
      <c r="H4945" s="352" t="s">
        <v>163</v>
      </c>
      <c r="I4945" s="352" t="s">
        <v>138</v>
      </c>
      <c r="J4945" s="353" t="s">
        <v>164</v>
      </c>
      <c r="K4945" s="341" t="s">
        <v>165</v>
      </c>
      <c r="L4945" s="354" t="s">
        <v>166</v>
      </c>
    </row>
    <row r="4946" spans="6:12" ht="15" customHeight="1">
      <c r="F4946" s="300" t="s">
        <v>167</v>
      </c>
      <c r="G4946" s="301" t="s">
        <v>168</v>
      </c>
      <c r="H4946" s="302"/>
      <c r="I4946" s="302"/>
      <c r="J4946" s="351"/>
      <c r="K4946" s="328"/>
      <c r="L4946" s="310"/>
    </row>
    <row r="4947" spans="6:12" ht="15" customHeight="1">
      <c r="F4947" s="306"/>
      <c r="G4947" s="301" t="s">
        <v>169</v>
      </c>
      <c r="H4947" s="307" t="s">
        <v>170</v>
      </c>
      <c r="I4947" s="307" t="s">
        <v>171</v>
      </c>
      <c r="J4947" s="308">
        <v>0.12</v>
      </c>
      <c r="K4947" s="309">
        <f>VLOOKUP(G4947,Upah,8,FALSE)</f>
        <v>125000</v>
      </c>
      <c r="L4947" s="310">
        <f>J4947*K4947</f>
        <v>15000</v>
      </c>
    </row>
    <row r="4948" spans="6:12" ht="15" customHeight="1">
      <c r="F4948" s="306"/>
      <c r="G4948" s="301" t="s">
        <v>413</v>
      </c>
      <c r="H4948" s="307" t="s">
        <v>173</v>
      </c>
      <c r="I4948" s="307" t="s">
        <v>171</v>
      </c>
      <c r="J4948" s="308">
        <v>0.12</v>
      </c>
      <c r="K4948" s="309">
        <f>VLOOKUP(G4948,Upah,8,FALSE)</f>
        <v>150000</v>
      </c>
      <c r="L4948" s="310">
        <f>J4948*K4948</f>
        <v>18000</v>
      </c>
    </row>
    <row r="4949" spans="6:12" ht="15" customHeight="1">
      <c r="F4949" s="306"/>
      <c r="G4949" s="301" t="s">
        <v>232</v>
      </c>
      <c r="H4949" s="307" t="s">
        <v>175</v>
      </c>
      <c r="I4949" s="307" t="s">
        <v>171</v>
      </c>
      <c r="J4949" s="308">
        <v>1.2E-2</v>
      </c>
      <c r="K4949" s="309">
        <f>VLOOKUP(G4949,Upah,8,FALSE)</f>
        <v>165000</v>
      </c>
      <c r="L4949" s="310">
        <f>J4949*K4949</f>
        <v>1980</v>
      </c>
    </row>
    <row r="4950" spans="6:12" ht="15" customHeight="1" thickBot="1">
      <c r="F4950" s="306"/>
      <c r="G4950" s="301" t="s">
        <v>176</v>
      </c>
      <c r="H4950" s="307" t="s">
        <v>177</v>
      </c>
      <c r="I4950" s="307" t="s">
        <v>171</v>
      </c>
      <c r="J4950" s="308">
        <v>6.0000000000000001E-3</v>
      </c>
      <c r="K4950" s="309">
        <f>VLOOKUP(G4950,Upah,8,FALSE)</f>
        <v>170000</v>
      </c>
      <c r="L4950" s="310">
        <f>J4950*K4950</f>
        <v>1020</v>
      </c>
    </row>
    <row r="4951" spans="6:12" ht="15" customHeight="1" thickBot="1">
      <c r="F4951" s="316"/>
      <c r="G4951" s="317"/>
      <c r="H4951" s="318"/>
      <c r="I4951" s="318"/>
      <c r="J4951" s="319" t="s">
        <v>178</v>
      </c>
      <c r="K4951" s="320"/>
      <c r="L4951" s="321">
        <f>SUM(L4947:L4950)</f>
        <v>36000</v>
      </c>
    </row>
    <row r="4952" spans="6:12" ht="15" customHeight="1">
      <c r="F4952" s="300" t="s">
        <v>179</v>
      </c>
      <c r="G4952" s="301" t="s">
        <v>180</v>
      </c>
      <c r="H4952" s="302"/>
      <c r="I4952" s="302"/>
      <c r="J4952" s="351"/>
      <c r="K4952" s="328"/>
      <c r="L4952" s="310"/>
    </row>
    <row r="4953" spans="6:12" ht="15" customHeight="1">
      <c r="F4953" s="306"/>
      <c r="G4953" s="301" t="s">
        <v>968</v>
      </c>
      <c r="H4953" s="302"/>
      <c r="I4953" s="307" t="s">
        <v>423</v>
      </c>
      <c r="J4953" s="308">
        <v>5.8</v>
      </c>
      <c r="K4953" s="328">
        <f>VLOOKUP(G4953,Bahan,6,FALSE)</f>
        <v>65450</v>
      </c>
      <c r="L4953" s="310">
        <f>J4953*K4953</f>
        <v>379610</v>
      </c>
    </row>
    <row r="4954" spans="6:12" ht="15" customHeight="1" thickBot="1">
      <c r="F4954" s="306"/>
      <c r="G4954" s="301" t="s">
        <v>962</v>
      </c>
      <c r="H4954" s="302"/>
      <c r="I4954" s="307" t="s">
        <v>38</v>
      </c>
      <c r="J4954" s="308">
        <v>0.05</v>
      </c>
      <c r="K4954" s="328">
        <f>VLOOKUP(G4954,Bahan,6,FALSE)</f>
        <v>22140</v>
      </c>
      <c r="L4954" s="310">
        <f>J4954*K4954</f>
        <v>1107</v>
      </c>
    </row>
    <row r="4955" spans="6:12" ht="15" customHeight="1" thickBot="1">
      <c r="F4955" s="316"/>
      <c r="G4955" s="317"/>
      <c r="H4955" s="318"/>
      <c r="I4955" s="318"/>
      <c r="J4955" s="319" t="s">
        <v>189</v>
      </c>
      <c r="K4955" s="320"/>
      <c r="L4955" s="321">
        <f>SUM(L4953:L4954)</f>
        <v>380717</v>
      </c>
    </row>
    <row r="4956" spans="6:12" ht="15" customHeight="1" thickBot="1">
      <c r="F4956" s="300" t="s">
        <v>190</v>
      </c>
      <c r="G4956" s="301" t="s">
        <v>191</v>
      </c>
      <c r="H4956" s="302"/>
      <c r="I4956" s="302"/>
      <c r="J4956" s="351"/>
      <c r="K4956" s="328">
        <v>0</v>
      </c>
      <c r="L4956" s="310">
        <f>J4956*K4956</f>
        <v>0</v>
      </c>
    </row>
    <row r="4957" spans="6:12" ht="15" customHeight="1" thickBot="1">
      <c r="F4957" s="316"/>
      <c r="G4957" s="317"/>
      <c r="H4957" s="318"/>
      <c r="I4957" s="318"/>
      <c r="J4957" s="319" t="s">
        <v>192</v>
      </c>
      <c r="K4957" s="320"/>
      <c r="L4957" s="321">
        <f>L4956</f>
        <v>0</v>
      </c>
    </row>
    <row r="4958" spans="6:12" ht="15" customHeight="1">
      <c r="F4958" s="344" t="s">
        <v>193</v>
      </c>
      <c r="G4958" s="345" t="s">
        <v>194</v>
      </c>
      <c r="H4958" s="346"/>
      <c r="I4958" s="346"/>
      <c r="J4958" s="347"/>
      <c r="K4958" s="348">
        <v>0</v>
      </c>
      <c r="L4958" s="310">
        <f>SUM(L4947:L4957)/2</f>
        <v>416717</v>
      </c>
    </row>
    <row r="4959" spans="6:12" ht="15" customHeight="1" thickBot="1">
      <c r="F4959" s="331" t="s">
        <v>195</v>
      </c>
      <c r="G4959" s="332" t="s">
        <v>196</v>
      </c>
      <c r="H4959" s="333"/>
      <c r="I4959" s="333"/>
      <c r="J4959" s="350">
        <v>0.1</v>
      </c>
      <c r="K4959" s="335"/>
      <c r="L4959" s="330">
        <f>J4959*L4958</f>
        <v>41671.700000000004</v>
      </c>
    </row>
    <row r="4960" spans="6:12" ht="15" customHeight="1" thickBot="1">
      <c r="F4960" s="340" t="s">
        <v>197</v>
      </c>
      <c r="G4960" s="341" t="s">
        <v>198</v>
      </c>
      <c r="H4960" s="318"/>
      <c r="I4960" s="318"/>
      <c r="J4960" s="342"/>
      <c r="K4960" s="320">
        <v>0</v>
      </c>
      <c r="L4960" s="321">
        <f>ROUNDDOWN(L4958+L4959,0)</f>
        <v>458388</v>
      </c>
    </row>
    <row r="4961" spans="5:13" ht="15" customHeight="1">
      <c r="F4961" s="298"/>
      <c r="G4961" s="298"/>
      <c r="J4961" s="343"/>
    </row>
    <row r="4962" spans="5:13" ht="15" customHeight="1" thickBot="1">
      <c r="E4962" s="356" t="s">
        <v>969</v>
      </c>
      <c r="F4962" s="295" t="s">
        <v>970</v>
      </c>
      <c r="J4962" s="343"/>
      <c r="M4962" s="299">
        <f>L4978</f>
        <v>293993</v>
      </c>
    </row>
    <row r="4963" spans="5:13" ht="15" customHeight="1" thickBot="1">
      <c r="F4963" s="340" t="s">
        <v>136</v>
      </c>
      <c r="G4963" s="341" t="s">
        <v>162</v>
      </c>
      <c r="H4963" s="352" t="s">
        <v>163</v>
      </c>
      <c r="I4963" s="352" t="s">
        <v>138</v>
      </c>
      <c r="J4963" s="353" t="s">
        <v>164</v>
      </c>
      <c r="K4963" s="341" t="s">
        <v>165</v>
      </c>
      <c r="L4963" s="354" t="s">
        <v>166</v>
      </c>
    </row>
    <row r="4964" spans="5:13" ht="15" customHeight="1">
      <c r="F4964" s="300" t="s">
        <v>167</v>
      </c>
      <c r="G4964" s="301" t="s">
        <v>168</v>
      </c>
      <c r="H4964" s="302"/>
      <c r="I4964" s="302"/>
      <c r="J4964" s="351"/>
      <c r="K4964" s="328"/>
      <c r="L4964" s="310"/>
    </row>
    <row r="4965" spans="5:13" ht="15" customHeight="1">
      <c r="F4965" s="306"/>
      <c r="G4965" s="301" t="s">
        <v>169</v>
      </c>
      <c r="H4965" s="307" t="s">
        <v>170</v>
      </c>
      <c r="I4965" s="307" t="s">
        <v>171</v>
      </c>
      <c r="J4965" s="308">
        <v>0.1</v>
      </c>
      <c r="K4965" s="309">
        <f>VLOOKUP(G4965,Upah,8,FALSE)</f>
        <v>125000</v>
      </c>
      <c r="L4965" s="310">
        <f>J4965*K4965</f>
        <v>12500</v>
      </c>
    </row>
    <row r="4966" spans="5:13" ht="15" customHeight="1">
      <c r="F4966" s="306"/>
      <c r="G4966" s="301" t="s">
        <v>413</v>
      </c>
      <c r="H4966" s="307" t="s">
        <v>173</v>
      </c>
      <c r="I4966" s="307" t="s">
        <v>171</v>
      </c>
      <c r="J4966" s="308">
        <v>0.1</v>
      </c>
      <c r="K4966" s="309">
        <f>VLOOKUP(G4966,Upah,8,FALSE)</f>
        <v>150000</v>
      </c>
      <c r="L4966" s="310">
        <f>J4966*K4966</f>
        <v>15000</v>
      </c>
    </row>
    <row r="4967" spans="5:13" ht="15" customHeight="1">
      <c r="F4967" s="306"/>
      <c r="G4967" s="301" t="s">
        <v>232</v>
      </c>
      <c r="H4967" s="307" t="s">
        <v>175</v>
      </c>
      <c r="I4967" s="307" t="s">
        <v>171</v>
      </c>
      <c r="J4967" s="308">
        <v>0.01</v>
      </c>
      <c r="K4967" s="309">
        <f>VLOOKUP(G4967,Upah,8,FALSE)</f>
        <v>165000</v>
      </c>
      <c r="L4967" s="310">
        <f>J4967*K4967</f>
        <v>1650</v>
      </c>
    </row>
    <row r="4968" spans="5:13" ht="15" customHeight="1" thickBot="1">
      <c r="F4968" s="306"/>
      <c r="G4968" s="301" t="s">
        <v>176</v>
      </c>
      <c r="H4968" s="307" t="s">
        <v>177</v>
      </c>
      <c r="I4968" s="307" t="s">
        <v>171</v>
      </c>
      <c r="J4968" s="308">
        <v>5.0000000000000001E-3</v>
      </c>
      <c r="K4968" s="309">
        <f>VLOOKUP(G4968,Upah,8,FALSE)</f>
        <v>170000</v>
      </c>
      <c r="L4968" s="310">
        <f>J4968*K4968</f>
        <v>850</v>
      </c>
    </row>
    <row r="4969" spans="5:13" ht="15" customHeight="1" thickBot="1">
      <c r="F4969" s="316"/>
      <c r="G4969" s="317"/>
      <c r="H4969" s="318"/>
      <c r="I4969" s="318"/>
      <c r="J4969" s="319" t="s">
        <v>178</v>
      </c>
      <c r="K4969" s="320"/>
      <c r="L4969" s="321">
        <f>SUM(L4965:L4968)</f>
        <v>30000</v>
      </c>
    </row>
    <row r="4970" spans="5:13" ht="15" customHeight="1">
      <c r="F4970" s="300" t="s">
        <v>179</v>
      </c>
      <c r="G4970" s="301" t="s">
        <v>180</v>
      </c>
      <c r="H4970" s="302"/>
      <c r="I4970" s="302"/>
      <c r="J4970" s="351"/>
      <c r="K4970" s="328"/>
      <c r="L4970" s="310"/>
    </row>
    <row r="4971" spans="5:13" ht="15" customHeight="1">
      <c r="F4971" s="306"/>
      <c r="G4971" s="301" t="s">
        <v>971</v>
      </c>
      <c r="H4971" s="302"/>
      <c r="I4971" s="307" t="s">
        <v>423</v>
      </c>
      <c r="J4971" s="308">
        <v>1.5</v>
      </c>
      <c r="K4971" s="328">
        <f>VLOOKUP(G4971,Bahan,6,FALSE)</f>
        <v>157440</v>
      </c>
      <c r="L4971" s="310">
        <f>J4971*K4971</f>
        <v>236160</v>
      </c>
    </row>
    <row r="4972" spans="5:13" ht="15" customHeight="1" thickBot="1">
      <c r="F4972" s="306"/>
      <c r="G4972" s="301" t="s">
        <v>962</v>
      </c>
      <c r="H4972" s="302"/>
      <c r="I4972" s="307" t="s">
        <v>38</v>
      </c>
      <c r="J4972" s="308">
        <v>0.05</v>
      </c>
      <c r="K4972" s="328">
        <f>VLOOKUP(G4972,Bahan,6,FALSE)</f>
        <v>22140</v>
      </c>
      <c r="L4972" s="310">
        <f>J4972*K4972</f>
        <v>1107</v>
      </c>
    </row>
    <row r="4973" spans="5:13" ht="15" customHeight="1" thickBot="1">
      <c r="F4973" s="316"/>
      <c r="G4973" s="317"/>
      <c r="H4973" s="318"/>
      <c r="I4973" s="318"/>
      <c r="J4973" s="319" t="s">
        <v>189</v>
      </c>
      <c r="K4973" s="320"/>
      <c r="L4973" s="321">
        <f>SUM(L4971:L4972)</f>
        <v>237267</v>
      </c>
    </row>
    <row r="4974" spans="5:13" ht="15" customHeight="1" thickBot="1">
      <c r="F4974" s="300" t="s">
        <v>190</v>
      </c>
      <c r="G4974" s="301" t="s">
        <v>191</v>
      </c>
      <c r="H4974" s="302"/>
      <c r="I4974" s="302"/>
      <c r="J4974" s="351"/>
      <c r="K4974" s="328">
        <v>0</v>
      </c>
      <c r="L4974" s="310">
        <f>J4974*K4974</f>
        <v>0</v>
      </c>
    </row>
    <row r="4975" spans="5:13" ht="15" customHeight="1" thickBot="1">
      <c r="F4975" s="316"/>
      <c r="G4975" s="317"/>
      <c r="H4975" s="318"/>
      <c r="I4975" s="318"/>
      <c r="J4975" s="319" t="s">
        <v>192</v>
      </c>
      <c r="K4975" s="320"/>
      <c r="L4975" s="321">
        <f>L4974</f>
        <v>0</v>
      </c>
    </row>
    <row r="4976" spans="5:13" ht="15" customHeight="1">
      <c r="F4976" s="344" t="s">
        <v>193</v>
      </c>
      <c r="G4976" s="345" t="s">
        <v>194</v>
      </c>
      <c r="H4976" s="346"/>
      <c r="I4976" s="346"/>
      <c r="J4976" s="347"/>
      <c r="K4976" s="348">
        <v>0</v>
      </c>
      <c r="L4976" s="310">
        <f>SUM(L4965:L4975)/2</f>
        <v>267267</v>
      </c>
    </row>
    <row r="4977" spans="5:13" ht="15" customHeight="1" thickBot="1">
      <c r="F4977" s="331" t="s">
        <v>195</v>
      </c>
      <c r="G4977" s="332" t="s">
        <v>196</v>
      </c>
      <c r="H4977" s="333"/>
      <c r="I4977" s="333"/>
      <c r="J4977" s="350">
        <v>0.1</v>
      </c>
      <c r="K4977" s="335"/>
      <c r="L4977" s="330">
        <f>J4977*L4976</f>
        <v>26726.7</v>
      </c>
    </row>
    <row r="4978" spans="5:13" ht="15" customHeight="1" thickBot="1">
      <c r="F4978" s="340" t="s">
        <v>197</v>
      </c>
      <c r="G4978" s="341" t="s">
        <v>198</v>
      </c>
      <c r="H4978" s="318"/>
      <c r="I4978" s="318"/>
      <c r="J4978" s="342"/>
      <c r="K4978" s="320">
        <v>0</v>
      </c>
      <c r="L4978" s="321">
        <f>ROUNDDOWN(L4976+L4977,0)</f>
        <v>293993</v>
      </c>
    </row>
    <row r="4979" spans="5:13" ht="15" customHeight="1">
      <c r="F4979" s="298"/>
      <c r="G4979" s="298"/>
      <c r="J4979" s="343"/>
    </row>
    <row r="4980" spans="5:13" ht="15" customHeight="1" thickBot="1">
      <c r="E4980" s="356" t="s">
        <v>972</v>
      </c>
      <c r="F4980" s="295" t="s">
        <v>973</v>
      </c>
      <c r="J4980" s="343"/>
      <c r="M4980" s="299">
        <f>L4996</f>
        <v>53113</v>
      </c>
    </row>
    <row r="4981" spans="5:13" ht="15" customHeight="1" thickBot="1">
      <c r="F4981" s="340" t="s">
        <v>136</v>
      </c>
      <c r="G4981" s="341" t="s">
        <v>162</v>
      </c>
      <c r="H4981" s="352" t="s">
        <v>163</v>
      </c>
      <c r="I4981" s="352" t="s">
        <v>138</v>
      </c>
      <c r="J4981" s="353" t="s">
        <v>164</v>
      </c>
      <c r="K4981" s="341" t="s">
        <v>165</v>
      </c>
      <c r="L4981" s="354" t="s">
        <v>166</v>
      </c>
    </row>
    <row r="4982" spans="5:13" ht="15" customHeight="1">
      <c r="F4982" s="300" t="s">
        <v>167</v>
      </c>
      <c r="G4982" s="301" t="s">
        <v>168</v>
      </c>
      <c r="H4982" s="302"/>
      <c r="I4982" s="302"/>
      <c r="J4982" s="351"/>
      <c r="K4982" s="328"/>
      <c r="L4982" s="310"/>
    </row>
    <row r="4983" spans="5:13" ht="15" customHeight="1">
      <c r="F4983" s="306"/>
      <c r="G4983" s="301" t="s">
        <v>169</v>
      </c>
      <c r="H4983" s="307" t="s">
        <v>170</v>
      </c>
      <c r="I4983" s="307" t="s">
        <v>171</v>
      </c>
      <c r="J4983" s="308">
        <v>0.1</v>
      </c>
      <c r="K4983" s="309">
        <f>VLOOKUP(G4983,Upah,8,FALSE)</f>
        <v>125000</v>
      </c>
      <c r="L4983" s="310">
        <f>J4983*K4983</f>
        <v>12500</v>
      </c>
    </row>
    <row r="4984" spans="5:13" ht="15" customHeight="1">
      <c r="F4984" s="306"/>
      <c r="G4984" s="301" t="s">
        <v>413</v>
      </c>
      <c r="H4984" s="307" t="s">
        <v>173</v>
      </c>
      <c r="I4984" s="307" t="s">
        <v>171</v>
      </c>
      <c r="J4984" s="308">
        <v>0.1</v>
      </c>
      <c r="K4984" s="309">
        <f>VLOOKUP(G4984,Upah,8,FALSE)</f>
        <v>150000</v>
      </c>
      <c r="L4984" s="310">
        <f>J4984*K4984</f>
        <v>15000</v>
      </c>
    </row>
    <row r="4985" spans="5:13" ht="15" customHeight="1">
      <c r="F4985" s="306"/>
      <c r="G4985" s="301" t="s">
        <v>232</v>
      </c>
      <c r="H4985" s="307" t="s">
        <v>175</v>
      </c>
      <c r="I4985" s="307" t="s">
        <v>171</v>
      </c>
      <c r="J4985" s="308">
        <v>0.01</v>
      </c>
      <c r="K4985" s="309">
        <f>VLOOKUP(G4985,Upah,8,FALSE)</f>
        <v>165000</v>
      </c>
      <c r="L4985" s="310">
        <f>J4985*K4985</f>
        <v>1650</v>
      </c>
    </row>
    <row r="4986" spans="5:13" ht="15" customHeight="1" thickBot="1">
      <c r="F4986" s="306"/>
      <c r="G4986" s="301" t="s">
        <v>176</v>
      </c>
      <c r="H4986" s="307" t="s">
        <v>177</v>
      </c>
      <c r="I4986" s="307" t="s">
        <v>171</v>
      </c>
      <c r="J4986" s="308">
        <v>5.0000000000000001E-3</v>
      </c>
      <c r="K4986" s="309">
        <f>VLOOKUP(G4986,Upah,8,FALSE)</f>
        <v>170000</v>
      </c>
      <c r="L4986" s="310">
        <f>J4986*K4986</f>
        <v>850</v>
      </c>
    </row>
    <row r="4987" spans="5:13" ht="15" customHeight="1" thickBot="1">
      <c r="F4987" s="316"/>
      <c r="G4987" s="317"/>
      <c r="H4987" s="318"/>
      <c r="I4987" s="318"/>
      <c r="J4987" s="319" t="s">
        <v>178</v>
      </c>
      <c r="K4987" s="320"/>
      <c r="L4987" s="321">
        <f>SUM(L4983:L4986)</f>
        <v>30000</v>
      </c>
    </row>
    <row r="4988" spans="5:13" ht="15" customHeight="1">
      <c r="F4988" s="300" t="s">
        <v>179</v>
      </c>
      <c r="G4988" s="301" t="s">
        <v>180</v>
      </c>
      <c r="H4988" s="302"/>
      <c r="I4988" s="302"/>
      <c r="J4988" s="351"/>
      <c r="K4988" s="328"/>
      <c r="L4988" s="310"/>
    </row>
    <row r="4989" spans="5:13" ht="15" customHeight="1">
      <c r="F4989" s="306"/>
      <c r="G4989" s="301" t="s">
        <v>974</v>
      </c>
      <c r="H4989" s="302"/>
      <c r="I4989" s="307" t="s">
        <v>423</v>
      </c>
      <c r="J4989" s="308">
        <v>0.375</v>
      </c>
      <c r="K4989" s="328">
        <f>VLOOKUP(G4989,Bahan,6,FALSE)</f>
        <v>46990</v>
      </c>
      <c r="L4989" s="310">
        <f>J4989*K4989</f>
        <v>17621.25</v>
      </c>
    </row>
    <row r="4990" spans="5:13" ht="15" customHeight="1" thickBot="1">
      <c r="F4990" s="306"/>
      <c r="G4990" s="301" t="s">
        <v>962</v>
      </c>
      <c r="H4990" s="302"/>
      <c r="I4990" s="307" t="s">
        <v>38</v>
      </c>
      <c r="J4990" s="308">
        <v>0.03</v>
      </c>
      <c r="K4990" s="328">
        <f>VLOOKUP(G4990,Bahan,6,FALSE)</f>
        <v>22140</v>
      </c>
      <c r="L4990" s="310">
        <f>J4990*K4990</f>
        <v>664.19999999999993</v>
      </c>
    </row>
    <row r="4991" spans="5:13" ht="15" customHeight="1" thickBot="1">
      <c r="F4991" s="316"/>
      <c r="G4991" s="317"/>
      <c r="H4991" s="318"/>
      <c r="I4991" s="318"/>
      <c r="J4991" s="319" t="s">
        <v>189</v>
      </c>
      <c r="K4991" s="320"/>
      <c r="L4991" s="321">
        <f>SUM(L4989:L4990)</f>
        <v>18285.45</v>
      </c>
    </row>
    <row r="4992" spans="5:13" ht="15" customHeight="1" thickBot="1">
      <c r="F4992" s="300" t="s">
        <v>190</v>
      </c>
      <c r="G4992" s="301" t="s">
        <v>191</v>
      </c>
      <c r="H4992" s="302"/>
      <c r="I4992" s="302"/>
      <c r="J4992" s="351"/>
      <c r="K4992" s="328">
        <v>0</v>
      </c>
      <c r="L4992" s="310">
        <f>J4992*K4992</f>
        <v>0</v>
      </c>
    </row>
    <row r="4993" spans="5:13" ht="15" customHeight="1" thickBot="1">
      <c r="F4993" s="316"/>
      <c r="G4993" s="317"/>
      <c r="H4993" s="318"/>
      <c r="I4993" s="318"/>
      <c r="J4993" s="319" t="s">
        <v>192</v>
      </c>
      <c r="K4993" s="320"/>
      <c r="L4993" s="321">
        <f>L4992</f>
        <v>0</v>
      </c>
    </row>
    <row r="4994" spans="5:13" ht="15" customHeight="1">
      <c r="F4994" s="344" t="s">
        <v>193</v>
      </c>
      <c r="G4994" s="345" t="s">
        <v>194</v>
      </c>
      <c r="H4994" s="346"/>
      <c r="I4994" s="346"/>
      <c r="J4994" s="347"/>
      <c r="K4994" s="348">
        <v>0</v>
      </c>
      <c r="L4994" s="310">
        <f>SUM(L4983:L4993)/2</f>
        <v>48285.45</v>
      </c>
    </row>
    <row r="4995" spans="5:13" ht="15" customHeight="1" thickBot="1">
      <c r="F4995" s="331" t="s">
        <v>195</v>
      </c>
      <c r="G4995" s="332" t="s">
        <v>196</v>
      </c>
      <c r="H4995" s="333"/>
      <c r="I4995" s="333"/>
      <c r="J4995" s="350">
        <v>0.1</v>
      </c>
      <c r="K4995" s="335"/>
      <c r="L4995" s="330">
        <f>J4995*L4994</f>
        <v>4828.5450000000001</v>
      </c>
    </row>
    <row r="4996" spans="5:13" ht="15" customHeight="1" thickBot="1">
      <c r="F4996" s="340" t="s">
        <v>197</v>
      </c>
      <c r="G4996" s="341" t="s">
        <v>198</v>
      </c>
      <c r="H4996" s="318"/>
      <c r="I4996" s="318"/>
      <c r="J4996" s="342"/>
      <c r="K4996" s="320">
        <v>0</v>
      </c>
      <c r="L4996" s="321">
        <f>ROUNDDOWN(L4994+L4995,0)</f>
        <v>53113</v>
      </c>
    </row>
    <row r="4997" spans="5:13" ht="15" customHeight="1">
      <c r="F4997" s="298"/>
      <c r="G4997" s="298"/>
      <c r="J4997" s="343"/>
    </row>
    <row r="4998" spans="5:13" ht="15" customHeight="1" thickBot="1">
      <c r="E4998" s="356" t="s">
        <v>975</v>
      </c>
      <c r="F4998" s="295" t="s">
        <v>976</v>
      </c>
      <c r="J4998" s="343"/>
      <c r="M4998" s="299">
        <f>L5014</f>
        <v>338493</v>
      </c>
    </row>
    <row r="4999" spans="5:13" ht="15" customHeight="1" thickBot="1">
      <c r="F4999" s="340" t="s">
        <v>136</v>
      </c>
      <c r="G4999" s="341" t="s">
        <v>162</v>
      </c>
      <c r="H4999" s="352" t="s">
        <v>163</v>
      </c>
      <c r="I4999" s="352" t="s">
        <v>138</v>
      </c>
      <c r="J4999" s="353" t="s">
        <v>164</v>
      </c>
      <c r="K4999" s="341" t="s">
        <v>165</v>
      </c>
      <c r="L4999" s="354" t="s">
        <v>166</v>
      </c>
    </row>
    <row r="5000" spans="5:13" ht="15" customHeight="1">
      <c r="F5000" s="300" t="s">
        <v>167</v>
      </c>
      <c r="G5000" s="301" t="s">
        <v>168</v>
      </c>
      <c r="H5000" s="302"/>
      <c r="I5000" s="302"/>
      <c r="J5000" s="351"/>
      <c r="K5000" s="328"/>
      <c r="L5000" s="310"/>
    </row>
    <row r="5001" spans="5:13" ht="15" customHeight="1">
      <c r="F5001" s="306"/>
      <c r="G5001" s="301" t="s">
        <v>169</v>
      </c>
      <c r="H5001" s="307" t="s">
        <v>170</v>
      </c>
      <c r="I5001" s="307" t="s">
        <v>171</v>
      </c>
      <c r="J5001" s="308">
        <v>0.8</v>
      </c>
      <c r="K5001" s="309">
        <f>VLOOKUP(G5001,Upah,8,FALSE)</f>
        <v>125000</v>
      </c>
      <c r="L5001" s="310">
        <f>J5001*K5001</f>
        <v>100000</v>
      </c>
    </row>
    <row r="5002" spans="5:13" ht="15" customHeight="1">
      <c r="F5002" s="306"/>
      <c r="G5002" s="301" t="s">
        <v>413</v>
      </c>
      <c r="H5002" s="307" t="s">
        <v>173</v>
      </c>
      <c r="I5002" s="307" t="s">
        <v>171</v>
      </c>
      <c r="J5002" s="308">
        <v>0.8</v>
      </c>
      <c r="K5002" s="309">
        <f>VLOOKUP(G5002,Upah,8,FALSE)</f>
        <v>150000</v>
      </c>
      <c r="L5002" s="310">
        <f>J5002*K5002</f>
        <v>120000</v>
      </c>
    </row>
    <row r="5003" spans="5:13" ht="15" customHeight="1">
      <c r="F5003" s="306"/>
      <c r="G5003" s="301" t="s">
        <v>232</v>
      </c>
      <c r="H5003" s="307" t="s">
        <v>175</v>
      </c>
      <c r="I5003" s="307" t="s">
        <v>171</v>
      </c>
      <c r="J5003" s="308">
        <v>0.08</v>
      </c>
      <c r="K5003" s="309">
        <f>VLOOKUP(G5003,Upah,8,FALSE)</f>
        <v>165000</v>
      </c>
      <c r="L5003" s="310">
        <f>J5003*K5003</f>
        <v>13200</v>
      </c>
    </row>
    <row r="5004" spans="5:13" ht="15" customHeight="1" thickBot="1">
      <c r="F5004" s="306"/>
      <c r="G5004" s="301" t="s">
        <v>176</v>
      </c>
      <c r="H5004" s="307" t="s">
        <v>177</v>
      </c>
      <c r="I5004" s="307" t="s">
        <v>171</v>
      </c>
      <c r="J5004" s="308">
        <v>0.04</v>
      </c>
      <c r="K5004" s="309">
        <f>VLOOKUP(G5004,Upah,8,FALSE)</f>
        <v>170000</v>
      </c>
      <c r="L5004" s="310">
        <f>J5004*K5004</f>
        <v>6800</v>
      </c>
    </row>
    <row r="5005" spans="5:13" ht="15" customHeight="1" thickBot="1">
      <c r="F5005" s="316"/>
      <c r="G5005" s="317"/>
      <c r="H5005" s="318"/>
      <c r="I5005" s="318"/>
      <c r="J5005" s="319" t="s">
        <v>178</v>
      </c>
      <c r="K5005" s="320"/>
      <c r="L5005" s="321">
        <f>SUM(L5001:L5004)</f>
        <v>240000</v>
      </c>
    </row>
    <row r="5006" spans="5:13" ht="15" customHeight="1">
      <c r="F5006" s="300" t="s">
        <v>179</v>
      </c>
      <c r="G5006" s="301" t="s">
        <v>180</v>
      </c>
      <c r="H5006" s="302"/>
      <c r="I5006" s="302"/>
      <c r="J5006" s="351"/>
      <c r="K5006" s="328"/>
      <c r="L5006" s="310"/>
    </row>
    <row r="5007" spans="5:13" ht="15" customHeight="1">
      <c r="F5007" s="306"/>
      <c r="G5007" s="301" t="s">
        <v>977</v>
      </c>
      <c r="H5007" s="302"/>
      <c r="I5007" s="307" t="s">
        <v>44</v>
      </c>
      <c r="J5007" s="308">
        <v>1.4999999999999999E-2</v>
      </c>
      <c r="K5007" s="328">
        <f>VLOOKUP(G5007,Bahan,6,FALSE)</f>
        <v>4500000</v>
      </c>
      <c r="L5007" s="310">
        <f>J5007*K5007</f>
        <v>67500</v>
      </c>
    </row>
    <row r="5008" spans="5:13" ht="15" customHeight="1" thickBot="1">
      <c r="F5008" s="306"/>
      <c r="G5008" s="301" t="s">
        <v>962</v>
      </c>
      <c r="H5008" s="302"/>
      <c r="I5008" s="307" t="s">
        <v>38</v>
      </c>
      <c r="J5008" s="308">
        <v>0.01</v>
      </c>
      <c r="K5008" s="328">
        <f>VLOOKUP(G5008,Bahan,6,FALSE)</f>
        <v>22140</v>
      </c>
      <c r="L5008" s="310">
        <f>J5008*K5008</f>
        <v>221.4</v>
      </c>
    </row>
    <row r="5009" spans="5:13" ht="15" customHeight="1" thickBot="1">
      <c r="F5009" s="316"/>
      <c r="G5009" s="317"/>
      <c r="H5009" s="318"/>
      <c r="I5009" s="318"/>
      <c r="J5009" s="319" t="s">
        <v>189</v>
      </c>
      <c r="K5009" s="320"/>
      <c r="L5009" s="321">
        <f>SUM(L5007:L5008)</f>
        <v>67721.399999999994</v>
      </c>
    </row>
    <row r="5010" spans="5:13" ht="15" customHeight="1" thickBot="1">
      <c r="F5010" s="300" t="s">
        <v>190</v>
      </c>
      <c r="G5010" s="301" t="s">
        <v>191</v>
      </c>
      <c r="H5010" s="302"/>
      <c r="I5010" s="302"/>
      <c r="J5010" s="351"/>
      <c r="K5010" s="328">
        <v>0</v>
      </c>
      <c r="L5010" s="310">
        <f>J5010*K5010</f>
        <v>0</v>
      </c>
    </row>
    <row r="5011" spans="5:13" ht="15" customHeight="1" thickBot="1">
      <c r="F5011" s="316"/>
      <c r="G5011" s="317"/>
      <c r="H5011" s="318"/>
      <c r="I5011" s="318"/>
      <c r="J5011" s="319" t="s">
        <v>192</v>
      </c>
      <c r="K5011" s="320"/>
      <c r="L5011" s="321">
        <f>L5010</f>
        <v>0</v>
      </c>
    </row>
    <row r="5012" spans="5:13" ht="15" customHeight="1">
      <c r="F5012" s="344" t="s">
        <v>193</v>
      </c>
      <c r="G5012" s="345" t="s">
        <v>194</v>
      </c>
      <c r="H5012" s="346"/>
      <c r="I5012" s="346"/>
      <c r="J5012" s="347"/>
      <c r="K5012" s="348">
        <v>0</v>
      </c>
      <c r="L5012" s="310">
        <f>SUM(L5001:L5011)/2</f>
        <v>307721.40000000002</v>
      </c>
    </row>
    <row r="5013" spans="5:13" ht="15" customHeight="1" thickBot="1">
      <c r="F5013" s="331" t="s">
        <v>195</v>
      </c>
      <c r="G5013" s="332" t="s">
        <v>196</v>
      </c>
      <c r="H5013" s="333"/>
      <c r="I5013" s="333"/>
      <c r="J5013" s="350">
        <v>0.1</v>
      </c>
      <c r="K5013" s="335"/>
      <c r="L5013" s="330">
        <f>J5013*L5012</f>
        <v>30772.140000000003</v>
      </c>
    </row>
    <row r="5014" spans="5:13" ht="15" customHeight="1" thickBot="1">
      <c r="F5014" s="340" t="s">
        <v>197</v>
      </c>
      <c r="G5014" s="341" t="s">
        <v>198</v>
      </c>
      <c r="H5014" s="318"/>
      <c r="I5014" s="318"/>
      <c r="J5014" s="342"/>
      <c r="K5014" s="320">
        <v>0</v>
      </c>
      <c r="L5014" s="321">
        <f>ROUNDDOWN(L5012+L5013,0)</f>
        <v>338493</v>
      </c>
    </row>
    <row r="5015" spans="5:13" ht="15" customHeight="1">
      <c r="F5015" s="298"/>
      <c r="G5015" s="298"/>
      <c r="J5015" s="343"/>
    </row>
    <row r="5016" spans="5:13" ht="15" customHeight="1" thickBot="1">
      <c r="E5016" s="356" t="s">
        <v>978</v>
      </c>
      <c r="F5016" s="295" t="s">
        <v>979</v>
      </c>
      <c r="J5016" s="343"/>
      <c r="M5016" s="299">
        <f>L5032</f>
        <v>64700</v>
      </c>
    </row>
    <row r="5017" spans="5:13" ht="15" customHeight="1" thickBot="1">
      <c r="F5017" s="340" t="s">
        <v>136</v>
      </c>
      <c r="G5017" s="341" t="s">
        <v>162</v>
      </c>
      <c r="H5017" s="352" t="s">
        <v>163</v>
      </c>
      <c r="I5017" s="352" t="s">
        <v>138</v>
      </c>
      <c r="J5017" s="353" t="s">
        <v>164</v>
      </c>
      <c r="K5017" s="341" t="s">
        <v>165</v>
      </c>
      <c r="L5017" s="354" t="s">
        <v>166</v>
      </c>
    </row>
    <row r="5018" spans="5:13" ht="15" customHeight="1">
      <c r="F5018" s="300" t="s">
        <v>167</v>
      </c>
      <c r="G5018" s="301" t="s">
        <v>168</v>
      </c>
      <c r="H5018" s="302"/>
      <c r="I5018" s="302"/>
      <c r="J5018" s="351"/>
      <c r="K5018" s="328"/>
      <c r="L5018" s="310"/>
    </row>
    <row r="5019" spans="5:13" ht="15" customHeight="1">
      <c r="F5019" s="306"/>
      <c r="G5019" s="301" t="s">
        <v>169</v>
      </c>
      <c r="H5019" s="307" t="s">
        <v>170</v>
      </c>
      <c r="I5019" s="307" t="s">
        <v>171</v>
      </c>
      <c r="J5019" s="308">
        <v>0.1</v>
      </c>
      <c r="K5019" s="309">
        <f>VLOOKUP(G5019,Upah,8,FALSE)</f>
        <v>125000</v>
      </c>
      <c r="L5019" s="310">
        <f>J5019*K5019</f>
        <v>12500</v>
      </c>
    </row>
    <row r="5020" spans="5:13" ht="15" customHeight="1">
      <c r="F5020" s="306"/>
      <c r="G5020" s="301" t="s">
        <v>413</v>
      </c>
      <c r="H5020" s="307" t="s">
        <v>173</v>
      </c>
      <c r="I5020" s="307" t="s">
        <v>171</v>
      </c>
      <c r="J5020" s="308">
        <v>0.05</v>
      </c>
      <c r="K5020" s="309">
        <f>VLOOKUP(G5020,Upah,8,FALSE)</f>
        <v>150000</v>
      </c>
      <c r="L5020" s="310">
        <f>J5020*K5020</f>
        <v>7500</v>
      </c>
    </row>
    <row r="5021" spans="5:13" ht="15" customHeight="1">
      <c r="F5021" s="306"/>
      <c r="G5021" s="301" t="s">
        <v>232</v>
      </c>
      <c r="H5021" s="307" t="s">
        <v>175</v>
      </c>
      <c r="I5021" s="307" t="s">
        <v>171</v>
      </c>
      <c r="J5021" s="308">
        <v>5.0000000000000001E-3</v>
      </c>
      <c r="K5021" s="309">
        <f>VLOOKUP(G5021,Upah,8,FALSE)</f>
        <v>165000</v>
      </c>
      <c r="L5021" s="310">
        <f>J5021*K5021</f>
        <v>825</v>
      </c>
    </row>
    <row r="5022" spans="5:13" ht="15" customHeight="1" thickBot="1">
      <c r="F5022" s="306"/>
      <c r="G5022" s="301" t="s">
        <v>176</v>
      </c>
      <c r="H5022" s="307" t="s">
        <v>177</v>
      </c>
      <c r="I5022" s="307" t="s">
        <v>171</v>
      </c>
      <c r="J5022" s="308">
        <v>5.0000000000000001E-3</v>
      </c>
      <c r="K5022" s="309">
        <f>VLOOKUP(G5022,Upah,8,FALSE)</f>
        <v>170000</v>
      </c>
      <c r="L5022" s="310">
        <f>J5022*K5022</f>
        <v>850</v>
      </c>
    </row>
    <row r="5023" spans="5:13" ht="15" customHeight="1" thickBot="1">
      <c r="F5023" s="316"/>
      <c r="G5023" s="317"/>
      <c r="H5023" s="318"/>
      <c r="I5023" s="318"/>
      <c r="J5023" s="319" t="s">
        <v>178</v>
      </c>
      <c r="K5023" s="320"/>
      <c r="L5023" s="321">
        <f>SUM(L5019:L5022)</f>
        <v>21675</v>
      </c>
    </row>
    <row r="5024" spans="5:13" ht="15" customHeight="1">
      <c r="F5024" s="300" t="s">
        <v>179</v>
      </c>
      <c r="G5024" s="301" t="s">
        <v>180</v>
      </c>
      <c r="H5024" s="302"/>
      <c r="I5024" s="302"/>
      <c r="J5024" s="351"/>
      <c r="K5024" s="328"/>
      <c r="L5024" s="310"/>
    </row>
    <row r="5025" spans="5:13" ht="15" customHeight="1">
      <c r="F5025" s="306"/>
      <c r="G5025" s="301" t="s">
        <v>980</v>
      </c>
      <c r="H5025" s="302"/>
      <c r="I5025" s="307" t="s">
        <v>423</v>
      </c>
      <c r="J5025" s="308">
        <v>0.36399999999999999</v>
      </c>
      <c r="K5025" s="328">
        <f>VLOOKUP(G5025,Bahan,6,FALSE)</f>
        <v>101790</v>
      </c>
      <c r="L5025" s="310">
        <f>J5025*K5025</f>
        <v>37051.56</v>
      </c>
    </row>
    <row r="5026" spans="5:13" ht="15" customHeight="1" thickBot="1">
      <c r="F5026" s="306"/>
      <c r="G5026" s="301" t="s">
        <v>586</v>
      </c>
      <c r="H5026" s="302"/>
      <c r="I5026" s="307" t="s">
        <v>38</v>
      </c>
      <c r="J5026" s="308">
        <v>0.11</v>
      </c>
      <c r="K5026" s="328">
        <f>VLOOKUP(G5026,Bahan,6,FALSE)</f>
        <v>840</v>
      </c>
      <c r="L5026" s="310">
        <f>J5026*K5026</f>
        <v>92.4</v>
      </c>
    </row>
    <row r="5027" spans="5:13" ht="15" customHeight="1" thickBot="1">
      <c r="F5027" s="316"/>
      <c r="G5027" s="317"/>
      <c r="H5027" s="318"/>
      <c r="I5027" s="318"/>
      <c r="J5027" s="319" t="s">
        <v>189</v>
      </c>
      <c r="K5027" s="320"/>
      <c r="L5027" s="321">
        <f>SUM(L5025:L5026)</f>
        <v>37143.96</v>
      </c>
    </row>
    <row r="5028" spans="5:13" ht="15" customHeight="1" thickBot="1">
      <c r="F5028" s="300" t="s">
        <v>190</v>
      </c>
      <c r="G5028" s="301" t="s">
        <v>191</v>
      </c>
      <c r="H5028" s="302"/>
      <c r="I5028" s="302"/>
      <c r="J5028" s="351"/>
      <c r="K5028" s="328">
        <v>0</v>
      </c>
      <c r="L5028" s="310">
        <f>J5028*K5028</f>
        <v>0</v>
      </c>
    </row>
    <row r="5029" spans="5:13" ht="15" customHeight="1" thickBot="1">
      <c r="F5029" s="316"/>
      <c r="G5029" s="317"/>
      <c r="H5029" s="318"/>
      <c r="I5029" s="318"/>
      <c r="J5029" s="319" t="s">
        <v>192</v>
      </c>
      <c r="K5029" s="320"/>
      <c r="L5029" s="321">
        <f>L5028</f>
        <v>0</v>
      </c>
    </row>
    <row r="5030" spans="5:13" ht="15" customHeight="1">
      <c r="F5030" s="344" t="s">
        <v>193</v>
      </c>
      <c r="G5030" s="345" t="s">
        <v>194</v>
      </c>
      <c r="H5030" s="346"/>
      <c r="I5030" s="346"/>
      <c r="J5030" s="347"/>
      <c r="K5030" s="348">
        <v>0</v>
      </c>
      <c r="L5030" s="310">
        <f>SUM(L5019:L5029)/2</f>
        <v>58818.959999999992</v>
      </c>
    </row>
    <row r="5031" spans="5:13" ht="15" customHeight="1" thickBot="1">
      <c r="F5031" s="331" t="s">
        <v>195</v>
      </c>
      <c r="G5031" s="332" t="s">
        <v>196</v>
      </c>
      <c r="H5031" s="333"/>
      <c r="I5031" s="333"/>
      <c r="J5031" s="350">
        <v>0.1</v>
      </c>
      <c r="K5031" s="335"/>
      <c r="L5031" s="330">
        <f>J5031*L5030</f>
        <v>5881.8959999999997</v>
      </c>
    </row>
    <row r="5032" spans="5:13" ht="15" customHeight="1" thickBot="1">
      <c r="F5032" s="340" t="s">
        <v>197</v>
      </c>
      <c r="G5032" s="341" t="s">
        <v>198</v>
      </c>
      <c r="H5032" s="318"/>
      <c r="I5032" s="318"/>
      <c r="J5032" s="342"/>
      <c r="K5032" s="320">
        <v>0</v>
      </c>
      <c r="L5032" s="321">
        <f>ROUNDDOWN(L5030+L5031,0)</f>
        <v>64700</v>
      </c>
    </row>
    <row r="5033" spans="5:13" ht="15" customHeight="1">
      <c r="F5033" s="298"/>
      <c r="G5033" s="298"/>
      <c r="J5033" s="343"/>
    </row>
    <row r="5034" spans="5:13" ht="15" customHeight="1" thickBot="1">
      <c r="E5034" s="356" t="s">
        <v>981</v>
      </c>
      <c r="F5034" s="295" t="s">
        <v>1670</v>
      </c>
      <c r="J5034" s="343"/>
      <c r="M5034" s="299">
        <f>L5050</f>
        <v>41910</v>
      </c>
    </row>
    <row r="5035" spans="5:13" ht="15" customHeight="1" thickBot="1">
      <c r="F5035" s="340" t="s">
        <v>136</v>
      </c>
      <c r="G5035" s="341" t="s">
        <v>162</v>
      </c>
      <c r="H5035" s="352" t="s">
        <v>163</v>
      </c>
      <c r="I5035" s="352" t="s">
        <v>138</v>
      </c>
      <c r="J5035" s="353" t="s">
        <v>164</v>
      </c>
      <c r="K5035" s="341" t="s">
        <v>165</v>
      </c>
      <c r="L5035" s="354" t="s">
        <v>166</v>
      </c>
    </row>
    <row r="5036" spans="5:13" ht="15" customHeight="1">
      <c r="F5036" s="300" t="s">
        <v>167</v>
      </c>
      <c r="G5036" s="301" t="s">
        <v>168</v>
      </c>
      <c r="H5036" s="302"/>
      <c r="I5036" s="302"/>
      <c r="J5036" s="351"/>
      <c r="K5036" s="328"/>
      <c r="L5036" s="310"/>
    </row>
    <row r="5037" spans="5:13" ht="15" customHeight="1">
      <c r="F5037" s="306"/>
      <c r="G5037" s="301" t="s">
        <v>169</v>
      </c>
      <c r="H5037" s="307" t="s">
        <v>170</v>
      </c>
      <c r="I5037" s="307" t="s">
        <v>171</v>
      </c>
      <c r="J5037" s="308">
        <v>0.06</v>
      </c>
      <c r="K5037" s="309">
        <f>VLOOKUP(G5037,Upah,8,FALSE)</f>
        <v>125000</v>
      </c>
      <c r="L5037" s="310">
        <f>J5037*K5037</f>
        <v>7500</v>
      </c>
    </row>
    <row r="5038" spans="5:13" ht="15" customHeight="1">
      <c r="F5038" s="306"/>
      <c r="G5038" s="301" t="s">
        <v>172</v>
      </c>
      <c r="H5038" s="307" t="s">
        <v>173</v>
      </c>
      <c r="I5038" s="307" t="s">
        <v>171</v>
      </c>
      <c r="J5038" s="308">
        <v>0.06</v>
      </c>
      <c r="K5038" s="309">
        <f>VLOOKUP(G5038,Upah,8,FALSE)</f>
        <v>150000</v>
      </c>
      <c r="L5038" s="310">
        <f>J5038*K5038</f>
        <v>9000</v>
      </c>
    </row>
    <row r="5039" spans="5:13" ht="15" customHeight="1">
      <c r="F5039" s="306"/>
      <c r="G5039" s="301" t="s">
        <v>232</v>
      </c>
      <c r="H5039" s="307" t="s">
        <v>175</v>
      </c>
      <c r="I5039" s="307" t="s">
        <v>171</v>
      </c>
      <c r="J5039" s="308">
        <v>6.0000000000000001E-3</v>
      </c>
      <c r="K5039" s="309">
        <f>VLOOKUP(G5039,Upah,8,FALSE)</f>
        <v>165000</v>
      </c>
      <c r="L5039" s="310">
        <f>J5039*K5039</f>
        <v>990</v>
      </c>
    </row>
    <row r="5040" spans="5:13" ht="15" customHeight="1" thickBot="1">
      <c r="F5040" s="306"/>
      <c r="G5040" s="301" t="s">
        <v>176</v>
      </c>
      <c r="H5040" s="307" t="s">
        <v>177</v>
      </c>
      <c r="I5040" s="307" t="s">
        <v>171</v>
      </c>
      <c r="J5040" s="308">
        <v>3.0000000000000001E-3</v>
      </c>
      <c r="K5040" s="309">
        <f>VLOOKUP(G5040,Upah,8,FALSE)</f>
        <v>170000</v>
      </c>
      <c r="L5040" s="310">
        <f>J5040*K5040</f>
        <v>510</v>
      </c>
    </row>
    <row r="5041" spans="5:13" ht="15" customHeight="1" thickBot="1">
      <c r="F5041" s="316"/>
      <c r="G5041" s="317"/>
      <c r="H5041" s="318"/>
      <c r="I5041" s="318"/>
      <c r="J5041" s="319" t="s">
        <v>178</v>
      </c>
      <c r="K5041" s="320"/>
      <c r="L5041" s="321">
        <f>SUM(L5037:L5040)</f>
        <v>18000</v>
      </c>
    </row>
    <row r="5042" spans="5:13" ht="15" customHeight="1">
      <c r="F5042" s="300" t="s">
        <v>179</v>
      </c>
      <c r="G5042" s="301" t="s">
        <v>180</v>
      </c>
      <c r="H5042" s="302"/>
      <c r="I5042" s="302"/>
      <c r="J5042" s="351"/>
      <c r="K5042" s="328"/>
      <c r="L5042" s="310"/>
    </row>
    <row r="5043" spans="5:13" ht="15" customHeight="1">
      <c r="F5043" s="306"/>
      <c r="G5043" s="301" t="s">
        <v>1671</v>
      </c>
      <c r="H5043" s="302"/>
      <c r="I5043" s="307" t="s">
        <v>33</v>
      </c>
      <c r="J5043" s="308">
        <v>1.05</v>
      </c>
      <c r="K5043" s="328">
        <f>VLOOKUP(G5043,Bahan,6,FALSE)</f>
        <v>15000</v>
      </c>
      <c r="L5043" s="310">
        <f>J5043*K5043</f>
        <v>15750</v>
      </c>
    </row>
    <row r="5044" spans="5:13" ht="15" customHeight="1" thickBot="1">
      <c r="F5044" s="306"/>
      <c r="G5044" s="301" t="s">
        <v>1672</v>
      </c>
      <c r="H5044" s="302"/>
      <c r="I5044" s="307" t="s">
        <v>38</v>
      </c>
      <c r="J5044" s="308">
        <v>0.15</v>
      </c>
      <c r="K5044" s="328">
        <f>VLOOKUP(G5044,Bahan,6,FALSE)</f>
        <v>29000</v>
      </c>
      <c r="L5044" s="310">
        <f>J5044*K5044</f>
        <v>4350</v>
      </c>
    </row>
    <row r="5045" spans="5:13" ht="15" customHeight="1" thickBot="1">
      <c r="F5045" s="316"/>
      <c r="G5045" s="317"/>
      <c r="H5045" s="318"/>
      <c r="I5045" s="318"/>
      <c r="J5045" s="319" t="s">
        <v>189</v>
      </c>
      <c r="K5045" s="320"/>
      <c r="L5045" s="321">
        <f>SUM(L5043:L5044)</f>
        <v>20100</v>
      </c>
    </row>
    <row r="5046" spans="5:13" ht="15" customHeight="1" thickBot="1">
      <c r="F5046" s="300" t="s">
        <v>190</v>
      </c>
      <c r="G5046" s="301" t="s">
        <v>191</v>
      </c>
      <c r="H5046" s="302"/>
      <c r="I5046" s="302"/>
      <c r="J5046" s="351"/>
      <c r="K5046" s="328">
        <v>0</v>
      </c>
      <c r="L5046" s="310">
        <f>J5046*K5046</f>
        <v>0</v>
      </c>
    </row>
    <row r="5047" spans="5:13" ht="15" customHeight="1" thickBot="1">
      <c r="F5047" s="316"/>
      <c r="G5047" s="317"/>
      <c r="H5047" s="318"/>
      <c r="I5047" s="318"/>
      <c r="J5047" s="319" t="s">
        <v>192</v>
      </c>
      <c r="K5047" s="320"/>
      <c r="L5047" s="321">
        <f>L5046</f>
        <v>0</v>
      </c>
    </row>
    <row r="5048" spans="5:13" ht="15" customHeight="1">
      <c r="F5048" s="344" t="s">
        <v>193</v>
      </c>
      <c r="G5048" s="345" t="s">
        <v>194</v>
      </c>
      <c r="H5048" s="346"/>
      <c r="I5048" s="346"/>
      <c r="J5048" s="347"/>
      <c r="K5048" s="348">
        <v>0</v>
      </c>
      <c r="L5048" s="310">
        <f>SUM(L5037:L5047)/2</f>
        <v>38100</v>
      </c>
    </row>
    <row r="5049" spans="5:13" ht="15" customHeight="1" thickBot="1">
      <c r="F5049" s="331" t="s">
        <v>195</v>
      </c>
      <c r="G5049" s="332" t="s">
        <v>196</v>
      </c>
      <c r="H5049" s="333"/>
      <c r="I5049" s="333"/>
      <c r="J5049" s="350">
        <v>0.1</v>
      </c>
      <c r="K5049" s="335"/>
      <c r="L5049" s="330">
        <f>J5049*L5048</f>
        <v>3810</v>
      </c>
    </row>
    <row r="5050" spans="5:13" ht="15" customHeight="1" thickBot="1">
      <c r="F5050" s="340" t="s">
        <v>197</v>
      </c>
      <c r="G5050" s="341" t="s">
        <v>198</v>
      </c>
      <c r="H5050" s="318"/>
      <c r="I5050" s="318"/>
      <c r="J5050" s="342"/>
      <c r="K5050" s="320">
        <v>0</v>
      </c>
      <c r="L5050" s="321">
        <f>ROUNDDOWN(L5048+L5049,0)</f>
        <v>41910</v>
      </c>
    </row>
    <row r="5051" spans="5:13" ht="15" customHeight="1">
      <c r="F5051" s="298"/>
      <c r="G5051" s="298"/>
      <c r="J5051" s="343"/>
    </row>
    <row r="5052" spans="5:13" ht="15" customHeight="1" thickBot="1">
      <c r="E5052" s="356" t="s">
        <v>986</v>
      </c>
      <c r="F5052" s="295" t="s">
        <v>982</v>
      </c>
      <c r="J5052" s="424"/>
      <c r="M5052" s="299">
        <f>L5070</f>
        <v>486771</v>
      </c>
    </row>
    <row r="5053" spans="5:13" ht="15" customHeight="1" thickBot="1">
      <c r="F5053" s="340" t="s">
        <v>136</v>
      </c>
      <c r="G5053" s="341" t="s">
        <v>162</v>
      </c>
      <c r="H5053" s="352" t="s">
        <v>163</v>
      </c>
      <c r="I5053" s="352" t="s">
        <v>138</v>
      </c>
      <c r="J5053" s="353" t="s">
        <v>164</v>
      </c>
      <c r="K5053" s="341" t="s">
        <v>165</v>
      </c>
      <c r="L5053" s="354" t="s">
        <v>166</v>
      </c>
    </row>
    <row r="5054" spans="5:13" ht="15" customHeight="1">
      <c r="F5054" s="300" t="s">
        <v>167</v>
      </c>
      <c r="G5054" s="301" t="s">
        <v>168</v>
      </c>
      <c r="H5054" s="302"/>
      <c r="I5054" s="302"/>
      <c r="J5054" s="351"/>
      <c r="K5054" s="328"/>
      <c r="L5054" s="310"/>
    </row>
    <row r="5055" spans="5:13" ht="15" customHeight="1">
      <c r="F5055" s="306"/>
      <c r="G5055" s="301" t="s">
        <v>169</v>
      </c>
      <c r="H5055" s="307" t="s">
        <v>170</v>
      </c>
      <c r="I5055" s="307" t="s">
        <v>171</v>
      </c>
      <c r="J5055" s="308">
        <v>0.5</v>
      </c>
      <c r="K5055" s="309">
        <f>VLOOKUP(G5055,Upah,8,FALSE)</f>
        <v>125000</v>
      </c>
      <c r="L5055" s="310">
        <f>J5055*K5055</f>
        <v>62500</v>
      </c>
    </row>
    <row r="5056" spans="5:13" ht="15" customHeight="1">
      <c r="F5056" s="306"/>
      <c r="G5056" s="301" t="s">
        <v>413</v>
      </c>
      <c r="H5056" s="307" t="s">
        <v>173</v>
      </c>
      <c r="I5056" s="307" t="s">
        <v>171</v>
      </c>
      <c r="J5056" s="308">
        <v>0.5</v>
      </c>
      <c r="K5056" s="309">
        <f>VLOOKUP(G5056,Upah,8,FALSE)</f>
        <v>150000</v>
      </c>
      <c r="L5056" s="310">
        <f>J5056*K5056</f>
        <v>75000</v>
      </c>
    </row>
    <row r="5057" spans="5:13" ht="15" customHeight="1">
      <c r="F5057" s="306"/>
      <c r="G5057" s="301" t="s">
        <v>232</v>
      </c>
      <c r="H5057" s="307" t="s">
        <v>175</v>
      </c>
      <c r="I5057" s="307" t="s">
        <v>171</v>
      </c>
      <c r="J5057" s="308">
        <v>0.05</v>
      </c>
      <c r="K5057" s="309">
        <f>VLOOKUP(G5057,Upah,8,FALSE)</f>
        <v>165000</v>
      </c>
      <c r="L5057" s="310">
        <f>J5057*K5057</f>
        <v>8250</v>
      </c>
    </row>
    <row r="5058" spans="5:13" ht="15" customHeight="1" thickBot="1">
      <c r="F5058" s="306"/>
      <c r="G5058" s="301" t="s">
        <v>176</v>
      </c>
      <c r="H5058" s="307" t="s">
        <v>177</v>
      </c>
      <c r="I5058" s="307" t="s">
        <v>171</v>
      </c>
      <c r="J5058" s="308">
        <v>2.5000000000000001E-2</v>
      </c>
      <c r="K5058" s="309">
        <f>VLOOKUP(G5058,Upah,8,FALSE)</f>
        <v>170000</v>
      </c>
      <c r="L5058" s="310">
        <f>J5058*K5058</f>
        <v>4250</v>
      </c>
    </row>
    <row r="5059" spans="5:13" ht="15" customHeight="1" thickBot="1">
      <c r="F5059" s="316"/>
      <c r="G5059" s="317"/>
      <c r="H5059" s="318"/>
      <c r="I5059" s="318"/>
      <c r="J5059" s="319" t="s">
        <v>178</v>
      </c>
      <c r="K5059" s="320"/>
      <c r="L5059" s="321">
        <f>SUM(L5055:L5058)</f>
        <v>150000</v>
      </c>
    </row>
    <row r="5060" spans="5:13" ht="15" customHeight="1">
      <c r="F5060" s="300" t="s">
        <v>179</v>
      </c>
      <c r="G5060" s="301" t="s">
        <v>180</v>
      </c>
      <c r="H5060" s="302"/>
      <c r="I5060" s="302"/>
      <c r="J5060" s="351"/>
      <c r="K5060" s="328"/>
      <c r="L5060" s="310"/>
    </row>
    <row r="5061" spans="5:13" ht="15" customHeight="1">
      <c r="F5061" s="306"/>
      <c r="G5061" s="301" t="s">
        <v>983</v>
      </c>
      <c r="H5061" s="302"/>
      <c r="I5061" s="307" t="s">
        <v>33</v>
      </c>
      <c r="J5061" s="308">
        <v>3.6</v>
      </c>
      <c r="K5061" s="328">
        <f>VLOOKUP(G5061,Bahan,6,FALSE)</f>
        <v>14520</v>
      </c>
      <c r="L5061" s="310">
        <f>J5061*K5061</f>
        <v>52272</v>
      </c>
    </row>
    <row r="5062" spans="5:13" ht="15" customHeight="1">
      <c r="F5062" s="306"/>
      <c r="G5062" s="301" t="s">
        <v>984</v>
      </c>
      <c r="H5062" s="302"/>
      <c r="I5062" s="307" t="s">
        <v>38</v>
      </c>
      <c r="J5062" s="308">
        <v>0.15</v>
      </c>
      <c r="K5062" s="328">
        <f>VLOOKUP(G5062,Bahan,6,FALSE)</f>
        <v>24800</v>
      </c>
      <c r="L5062" s="310">
        <f>J5062*K5062</f>
        <v>3720</v>
      </c>
    </row>
    <row r="5063" spans="5:13" ht="15" customHeight="1">
      <c r="F5063" s="306"/>
      <c r="G5063" s="301" t="s">
        <v>985</v>
      </c>
      <c r="H5063" s="302"/>
      <c r="I5063" s="307" t="s">
        <v>405</v>
      </c>
      <c r="J5063" s="308">
        <v>1.05</v>
      </c>
      <c r="K5063" s="328">
        <f>VLOOKUP(G5063,Bahan,6,FALSE)</f>
        <v>350</v>
      </c>
      <c r="L5063" s="310">
        <f>J5063*K5063</f>
        <v>367.5</v>
      </c>
    </row>
    <row r="5064" spans="5:13" ht="15" customHeight="1" thickBot="1">
      <c r="F5064" s="306"/>
      <c r="G5064" s="301" t="s">
        <v>971</v>
      </c>
      <c r="H5064" s="302"/>
      <c r="I5064" s="307" t="s">
        <v>423</v>
      </c>
      <c r="J5064" s="308">
        <v>1.5</v>
      </c>
      <c r="K5064" s="328">
        <f>VLOOKUP(G5064,Bahan,6,FALSE)</f>
        <v>157440</v>
      </c>
      <c r="L5064" s="310">
        <f>J5064*K5064</f>
        <v>236160</v>
      </c>
    </row>
    <row r="5065" spans="5:13" ht="15" customHeight="1" thickBot="1">
      <c r="F5065" s="316"/>
      <c r="G5065" s="317"/>
      <c r="H5065" s="318"/>
      <c r="I5065" s="318"/>
      <c r="J5065" s="319" t="s">
        <v>189</v>
      </c>
      <c r="K5065" s="320"/>
      <c r="L5065" s="321">
        <f>SUM(L5061:L5064)</f>
        <v>292519.5</v>
      </c>
    </row>
    <row r="5066" spans="5:13" ht="15" customHeight="1" thickBot="1">
      <c r="F5066" s="300" t="s">
        <v>190</v>
      </c>
      <c r="G5066" s="301" t="s">
        <v>191</v>
      </c>
      <c r="H5066" s="302"/>
      <c r="I5066" s="302"/>
      <c r="J5066" s="351"/>
      <c r="K5066" s="328">
        <v>0</v>
      </c>
      <c r="L5066" s="310">
        <f>J5066*K5066</f>
        <v>0</v>
      </c>
    </row>
    <row r="5067" spans="5:13" ht="15" customHeight="1" thickBot="1">
      <c r="F5067" s="316"/>
      <c r="G5067" s="317"/>
      <c r="H5067" s="318"/>
      <c r="I5067" s="318"/>
      <c r="J5067" s="319" t="s">
        <v>192</v>
      </c>
      <c r="K5067" s="320"/>
      <c r="L5067" s="321">
        <f>L5066</f>
        <v>0</v>
      </c>
    </row>
    <row r="5068" spans="5:13" ht="15" customHeight="1">
      <c r="F5068" s="344" t="s">
        <v>193</v>
      </c>
      <c r="G5068" s="345" t="s">
        <v>194</v>
      </c>
      <c r="H5068" s="346"/>
      <c r="I5068" s="346"/>
      <c r="J5068" s="347"/>
      <c r="K5068" s="348">
        <v>0</v>
      </c>
      <c r="L5068" s="310">
        <f>SUM(L5055:L5067)/2</f>
        <v>442519.5</v>
      </c>
    </row>
    <row r="5069" spans="5:13" ht="15" customHeight="1" thickBot="1">
      <c r="F5069" s="331" t="s">
        <v>195</v>
      </c>
      <c r="G5069" s="332" t="s">
        <v>196</v>
      </c>
      <c r="H5069" s="333"/>
      <c r="I5069" s="333"/>
      <c r="J5069" s="350">
        <v>0.1</v>
      </c>
      <c r="K5069" s="335"/>
      <c r="L5069" s="330">
        <f>J5069*L5068</f>
        <v>44251.950000000004</v>
      </c>
    </row>
    <row r="5070" spans="5:13" ht="15" customHeight="1" thickBot="1">
      <c r="F5070" s="340" t="s">
        <v>197</v>
      </c>
      <c r="G5070" s="341" t="s">
        <v>198</v>
      </c>
      <c r="H5070" s="318"/>
      <c r="I5070" s="318"/>
      <c r="J5070" s="342"/>
      <c r="K5070" s="320">
        <v>0</v>
      </c>
      <c r="L5070" s="321">
        <f>ROUNDDOWN(L5068+L5069,0)</f>
        <v>486771</v>
      </c>
    </row>
    <row r="5071" spans="5:13" ht="15" customHeight="1">
      <c r="F5071" s="298"/>
      <c r="G5071" s="298"/>
      <c r="J5071" s="343"/>
    </row>
    <row r="5072" spans="5:13" ht="15" customHeight="1" thickBot="1">
      <c r="E5072" s="356" t="s">
        <v>989</v>
      </c>
      <c r="F5072" s="295" t="s">
        <v>987</v>
      </c>
      <c r="J5072" s="343"/>
      <c r="M5072" s="299">
        <f>L5088</f>
        <v>20955</v>
      </c>
    </row>
    <row r="5073" spans="6:12" ht="15" customHeight="1" thickBot="1">
      <c r="F5073" s="340" t="s">
        <v>136</v>
      </c>
      <c r="G5073" s="341" t="s">
        <v>162</v>
      </c>
      <c r="H5073" s="352" t="s">
        <v>163</v>
      </c>
      <c r="I5073" s="352" t="s">
        <v>138</v>
      </c>
      <c r="J5073" s="353" t="s">
        <v>164</v>
      </c>
      <c r="K5073" s="341" t="s">
        <v>165</v>
      </c>
      <c r="L5073" s="354" t="s">
        <v>166</v>
      </c>
    </row>
    <row r="5074" spans="6:12" ht="15" customHeight="1">
      <c r="F5074" s="300" t="s">
        <v>167</v>
      </c>
      <c r="G5074" s="301" t="s">
        <v>168</v>
      </c>
      <c r="H5074" s="302"/>
      <c r="I5074" s="302"/>
      <c r="J5074" s="351"/>
      <c r="K5074" s="328"/>
      <c r="L5074" s="310"/>
    </row>
    <row r="5075" spans="6:12" ht="15" customHeight="1">
      <c r="F5075" s="306"/>
      <c r="G5075" s="301" t="s">
        <v>169</v>
      </c>
      <c r="H5075" s="307" t="s">
        <v>170</v>
      </c>
      <c r="I5075" s="307" t="s">
        <v>171</v>
      </c>
      <c r="J5075" s="308">
        <v>0.05</v>
      </c>
      <c r="K5075" s="309">
        <f>VLOOKUP(G5075,Upah,8,FALSE)</f>
        <v>125000</v>
      </c>
      <c r="L5075" s="310">
        <f>J5075*K5075</f>
        <v>6250</v>
      </c>
    </row>
    <row r="5076" spans="6:12" ht="15" customHeight="1">
      <c r="F5076" s="306"/>
      <c r="G5076" s="301" t="s">
        <v>172</v>
      </c>
      <c r="H5076" s="307" t="s">
        <v>173</v>
      </c>
      <c r="I5076" s="307" t="s">
        <v>171</v>
      </c>
      <c r="J5076" s="308">
        <v>0.05</v>
      </c>
      <c r="K5076" s="309">
        <f>VLOOKUP(G5076,Upah,8,FALSE)</f>
        <v>150000</v>
      </c>
      <c r="L5076" s="310">
        <f>J5076*K5076</f>
        <v>7500</v>
      </c>
    </row>
    <row r="5077" spans="6:12" ht="15" customHeight="1">
      <c r="F5077" s="306"/>
      <c r="G5077" s="301" t="s">
        <v>232</v>
      </c>
      <c r="H5077" s="307" t="s">
        <v>175</v>
      </c>
      <c r="I5077" s="307" t="s">
        <v>171</v>
      </c>
      <c r="J5077" s="308">
        <v>5.0000000000000001E-3</v>
      </c>
      <c r="K5077" s="309">
        <f>VLOOKUP(G5077,Upah,8,FALSE)</f>
        <v>165000</v>
      </c>
      <c r="L5077" s="310">
        <f>J5077*K5077</f>
        <v>825</v>
      </c>
    </row>
    <row r="5078" spans="6:12" ht="15" customHeight="1" thickBot="1">
      <c r="F5078" s="306"/>
      <c r="G5078" s="301" t="s">
        <v>176</v>
      </c>
      <c r="H5078" s="307" t="s">
        <v>177</v>
      </c>
      <c r="I5078" s="307" t="s">
        <v>171</v>
      </c>
      <c r="J5078" s="308">
        <v>3.0000000000000001E-3</v>
      </c>
      <c r="K5078" s="309">
        <f>VLOOKUP(G5078,Upah,8,FALSE)</f>
        <v>170000</v>
      </c>
      <c r="L5078" s="310">
        <f>J5078*K5078</f>
        <v>510</v>
      </c>
    </row>
    <row r="5079" spans="6:12" ht="15" customHeight="1" thickBot="1">
      <c r="F5079" s="316"/>
      <c r="G5079" s="317"/>
      <c r="H5079" s="318"/>
      <c r="I5079" s="318"/>
      <c r="J5079" s="319" t="s">
        <v>178</v>
      </c>
      <c r="K5079" s="320"/>
      <c r="L5079" s="321">
        <f>SUM(L5075:L5078)</f>
        <v>15085</v>
      </c>
    </row>
    <row r="5080" spans="6:12" ht="15" customHeight="1">
      <c r="F5080" s="300" t="s">
        <v>179</v>
      </c>
      <c r="G5080" s="301" t="s">
        <v>180</v>
      </c>
      <c r="H5080" s="302"/>
      <c r="I5080" s="302"/>
      <c r="J5080" s="351"/>
      <c r="K5080" s="328"/>
      <c r="L5080" s="310"/>
    </row>
    <row r="5081" spans="6:12" ht="15" customHeight="1">
      <c r="F5081" s="306"/>
      <c r="G5081" s="301" t="s">
        <v>988</v>
      </c>
      <c r="H5081" s="302"/>
      <c r="I5081" s="307" t="s">
        <v>33</v>
      </c>
      <c r="J5081" s="308">
        <v>1.05</v>
      </c>
      <c r="K5081" s="328">
        <f>VLOOKUP(G5081,Bahan,6,FALSE)</f>
        <v>3510</v>
      </c>
      <c r="L5081" s="310">
        <f>J5081*K5081</f>
        <v>3685.5</v>
      </c>
    </row>
    <row r="5082" spans="6:12" ht="15" customHeight="1" thickBot="1">
      <c r="F5082" s="306"/>
      <c r="G5082" s="301" t="s">
        <v>415</v>
      </c>
      <c r="H5082" s="302"/>
      <c r="I5082" s="307" t="s">
        <v>38</v>
      </c>
      <c r="J5082" s="308">
        <v>0.01</v>
      </c>
      <c r="K5082" s="328">
        <f>VLOOKUP(G5082,Bahan,6,FALSE)</f>
        <v>27970</v>
      </c>
      <c r="L5082" s="310">
        <f>J5082*K5082</f>
        <v>279.7</v>
      </c>
    </row>
    <row r="5083" spans="6:12" ht="15" customHeight="1" thickBot="1">
      <c r="F5083" s="316"/>
      <c r="G5083" s="317"/>
      <c r="H5083" s="318"/>
      <c r="I5083" s="318"/>
      <c r="J5083" s="319" t="s">
        <v>189</v>
      </c>
      <c r="K5083" s="320"/>
      <c r="L5083" s="321">
        <f>SUM(L5081:L5082)</f>
        <v>3965.2</v>
      </c>
    </row>
    <row r="5084" spans="6:12" ht="15" customHeight="1" thickBot="1">
      <c r="F5084" s="300" t="s">
        <v>190</v>
      </c>
      <c r="G5084" s="301" t="s">
        <v>191</v>
      </c>
      <c r="H5084" s="302"/>
      <c r="I5084" s="302"/>
      <c r="J5084" s="351"/>
      <c r="K5084" s="328">
        <v>0</v>
      </c>
      <c r="L5084" s="310">
        <f>J5084*K5084</f>
        <v>0</v>
      </c>
    </row>
    <row r="5085" spans="6:12" ht="15" customHeight="1" thickBot="1">
      <c r="F5085" s="316"/>
      <c r="G5085" s="317"/>
      <c r="H5085" s="318"/>
      <c r="I5085" s="318"/>
      <c r="J5085" s="319" t="s">
        <v>192</v>
      </c>
      <c r="K5085" s="320"/>
      <c r="L5085" s="321">
        <f>L5084</f>
        <v>0</v>
      </c>
    </row>
    <row r="5086" spans="6:12" ht="15" customHeight="1">
      <c r="F5086" s="344" t="s">
        <v>193</v>
      </c>
      <c r="G5086" s="345" t="s">
        <v>194</v>
      </c>
      <c r="H5086" s="346"/>
      <c r="I5086" s="346"/>
      <c r="J5086" s="347"/>
      <c r="K5086" s="348">
        <v>0</v>
      </c>
      <c r="L5086" s="310">
        <f>SUM(L5075:L5085)/2</f>
        <v>19050.199999999997</v>
      </c>
    </row>
    <row r="5087" spans="6:12" ht="15" customHeight="1" thickBot="1">
      <c r="F5087" s="331" t="s">
        <v>195</v>
      </c>
      <c r="G5087" s="332" t="s">
        <v>196</v>
      </c>
      <c r="H5087" s="333"/>
      <c r="I5087" s="333"/>
      <c r="J5087" s="350">
        <v>0.1</v>
      </c>
      <c r="K5087" s="335"/>
      <c r="L5087" s="330">
        <f>J5087*L5086</f>
        <v>1905.0199999999998</v>
      </c>
    </row>
    <row r="5088" spans="6:12" ht="15" customHeight="1" thickBot="1">
      <c r="F5088" s="340" t="s">
        <v>197</v>
      </c>
      <c r="G5088" s="341" t="s">
        <v>198</v>
      </c>
      <c r="H5088" s="318"/>
      <c r="I5088" s="318"/>
      <c r="J5088" s="342"/>
      <c r="K5088" s="320">
        <v>0</v>
      </c>
      <c r="L5088" s="321">
        <f>ROUNDDOWN(L5086+L5087,0)</f>
        <v>20955</v>
      </c>
    </row>
    <row r="5089" spans="5:13" ht="15" customHeight="1">
      <c r="G5089" s="298" t="s">
        <v>1678</v>
      </c>
      <c r="J5089" s="343"/>
    </row>
    <row r="5090" spans="5:13" ht="15" customHeight="1">
      <c r="G5090" s="298" t="s">
        <v>1677</v>
      </c>
      <c r="J5090" s="343"/>
    </row>
    <row r="5091" spans="5:13" ht="15" customHeight="1">
      <c r="G5091" s="298"/>
      <c r="J5091" s="343"/>
    </row>
    <row r="5092" spans="5:13" ht="15" customHeight="1" thickBot="1">
      <c r="E5092" s="356" t="s">
        <v>1673</v>
      </c>
      <c r="F5092" s="295" t="s">
        <v>599</v>
      </c>
      <c r="J5092" s="343"/>
      <c r="M5092" s="299">
        <f>L5108</f>
        <v>423593</v>
      </c>
    </row>
    <row r="5093" spans="5:13" ht="15" customHeight="1" thickBot="1">
      <c r="F5093" s="340" t="s">
        <v>136</v>
      </c>
      <c r="G5093" s="341" t="s">
        <v>162</v>
      </c>
      <c r="H5093" s="352" t="s">
        <v>163</v>
      </c>
      <c r="I5093" s="352" t="s">
        <v>138</v>
      </c>
      <c r="J5093" s="353" t="s">
        <v>164</v>
      </c>
      <c r="K5093" s="341" t="s">
        <v>165</v>
      </c>
      <c r="L5093" s="354" t="s">
        <v>166</v>
      </c>
    </row>
    <row r="5094" spans="5:13" ht="15" customHeight="1">
      <c r="F5094" s="300" t="s">
        <v>167</v>
      </c>
      <c r="G5094" s="301" t="s">
        <v>168</v>
      </c>
      <c r="H5094" s="302"/>
      <c r="I5094" s="302"/>
      <c r="J5094" s="351"/>
      <c r="K5094" s="328"/>
      <c r="L5094" s="310"/>
    </row>
    <row r="5095" spans="5:13" ht="15" customHeight="1">
      <c r="F5095" s="306"/>
      <c r="G5095" s="301" t="s">
        <v>169</v>
      </c>
      <c r="H5095" s="307" t="s">
        <v>170</v>
      </c>
      <c r="I5095" s="307" t="s">
        <v>171</v>
      </c>
      <c r="J5095" s="308">
        <v>0.35</v>
      </c>
      <c r="K5095" s="309">
        <f>VLOOKUP(G5095,Upah,8,FALSE)</f>
        <v>125000</v>
      </c>
      <c r="L5095" s="310">
        <f>J5095*K5095</f>
        <v>43750</v>
      </c>
    </row>
    <row r="5096" spans="5:13" ht="15" customHeight="1">
      <c r="F5096" s="306"/>
      <c r="G5096" s="301" t="s">
        <v>379</v>
      </c>
      <c r="H5096" s="307" t="s">
        <v>380</v>
      </c>
      <c r="I5096" s="307" t="s">
        <v>171</v>
      </c>
      <c r="J5096" s="308">
        <v>0.35</v>
      </c>
      <c r="K5096" s="309">
        <f>VLOOKUP(G5096,Upah,8,FALSE)</f>
        <v>150000</v>
      </c>
      <c r="L5096" s="310">
        <f>J5096*K5096</f>
        <v>52500</v>
      </c>
    </row>
    <row r="5097" spans="5:13" ht="15" customHeight="1">
      <c r="F5097" s="306"/>
      <c r="G5097" s="301" t="s">
        <v>174</v>
      </c>
      <c r="H5097" s="307" t="s">
        <v>175</v>
      </c>
      <c r="I5097" s="307" t="s">
        <v>171</v>
      </c>
      <c r="J5097" s="308">
        <v>3.5000000000000003E-2</v>
      </c>
      <c r="K5097" s="309">
        <f>VLOOKUP(G5097,Upah,8,FALSE)</f>
        <v>165000</v>
      </c>
      <c r="L5097" s="310">
        <f>J5097*K5097</f>
        <v>5775.0000000000009</v>
      </c>
    </row>
    <row r="5098" spans="5:13" ht="15" customHeight="1" thickBot="1">
      <c r="F5098" s="306"/>
      <c r="G5098" s="301" t="s">
        <v>176</v>
      </c>
      <c r="H5098" s="307" t="s">
        <v>177</v>
      </c>
      <c r="I5098" s="307" t="s">
        <v>171</v>
      </c>
      <c r="J5098" s="308">
        <v>1.7999999999999999E-2</v>
      </c>
      <c r="K5098" s="309">
        <f>VLOOKUP(G5098,Upah,8,FALSE)</f>
        <v>170000</v>
      </c>
      <c r="L5098" s="310">
        <f>J5098*K5098</f>
        <v>3059.9999999999995</v>
      </c>
    </row>
    <row r="5099" spans="5:13" ht="15" customHeight="1" thickBot="1">
      <c r="F5099" s="316"/>
      <c r="G5099" s="317"/>
      <c r="H5099" s="318"/>
      <c r="I5099" s="318"/>
      <c r="J5099" s="319" t="s">
        <v>178</v>
      </c>
      <c r="K5099" s="320"/>
      <c r="L5099" s="321">
        <f>SUM(L5095:L5098)</f>
        <v>105085</v>
      </c>
    </row>
    <row r="5100" spans="5:13" ht="15" customHeight="1">
      <c r="F5100" s="300" t="s">
        <v>179</v>
      </c>
      <c r="G5100" s="301" t="s">
        <v>180</v>
      </c>
      <c r="H5100" s="302"/>
      <c r="I5100" s="302"/>
      <c r="J5100" s="351"/>
      <c r="K5100" s="328"/>
      <c r="L5100" s="310"/>
    </row>
    <row r="5101" spans="5:13" ht="15" customHeight="1">
      <c r="F5101" s="306"/>
      <c r="G5101" s="301" t="s">
        <v>594</v>
      </c>
      <c r="H5101" s="302"/>
      <c r="I5101" s="307" t="s">
        <v>595</v>
      </c>
      <c r="J5101" s="308">
        <v>4</v>
      </c>
      <c r="K5101" s="328">
        <f>VLOOKUP(G5101,Bahan,6,FALSE)</f>
        <v>57500</v>
      </c>
      <c r="L5101" s="310">
        <f>J5101*K5101</f>
        <v>230000</v>
      </c>
    </row>
    <row r="5102" spans="5:13" ht="15" customHeight="1" thickBot="1">
      <c r="F5102" s="306"/>
      <c r="G5102" s="301" t="s">
        <v>596</v>
      </c>
      <c r="H5102" s="302"/>
      <c r="I5102" s="307" t="s">
        <v>597</v>
      </c>
      <c r="J5102" s="308">
        <v>1</v>
      </c>
      <c r="K5102" s="328">
        <f>VLOOKUP(G5102,Bahan,6,FALSE)</f>
        <v>50000</v>
      </c>
      <c r="L5102" s="310">
        <f>J5102*K5102</f>
        <v>50000</v>
      </c>
    </row>
    <row r="5103" spans="5:13" ht="15" customHeight="1" thickBot="1">
      <c r="F5103" s="316"/>
      <c r="G5103" s="317"/>
      <c r="H5103" s="318"/>
      <c r="I5103" s="318"/>
      <c r="J5103" s="319" t="s">
        <v>189</v>
      </c>
      <c r="K5103" s="320"/>
      <c r="L5103" s="321">
        <f>SUM(L5100:L5102)</f>
        <v>280000</v>
      </c>
    </row>
    <row r="5104" spans="5:13" ht="15" customHeight="1" thickBot="1">
      <c r="F5104" s="300" t="s">
        <v>190</v>
      </c>
      <c r="G5104" s="301" t="s">
        <v>191</v>
      </c>
      <c r="H5104" s="302"/>
      <c r="I5104" s="302"/>
      <c r="J5104" s="351"/>
      <c r="K5104" s="328">
        <v>0</v>
      </c>
      <c r="L5104" s="310">
        <f>J5104*K5104</f>
        <v>0</v>
      </c>
    </row>
    <row r="5105" spans="5:13" ht="15" customHeight="1" thickBot="1">
      <c r="F5105" s="316"/>
      <c r="G5105" s="317"/>
      <c r="H5105" s="318"/>
      <c r="I5105" s="318"/>
      <c r="J5105" s="319" t="s">
        <v>192</v>
      </c>
      <c r="K5105" s="320"/>
      <c r="L5105" s="321">
        <f>L5104</f>
        <v>0</v>
      </c>
    </row>
    <row r="5106" spans="5:13" ht="15" customHeight="1">
      <c r="F5106" s="344" t="s">
        <v>193</v>
      </c>
      <c r="G5106" s="345" t="s">
        <v>194</v>
      </c>
      <c r="H5106" s="346"/>
      <c r="I5106" s="346"/>
      <c r="J5106" s="347"/>
      <c r="K5106" s="348">
        <v>0</v>
      </c>
      <c r="L5106" s="310">
        <f>SUM(L5093:L5105)/2</f>
        <v>385085</v>
      </c>
    </row>
    <row r="5107" spans="5:13" ht="15" customHeight="1" thickBot="1">
      <c r="F5107" s="331" t="s">
        <v>195</v>
      </c>
      <c r="G5107" s="332" t="s">
        <v>196</v>
      </c>
      <c r="H5107" s="333"/>
      <c r="I5107" s="333"/>
      <c r="J5107" s="350">
        <v>0.1</v>
      </c>
      <c r="K5107" s="335"/>
      <c r="L5107" s="330">
        <f>J5107*L5106</f>
        <v>38508.5</v>
      </c>
    </row>
    <row r="5108" spans="5:13" ht="15" customHeight="1" thickBot="1">
      <c r="F5108" s="340" t="s">
        <v>197</v>
      </c>
      <c r="G5108" s="341" t="s">
        <v>198</v>
      </c>
      <c r="H5108" s="318"/>
      <c r="I5108" s="318"/>
      <c r="J5108" s="342"/>
      <c r="K5108" s="320">
        <v>0</v>
      </c>
      <c r="L5108" s="321">
        <f>ROUNDDOWN(L5106+L5107,0)</f>
        <v>423593</v>
      </c>
    </row>
    <row r="5109" spans="5:13" ht="15" customHeight="1">
      <c r="G5109" s="298"/>
      <c r="J5109" s="343"/>
    </row>
    <row r="5110" spans="5:13" ht="15" customHeight="1" thickBot="1">
      <c r="E5110" s="356" t="s">
        <v>1674</v>
      </c>
      <c r="F5110" s="295" t="s">
        <v>1676</v>
      </c>
      <c r="J5110" s="343"/>
      <c r="M5110" s="299">
        <f>L5129</f>
        <v>508472</v>
      </c>
    </row>
    <row r="5111" spans="5:13" ht="15" customHeight="1" thickBot="1">
      <c r="F5111" s="340" t="s">
        <v>136</v>
      </c>
      <c r="G5111" s="341" t="s">
        <v>162</v>
      </c>
      <c r="H5111" s="352" t="s">
        <v>163</v>
      </c>
      <c r="I5111" s="352" t="s">
        <v>138</v>
      </c>
      <c r="J5111" s="353" t="s">
        <v>164</v>
      </c>
      <c r="K5111" s="341" t="s">
        <v>165</v>
      </c>
      <c r="L5111" s="354" t="s">
        <v>166</v>
      </c>
    </row>
    <row r="5112" spans="5:13" ht="15" customHeight="1">
      <c r="F5112" s="300" t="s">
        <v>167</v>
      </c>
      <c r="G5112" s="301" t="s">
        <v>168</v>
      </c>
      <c r="H5112" s="302"/>
      <c r="I5112" s="302"/>
      <c r="J5112" s="351"/>
      <c r="K5112" s="328"/>
      <c r="L5112" s="310"/>
    </row>
    <row r="5113" spans="5:13" ht="15" customHeight="1">
      <c r="F5113" s="306"/>
      <c r="G5113" s="301" t="s">
        <v>169</v>
      </c>
      <c r="H5113" s="307" t="s">
        <v>170</v>
      </c>
      <c r="I5113" s="307" t="s">
        <v>171</v>
      </c>
      <c r="J5113" s="308">
        <v>0.5</v>
      </c>
      <c r="K5113" s="309">
        <f>VLOOKUP(G5113,Upah,8,FALSE)</f>
        <v>125000</v>
      </c>
      <c r="L5113" s="310">
        <f>J5113*K5113</f>
        <v>62500</v>
      </c>
    </row>
    <row r="5114" spans="5:13" ht="15" customHeight="1">
      <c r="F5114" s="306"/>
      <c r="G5114" s="301" t="s">
        <v>414</v>
      </c>
      <c r="H5114" s="307" t="s">
        <v>173</v>
      </c>
      <c r="I5114" s="307" t="s">
        <v>171</v>
      </c>
      <c r="J5114" s="308">
        <v>0.5</v>
      </c>
      <c r="K5114" s="309">
        <f>VLOOKUP(G5114,Upah,8,FALSE)</f>
        <v>150000</v>
      </c>
      <c r="L5114" s="310">
        <f>J5114*K5114</f>
        <v>75000</v>
      </c>
    </row>
    <row r="5115" spans="5:13" ht="15" customHeight="1">
      <c r="F5115" s="306"/>
      <c r="G5115" s="301" t="s">
        <v>232</v>
      </c>
      <c r="H5115" s="307" t="s">
        <v>175</v>
      </c>
      <c r="I5115" s="307" t="s">
        <v>171</v>
      </c>
      <c r="J5115" s="308">
        <v>0.05</v>
      </c>
      <c r="K5115" s="309">
        <f>VLOOKUP(G5115,Upah,8,FALSE)</f>
        <v>165000</v>
      </c>
      <c r="L5115" s="310">
        <f>J5115*K5115</f>
        <v>8250</v>
      </c>
    </row>
    <row r="5116" spans="5:13" ht="15" customHeight="1" thickBot="1">
      <c r="F5116" s="306"/>
      <c r="G5116" s="301" t="s">
        <v>176</v>
      </c>
      <c r="H5116" s="307" t="s">
        <v>177</v>
      </c>
      <c r="I5116" s="307" t="s">
        <v>171</v>
      </c>
      <c r="J5116" s="308">
        <v>2.5000000000000001E-2</v>
      </c>
      <c r="K5116" s="309">
        <f>VLOOKUP(G5116,Upah,8,FALSE)</f>
        <v>170000</v>
      </c>
      <c r="L5116" s="310">
        <f>J5116*K5116</f>
        <v>4250</v>
      </c>
    </row>
    <row r="5117" spans="5:13" ht="15" customHeight="1" thickBot="1">
      <c r="F5117" s="316"/>
      <c r="G5117" s="317"/>
      <c r="H5117" s="318"/>
      <c r="I5117" s="318"/>
      <c r="J5117" s="319" t="s">
        <v>178</v>
      </c>
      <c r="K5117" s="320"/>
      <c r="L5117" s="321">
        <f>SUM(L5113:L5116)</f>
        <v>150000</v>
      </c>
    </row>
    <row r="5118" spans="5:13" ht="15" customHeight="1">
      <c r="F5118" s="300" t="s">
        <v>179</v>
      </c>
      <c r="G5118" s="301" t="s">
        <v>180</v>
      </c>
      <c r="H5118" s="302"/>
      <c r="I5118" s="302"/>
      <c r="J5118" s="351"/>
      <c r="K5118" s="328"/>
      <c r="L5118" s="310"/>
    </row>
    <row r="5119" spans="5:13" ht="15" customHeight="1">
      <c r="F5119" s="306"/>
      <c r="G5119" s="301" t="s">
        <v>563</v>
      </c>
      <c r="H5119" s="302"/>
      <c r="I5119" s="307" t="s">
        <v>33</v>
      </c>
      <c r="J5119" s="308">
        <v>3.6</v>
      </c>
      <c r="K5119" s="328">
        <f>VLOOKUP(G5119,Bahan,6,FALSE)</f>
        <v>20000</v>
      </c>
      <c r="L5119" s="310">
        <f>J5119*K5119</f>
        <v>72000</v>
      </c>
    </row>
    <row r="5120" spans="5:13" ht="15" customHeight="1">
      <c r="F5120" s="306"/>
      <c r="G5120" s="301" t="s">
        <v>984</v>
      </c>
      <c r="H5120" s="302"/>
      <c r="I5120" s="307" t="s">
        <v>45</v>
      </c>
      <c r="J5120" s="308">
        <v>0.15</v>
      </c>
      <c r="K5120" s="328">
        <f>VLOOKUP(G5120,Bahan,6,FALSE)</f>
        <v>24800</v>
      </c>
      <c r="L5120" s="310">
        <f>J5120*K5120</f>
        <v>3720</v>
      </c>
    </row>
    <row r="5121" spans="5:13" ht="15" customHeight="1">
      <c r="F5121" s="306"/>
      <c r="G5121" s="301" t="s">
        <v>985</v>
      </c>
      <c r="H5121" s="302"/>
      <c r="I5121" s="307" t="s">
        <v>221</v>
      </c>
      <c r="J5121" s="308">
        <v>1.05</v>
      </c>
      <c r="K5121" s="328">
        <f>VLOOKUP(G5121,Bahan,6,FALSE)</f>
        <v>350</v>
      </c>
      <c r="L5121" s="310">
        <f>J5121*K5121</f>
        <v>367.5</v>
      </c>
    </row>
    <row r="5122" spans="5:13" ht="15" customHeight="1">
      <c r="F5122" s="306"/>
      <c r="G5122" s="301" t="s">
        <v>971</v>
      </c>
      <c r="H5122" s="302"/>
      <c r="I5122" s="307" t="s">
        <v>423</v>
      </c>
      <c r="J5122" s="308">
        <v>1.5</v>
      </c>
      <c r="K5122" s="328">
        <f>VLOOKUP(G5122,Bahan,6,FALSE)</f>
        <v>157440</v>
      </c>
      <c r="L5122" s="310">
        <f>J5122*K5122</f>
        <v>236160</v>
      </c>
    </row>
    <row r="5123" spans="5:13" ht="15" customHeight="1" thickBot="1">
      <c r="F5123" s="306"/>
      <c r="G5123" s="301"/>
      <c r="H5123" s="302"/>
      <c r="I5123" s="307"/>
      <c r="J5123" s="308"/>
      <c r="K5123" s="328"/>
      <c r="L5123" s="310"/>
    </row>
    <row r="5124" spans="5:13" ht="15" customHeight="1" thickBot="1">
      <c r="F5124" s="316"/>
      <c r="G5124" s="317"/>
      <c r="H5124" s="318"/>
      <c r="I5124" s="318"/>
      <c r="J5124" s="319" t="s">
        <v>189</v>
      </c>
      <c r="K5124" s="320"/>
      <c r="L5124" s="321">
        <f>SUM(L5119:L5123)</f>
        <v>312247.5</v>
      </c>
    </row>
    <row r="5125" spans="5:13" ht="15" customHeight="1" thickBot="1">
      <c r="F5125" s="300" t="s">
        <v>190</v>
      </c>
      <c r="G5125" s="301" t="s">
        <v>191</v>
      </c>
      <c r="H5125" s="302"/>
      <c r="I5125" s="302"/>
      <c r="J5125" s="351"/>
      <c r="K5125" s="328">
        <v>0</v>
      </c>
      <c r="L5125" s="310">
        <f>J5125*K5125</f>
        <v>0</v>
      </c>
    </row>
    <row r="5126" spans="5:13" ht="15" customHeight="1" thickBot="1">
      <c r="F5126" s="316"/>
      <c r="G5126" s="317"/>
      <c r="H5126" s="318"/>
      <c r="I5126" s="318"/>
      <c r="J5126" s="319" t="s">
        <v>192</v>
      </c>
      <c r="K5126" s="320"/>
      <c r="L5126" s="321">
        <f>L5125</f>
        <v>0</v>
      </c>
    </row>
    <row r="5127" spans="5:13" ht="15" customHeight="1">
      <c r="F5127" s="344" t="s">
        <v>193</v>
      </c>
      <c r="G5127" s="345" t="s">
        <v>194</v>
      </c>
      <c r="H5127" s="346"/>
      <c r="I5127" s="346"/>
      <c r="J5127" s="347"/>
      <c r="K5127" s="348">
        <v>0</v>
      </c>
      <c r="L5127" s="310">
        <f>SUM(L5113:L5126)/2</f>
        <v>462247.5</v>
      </c>
    </row>
    <row r="5128" spans="5:13" ht="15" customHeight="1" thickBot="1">
      <c r="F5128" s="331" t="s">
        <v>195</v>
      </c>
      <c r="G5128" s="332" t="s">
        <v>196</v>
      </c>
      <c r="H5128" s="333"/>
      <c r="I5128" s="333"/>
      <c r="J5128" s="350">
        <v>0.1</v>
      </c>
      <c r="K5128" s="335"/>
      <c r="L5128" s="330">
        <f>J5128*L5127</f>
        <v>46224.75</v>
      </c>
    </row>
    <row r="5129" spans="5:13" ht="15" customHeight="1" thickBot="1">
      <c r="F5129" s="340" t="s">
        <v>197</v>
      </c>
      <c r="G5129" s="341" t="s">
        <v>198</v>
      </c>
      <c r="H5129" s="318"/>
      <c r="I5129" s="318"/>
      <c r="J5129" s="342"/>
      <c r="K5129" s="320">
        <v>0</v>
      </c>
      <c r="L5129" s="321">
        <f>ROUNDDOWN(L5127+L5128,0)</f>
        <v>508472</v>
      </c>
    </row>
    <row r="5130" spans="5:13" ht="15" customHeight="1">
      <c r="G5130" s="298"/>
      <c r="J5130" s="343"/>
    </row>
    <row r="5131" spans="5:13" ht="15" customHeight="1" thickBot="1">
      <c r="E5131" s="356" t="s">
        <v>1675</v>
      </c>
      <c r="F5131" s="295" t="s">
        <v>990</v>
      </c>
      <c r="J5131" s="343"/>
      <c r="M5131" s="299">
        <f>L5147</f>
        <v>244650</v>
      </c>
    </row>
    <row r="5132" spans="5:13" ht="15" customHeight="1" thickBot="1">
      <c r="F5132" s="340" t="s">
        <v>136</v>
      </c>
      <c r="G5132" s="341" t="s">
        <v>162</v>
      </c>
      <c r="H5132" s="352" t="s">
        <v>163</v>
      </c>
      <c r="I5132" s="352" t="s">
        <v>138</v>
      </c>
      <c r="J5132" s="353" t="s">
        <v>164</v>
      </c>
      <c r="K5132" s="341" t="s">
        <v>165</v>
      </c>
      <c r="L5132" s="354" t="s">
        <v>166</v>
      </c>
    </row>
    <row r="5133" spans="5:13" ht="15" customHeight="1">
      <c r="F5133" s="300" t="s">
        <v>167</v>
      </c>
      <c r="G5133" s="301" t="s">
        <v>168</v>
      </c>
      <c r="H5133" s="302"/>
      <c r="I5133" s="302"/>
      <c r="J5133" s="351"/>
      <c r="K5133" s="328"/>
      <c r="L5133" s="310"/>
    </row>
    <row r="5134" spans="5:13" ht="15" customHeight="1">
      <c r="F5134" s="306"/>
      <c r="G5134" s="301" t="s">
        <v>169</v>
      </c>
      <c r="H5134" s="307" t="s">
        <v>170</v>
      </c>
      <c r="I5134" s="307" t="s">
        <v>171</v>
      </c>
      <c r="J5134" s="308">
        <v>0.15</v>
      </c>
      <c r="K5134" s="309">
        <f>VLOOKUP(G5134,Upah,8,FALSE)</f>
        <v>125000</v>
      </c>
      <c r="L5134" s="310">
        <f>J5134*K5134</f>
        <v>18750</v>
      </c>
    </row>
    <row r="5135" spans="5:13" ht="15" customHeight="1">
      <c r="F5135" s="306"/>
      <c r="G5135" s="301" t="s">
        <v>172</v>
      </c>
      <c r="H5135" s="307" t="s">
        <v>173</v>
      </c>
      <c r="I5135" s="307" t="s">
        <v>171</v>
      </c>
      <c r="J5135" s="308">
        <v>0.25</v>
      </c>
      <c r="K5135" s="309">
        <f>VLOOKUP(G5135,Upah,8,FALSE)</f>
        <v>150000</v>
      </c>
      <c r="L5135" s="310">
        <f>J5135*K5135</f>
        <v>37500</v>
      </c>
    </row>
    <row r="5136" spans="5:13" ht="15" customHeight="1">
      <c r="F5136" s="306"/>
      <c r="G5136" s="301" t="s">
        <v>232</v>
      </c>
      <c r="H5136" s="307" t="s">
        <v>175</v>
      </c>
      <c r="I5136" s="307" t="s">
        <v>171</v>
      </c>
      <c r="J5136" s="308">
        <v>2.5000000000000001E-2</v>
      </c>
      <c r="K5136" s="309">
        <f>VLOOKUP(G5136,Upah,8,FALSE)</f>
        <v>165000</v>
      </c>
      <c r="L5136" s="310">
        <f>J5136*K5136</f>
        <v>4125</v>
      </c>
    </row>
    <row r="5137" spans="4:13" ht="15" customHeight="1" thickBot="1">
      <c r="F5137" s="306"/>
      <c r="G5137" s="301" t="s">
        <v>176</v>
      </c>
      <c r="H5137" s="307" t="s">
        <v>177</v>
      </c>
      <c r="I5137" s="307" t="s">
        <v>171</v>
      </c>
      <c r="J5137" s="308">
        <v>7.4999999999999997E-2</v>
      </c>
      <c r="K5137" s="309">
        <f>VLOOKUP(G5137,Upah,8,FALSE)</f>
        <v>170000</v>
      </c>
      <c r="L5137" s="310">
        <f>J5137*K5137</f>
        <v>12750</v>
      </c>
    </row>
    <row r="5138" spans="4:13" ht="15" customHeight="1" thickBot="1">
      <c r="F5138" s="316"/>
      <c r="G5138" s="317"/>
      <c r="H5138" s="318"/>
      <c r="I5138" s="318"/>
      <c r="J5138" s="319" t="s">
        <v>178</v>
      </c>
      <c r="K5138" s="320"/>
      <c r="L5138" s="321">
        <f>SUM(L5134:L5137)</f>
        <v>73125</v>
      </c>
    </row>
    <row r="5139" spans="4:13" ht="15" customHeight="1">
      <c r="F5139" s="300" t="s">
        <v>179</v>
      </c>
      <c r="G5139" s="301" t="s">
        <v>180</v>
      </c>
      <c r="H5139" s="302"/>
      <c r="I5139" s="302"/>
      <c r="J5139" s="351"/>
      <c r="K5139" s="328"/>
      <c r="L5139" s="310"/>
    </row>
    <row r="5140" spans="4:13" ht="15" customHeight="1">
      <c r="F5140" s="306"/>
      <c r="G5140" s="301" t="s">
        <v>991</v>
      </c>
      <c r="H5140" s="302"/>
      <c r="I5140" s="307" t="s">
        <v>23</v>
      </c>
      <c r="J5140" s="308">
        <v>1.05</v>
      </c>
      <c r="K5140" s="328">
        <f>VLOOKUP(G5140,Bahan,6,FALSE)</f>
        <v>131890</v>
      </c>
      <c r="L5140" s="310">
        <f>J5140*K5140</f>
        <v>138484.5</v>
      </c>
    </row>
    <row r="5141" spans="4:13" ht="15" customHeight="1" thickBot="1">
      <c r="F5141" s="306"/>
      <c r="G5141" s="301" t="s">
        <v>956</v>
      </c>
      <c r="H5141" s="302"/>
      <c r="I5141" s="307" t="s">
        <v>36</v>
      </c>
      <c r="J5141" s="308">
        <v>18</v>
      </c>
      <c r="K5141" s="328">
        <f>VLOOKUP(G5141,Bahan,6,FALSE)</f>
        <v>600</v>
      </c>
      <c r="L5141" s="310">
        <f>J5141*K5141</f>
        <v>10800</v>
      </c>
    </row>
    <row r="5142" spans="4:13" ht="15" customHeight="1" thickBot="1">
      <c r="F5142" s="316"/>
      <c r="G5142" s="317"/>
      <c r="H5142" s="318"/>
      <c r="I5142" s="318"/>
      <c r="J5142" s="319" t="s">
        <v>189</v>
      </c>
      <c r="K5142" s="320"/>
      <c r="L5142" s="321">
        <f>SUM(L5140:L5141)</f>
        <v>149284.5</v>
      </c>
    </row>
    <row r="5143" spans="4:13" ht="15" customHeight="1" thickBot="1">
      <c r="F5143" s="300" t="s">
        <v>190</v>
      </c>
      <c r="G5143" s="301" t="s">
        <v>191</v>
      </c>
      <c r="H5143" s="302"/>
      <c r="I5143" s="302"/>
      <c r="J5143" s="351"/>
      <c r="K5143" s="328">
        <v>0</v>
      </c>
      <c r="L5143" s="310">
        <f>J5143*K5143</f>
        <v>0</v>
      </c>
    </row>
    <row r="5144" spans="4:13" ht="15" customHeight="1" thickBot="1">
      <c r="F5144" s="316"/>
      <c r="G5144" s="317"/>
      <c r="H5144" s="318"/>
      <c r="I5144" s="318"/>
      <c r="J5144" s="319" t="s">
        <v>192</v>
      </c>
      <c r="K5144" s="320"/>
      <c r="L5144" s="321">
        <f>L5143</f>
        <v>0</v>
      </c>
    </row>
    <row r="5145" spans="4:13" ht="15" customHeight="1">
      <c r="F5145" s="344" t="s">
        <v>193</v>
      </c>
      <c r="G5145" s="345" t="s">
        <v>194</v>
      </c>
      <c r="H5145" s="346"/>
      <c r="I5145" s="346"/>
      <c r="J5145" s="347"/>
      <c r="K5145" s="348">
        <v>0</v>
      </c>
      <c r="L5145" s="310">
        <f>SUM(L5134:L5144)/2</f>
        <v>222409.5</v>
      </c>
    </row>
    <row r="5146" spans="4:13" ht="15" customHeight="1" thickBot="1">
      <c r="F5146" s="331" t="s">
        <v>195</v>
      </c>
      <c r="G5146" s="332" t="s">
        <v>196</v>
      </c>
      <c r="H5146" s="333"/>
      <c r="I5146" s="333"/>
      <c r="J5146" s="350">
        <v>0.1</v>
      </c>
      <c r="K5146" s="335"/>
      <c r="L5146" s="330">
        <f>J5146*L5145</f>
        <v>22240.95</v>
      </c>
    </row>
    <row r="5147" spans="4:13" ht="15" customHeight="1" thickBot="1">
      <c r="F5147" s="340" t="s">
        <v>197</v>
      </c>
      <c r="G5147" s="341" t="s">
        <v>198</v>
      </c>
      <c r="H5147" s="318"/>
      <c r="I5147" s="318"/>
      <c r="J5147" s="342"/>
      <c r="K5147" s="320">
        <v>0</v>
      </c>
      <c r="L5147" s="321">
        <f>ROUNDDOWN(L5145+L5146,0)</f>
        <v>244650</v>
      </c>
    </row>
    <row r="5148" spans="4:13" ht="15" customHeight="1">
      <c r="G5148" s="298"/>
      <c r="J5148" s="343"/>
    </row>
    <row r="5149" spans="4:13" ht="15" customHeight="1">
      <c r="D5149" s="562" t="s">
        <v>992</v>
      </c>
      <c r="E5149" s="358" t="s">
        <v>993</v>
      </c>
      <c r="J5149" s="343"/>
    </row>
    <row r="5150" spans="4:13" ht="15" customHeight="1" thickBot="1">
      <c r="E5150" s="356" t="s">
        <v>994</v>
      </c>
      <c r="F5150" s="295" t="s">
        <v>995</v>
      </c>
      <c r="J5150" s="343"/>
      <c r="M5150" s="299">
        <f>L5165</f>
        <v>115607</v>
      </c>
    </row>
    <row r="5151" spans="4:13" ht="15" customHeight="1" thickBot="1">
      <c r="F5151" s="340" t="s">
        <v>136</v>
      </c>
      <c r="G5151" s="341" t="s">
        <v>162</v>
      </c>
      <c r="H5151" s="352" t="s">
        <v>163</v>
      </c>
      <c r="I5151" s="352" t="s">
        <v>138</v>
      </c>
      <c r="J5151" s="353" t="s">
        <v>164</v>
      </c>
      <c r="K5151" s="341" t="s">
        <v>165</v>
      </c>
      <c r="L5151" s="354" t="s">
        <v>166</v>
      </c>
    </row>
    <row r="5152" spans="4:13" ht="15" customHeight="1">
      <c r="F5152" s="300" t="s">
        <v>167</v>
      </c>
      <c r="G5152" s="301" t="s">
        <v>168</v>
      </c>
      <c r="H5152" s="302"/>
      <c r="I5152" s="302"/>
      <c r="J5152" s="351"/>
      <c r="K5152" s="328"/>
      <c r="L5152" s="310"/>
    </row>
    <row r="5153" spans="5:13" ht="15" customHeight="1">
      <c r="F5153" s="306"/>
      <c r="G5153" s="301" t="s">
        <v>169</v>
      </c>
      <c r="H5153" s="307" t="s">
        <v>170</v>
      </c>
      <c r="I5153" s="307" t="s">
        <v>171</v>
      </c>
      <c r="J5153" s="308">
        <v>0.15</v>
      </c>
      <c r="K5153" s="309">
        <f>VLOOKUP(G5153,Upah,8,FALSE)</f>
        <v>125000</v>
      </c>
      <c r="L5153" s="310">
        <f>J5153*K5153</f>
        <v>18750</v>
      </c>
    </row>
    <row r="5154" spans="5:13" ht="15" customHeight="1">
      <c r="F5154" s="306"/>
      <c r="G5154" s="301" t="s">
        <v>172</v>
      </c>
      <c r="H5154" s="307" t="s">
        <v>173</v>
      </c>
      <c r="I5154" s="307" t="s">
        <v>171</v>
      </c>
      <c r="J5154" s="308">
        <v>7.4999999999999997E-2</v>
      </c>
      <c r="K5154" s="309">
        <f>VLOOKUP(G5154,Upah,8,FALSE)</f>
        <v>150000</v>
      </c>
      <c r="L5154" s="310">
        <f>J5154*K5154</f>
        <v>11250</v>
      </c>
    </row>
    <row r="5155" spans="5:13" ht="15" customHeight="1">
      <c r="F5155" s="306"/>
      <c r="G5155" s="301" t="s">
        <v>232</v>
      </c>
      <c r="H5155" s="307" t="s">
        <v>175</v>
      </c>
      <c r="I5155" s="307" t="s">
        <v>171</v>
      </c>
      <c r="J5155" s="308">
        <v>7.4999999999999997E-3</v>
      </c>
      <c r="K5155" s="309">
        <f>VLOOKUP(G5155,Upah,8,FALSE)</f>
        <v>165000</v>
      </c>
      <c r="L5155" s="310">
        <f>J5155*K5155</f>
        <v>1237.5</v>
      </c>
    </row>
    <row r="5156" spans="5:13" ht="15" customHeight="1" thickBot="1">
      <c r="F5156" s="306"/>
      <c r="G5156" s="301" t="s">
        <v>176</v>
      </c>
      <c r="H5156" s="307" t="s">
        <v>177</v>
      </c>
      <c r="I5156" s="307" t="s">
        <v>171</v>
      </c>
      <c r="J5156" s="308">
        <v>8.0000000000000002E-3</v>
      </c>
      <c r="K5156" s="309">
        <f>VLOOKUP(G5156,Upah,8,FALSE)</f>
        <v>170000</v>
      </c>
      <c r="L5156" s="310">
        <f>J5156*K5156</f>
        <v>1360</v>
      </c>
    </row>
    <row r="5157" spans="5:13" ht="15" customHeight="1" thickBot="1">
      <c r="F5157" s="316"/>
      <c r="G5157" s="317"/>
      <c r="H5157" s="318"/>
      <c r="I5157" s="318"/>
      <c r="J5157" s="319" t="s">
        <v>178</v>
      </c>
      <c r="K5157" s="320"/>
      <c r="L5157" s="321">
        <f>SUM(L5153:L5156)</f>
        <v>32597.5</v>
      </c>
    </row>
    <row r="5158" spans="5:13" ht="15" customHeight="1">
      <c r="F5158" s="300" t="s">
        <v>179</v>
      </c>
      <c r="G5158" s="301" t="s">
        <v>180</v>
      </c>
      <c r="H5158" s="302"/>
      <c r="I5158" s="302"/>
      <c r="J5158" s="351"/>
      <c r="K5158" s="328"/>
      <c r="L5158" s="310"/>
    </row>
    <row r="5159" spans="5:13" ht="15" customHeight="1" thickBot="1">
      <c r="F5159" s="306"/>
      <c r="G5159" s="301" t="s">
        <v>996</v>
      </c>
      <c r="H5159" s="302"/>
      <c r="I5159" s="307" t="s">
        <v>221</v>
      </c>
      <c r="J5159" s="308">
        <v>25</v>
      </c>
      <c r="K5159" s="328">
        <f>VLOOKUP(G5159,Bahan,6,FALSE)</f>
        <v>2900</v>
      </c>
      <c r="L5159" s="310">
        <f>J5159*K5159</f>
        <v>72500</v>
      </c>
    </row>
    <row r="5160" spans="5:13" ht="15" customHeight="1" thickBot="1">
      <c r="F5160" s="316"/>
      <c r="G5160" s="317"/>
      <c r="H5160" s="318"/>
      <c r="I5160" s="318"/>
      <c r="J5160" s="319" t="s">
        <v>189</v>
      </c>
      <c r="K5160" s="320"/>
      <c r="L5160" s="321">
        <f>SUM(L5158:L5159)</f>
        <v>72500</v>
      </c>
    </row>
    <row r="5161" spans="5:13" ht="15" customHeight="1" thickBot="1">
      <c r="F5161" s="300" t="s">
        <v>190</v>
      </c>
      <c r="G5161" s="301" t="s">
        <v>191</v>
      </c>
      <c r="H5161" s="302"/>
      <c r="I5161" s="302"/>
      <c r="J5161" s="351"/>
      <c r="K5161" s="328">
        <v>0</v>
      </c>
      <c r="L5161" s="310">
        <f>J5161*K5161</f>
        <v>0</v>
      </c>
    </row>
    <row r="5162" spans="5:13" ht="15" customHeight="1" thickBot="1">
      <c r="F5162" s="316"/>
      <c r="G5162" s="317"/>
      <c r="H5162" s="318"/>
      <c r="I5162" s="318"/>
      <c r="J5162" s="319" t="s">
        <v>192</v>
      </c>
      <c r="K5162" s="320"/>
      <c r="L5162" s="321">
        <f>L5161</f>
        <v>0</v>
      </c>
    </row>
    <row r="5163" spans="5:13" ht="15" customHeight="1">
      <c r="F5163" s="344" t="s">
        <v>193</v>
      </c>
      <c r="G5163" s="345" t="s">
        <v>194</v>
      </c>
      <c r="H5163" s="346"/>
      <c r="I5163" s="346"/>
      <c r="J5163" s="347"/>
      <c r="K5163" s="348">
        <v>0</v>
      </c>
      <c r="L5163" s="310">
        <f>SUM(L5152:L5162)/2</f>
        <v>105097.5</v>
      </c>
    </row>
    <row r="5164" spans="5:13" ht="15" customHeight="1" thickBot="1">
      <c r="F5164" s="331" t="s">
        <v>195</v>
      </c>
      <c r="G5164" s="332" t="s">
        <v>196</v>
      </c>
      <c r="H5164" s="333"/>
      <c r="I5164" s="333"/>
      <c r="J5164" s="350">
        <v>0.1</v>
      </c>
      <c r="K5164" s="335"/>
      <c r="L5164" s="330">
        <f>J5164*L5163</f>
        <v>10509.75</v>
      </c>
    </row>
    <row r="5165" spans="5:13" ht="15" customHeight="1" thickBot="1">
      <c r="F5165" s="340" t="s">
        <v>197</v>
      </c>
      <c r="G5165" s="341" t="s">
        <v>198</v>
      </c>
      <c r="H5165" s="318"/>
      <c r="I5165" s="318"/>
      <c r="J5165" s="342"/>
      <c r="K5165" s="320">
        <v>0</v>
      </c>
      <c r="L5165" s="321">
        <f>ROUNDDOWN(L5163+L5164,0)</f>
        <v>115607</v>
      </c>
    </row>
    <row r="5166" spans="5:13" ht="15" customHeight="1">
      <c r="F5166" s="298"/>
      <c r="G5166" s="298"/>
      <c r="J5166" s="343"/>
    </row>
    <row r="5167" spans="5:13" ht="15" customHeight="1" thickBot="1">
      <c r="E5167" s="356" t="s">
        <v>997</v>
      </c>
      <c r="F5167" s="295" t="s">
        <v>998</v>
      </c>
      <c r="J5167" s="343"/>
      <c r="M5167" s="299">
        <f>L5182</f>
        <v>85173</v>
      </c>
    </row>
    <row r="5168" spans="5:13" ht="15" customHeight="1" thickBot="1">
      <c r="F5168" s="340" t="s">
        <v>136</v>
      </c>
      <c r="G5168" s="341" t="s">
        <v>162</v>
      </c>
      <c r="H5168" s="352" t="s">
        <v>163</v>
      </c>
      <c r="I5168" s="352" t="s">
        <v>138</v>
      </c>
      <c r="J5168" s="353" t="s">
        <v>164</v>
      </c>
      <c r="K5168" s="341" t="s">
        <v>165</v>
      </c>
      <c r="L5168" s="354" t="s">
        <v>166</v>
      </c>
    </row>
    <row r="5169" spans="5:13" ht="15" customHeight="1">
      <c r="F5169" s="300" t="s">
        <v>167</v>
      </c>
      <c r="G5169" s="301" t="s">
        <v>168</v>
      </c>
      <c r="H5169" s="302"/>
      <c r="I5169" s="302"/>
      <c r="J5169" s="351"/>
      <c r="K5169" s="328"/>
      <c r="L5169" s="310"/>
    </row>
    <row r="5170" spans="5:13" ht="15" customHeight="1">
      <c r="F5170" s="306"/>
      <c r="G5170" s="301" t="s">
        <v>169</v>
      </c>
      <c r="H5170" s="307" t="s">
        <v>170</v>
      </c>
      <c r="I5170" s="307" t="s">
        <v>171</v>
      </c>
      <c r="J5170" s="308">
        <v>0.15</v>
      </c>
      <c r="K5170" s="309">
        <f>VLOOKUP(G5170,Upah,8,FALSE)</f>
        <v>125000</v>
      </c>
      <c r="L5170" s="310">
        <f>J5170*K5170</f>
        <v>18750</v>
      </c>
    </row>
    <row r="5171" spans="5:13" ht="15" customHeight="1">
      <c r="F5171" s="306"/>
      <c r="G5171" s="301" t="s">
        <v>172</v>
      </c>
      <c r="H5171" s="307" t="s">
        <v>173</v>
      </c>
      <c r="I5171" s="307" t="s">
        <v>171</v>
      </c>
      <c r="J5171" s="308">
        <v>7.4999999999999997E-2</v>
      </c>
      <c r="K5171" s="309">
        <f>VLOOKUP(G5171,Upah,8,FALSE)</f>
        <v>150000</v>
      </c>
      <c r="L5171" s="310">
        <f>J5171*K5171</f>
        <v>11250</v>
      </c>
    </row>
    <row r="5172" spans="5:13" ht="15" customHeight="1">
      <c r="F5172" s="306"/>
      <c r="G5172" s="301" t="s">
        <v>232</v>
      </c>
      <c r="H5172" s="307" t="s">
        <v>175</v>
      </c>
      <c r="I5172" s="307" t="s">
        <v>171</v>
      </c>
      <c r="J5172" s="308">
        <v>8.0000000000000002E-3</v>
      </c>
      <c r="K5172" s="309">
        <f>VLOOKUP(G5172,Upah,8,FALSE)</f>
        <v>165000</v>
      </c>
      <c r="L5172" s="310">
        <f>J5172*K5172</f>
        <v>1320</v>
      </c>
    </row>
    <row r="5173" spans="5:13" ht="15" customHeight="1" thickBot="1">
      <c r="F5173" s="306"/>
      <c r="G5173" s="301" t="s">
        <v>176</v>
      </c>
      <c r="H5173" s="307" t="s">
        <v>177</v>
      </c>
      <c r="I5173" s="307" t="s">
        <v>171</v>
      </c>
      <c r="J5173" s="308">
        <v>8.0000000000000002E-3</v>
      </c>
      <c r="K5173" s="309">
        <f>VLOOKUP(G5173,Upah,8,FALSE)</f>
        <v>170000</v>
      </c>
      <c r="L5173" s="310">
        <f>J5173*K5173</f>
        <v>1360</v>
      </c>
    </row>
    <row r="5174" spans="5:13" ht="15" customHeight="1" thickBot="1">
      <c r="F5174" s="316"/>
      <c r="G5174" s="317"/>
      <c r="H5174" s="318"/>
      <c r="I5174" s="318"/>
      <c r="J5174" s="319" t="s">
        <v>178</v>
      </c>
      <c r="K5174" s="320"/>
      <c r="L5174" s="321">
        <f>SUM(L5170:L5173)</f>
        <v>32680</v>
      </c>
    </row>
    <row r="5175" spans="5:13" ht="15" customHeight="1">
      <c r="F5175" s="300" t="s">
        <v>179</v>
      </c>
      <c r="G5175" s="301" t="s">
        <v>180</v>
      </c>
      <c r="H5175" s="302"/>
      <c r="I5175" s="302"/>
      <c r="J5175" s="351"/>
      <c r="K5175" s="328"/>
      <c r="L5175" s="310"/>
    </row>
    <row r="5176" spans="5:13" ht="15" customHeight="1" thickBot="1">
      <c r="F5176" s="306"/>
      <c r="G5176" s="301" t="s">
        <v>999</v>
      </c>
      <c r="H5176" s="302"/>
      <c r="I5176" s="307" t="s">
        <v>221</v>
      </c>
      <c r="J5176" s="308">
        <v>25</v>
      </c>
      <c r="K5176" s="328">
        <f>VLOOKUP(G5176,Bahan,6,FALSE)</f>
        <v>1790</v>
      </c>
      <c r="L5176" s="310">
        <f>J5176*K5176</f>
        <v>44750</v>
      </c>
    </row>
    <row r="5177" spans="5:13" ht="15" customHeight="1" thickBot="1">
      <c r="F5177" s="316"/>
      <c r="G5177" s="317"/>
      <c r="H5177" s="318"/>
      <c r="I5177" s="318"/>
      <c r="J5177" s="319" t="s">
        <v>189</v>
      </c>
      <c r="K5177" s="320"/>
      <c r="L5177" s="321">
        <f>SUM(L5175:L5176)</f>
        <v>44750</v>
      </c>
    </row>
    <row r="5178" spans="5:13" ht="15" customHeight="1" thickBot="1">
      <c r="F5178" s="300" t="s">
        <v>190</v>
      </c>
      <c r="G5178" s="301" t="s">
        <v>191</v>
      </c>
      <c r="H5178" s="302"/>
      <c r="I5178" s="302"/>
      <c r="J5178" s="351"/>
      <c r="K5178" s="328">
        <v>0</v>
      </c>
      <c r="L5178" s="310">
        <f>J5178*K5178</f>
        <v>0</v>
      </c>
    </row>
    <row r="5179" spans="5:13" ht="15" customHeight="1" thickBot="1">
      <c r="F5179" s="316"/>
      <c r="G5179" s="317"/>
      <c r="H5179" s="318"/>
      <c r="I5179" s="318"/>
      <c r="J5179" s="319" t="s">
        <v>192</v>
      </c>
      <c r="K5179" s="320"/>
      <c r="L5179" s="321">
        <f>L5178</f>
        <v>0</v>
      </c>
    </row>
    <row r="5180" spans="5:13" ht="15" customHeight="1">
      <c r="F5180" s="344" t="s">
        <v>193</v>
      </c>
      <c r="G5180" s="345" t="s">
        <v>194</v>
      </c>
      <c r="H5180" s="346"/>
      <c r="I5180" s="346"/>
      <c r="J5180" s="347"/>
      <c r="K5180" s="348">
        <v>0</v>
      </c>
      <c r="L5180" s="310">
        <f>SUM(L5169:L5179)/2</f>
        <v>77430</v>
      </c>
    </row>
    <row r="5181" spans="5:13" ht="15" customHeight="1" thickBot="1">
      <c r="F5181" s="331" t="s">
        <v>195</v>
      </c>
      <c r="G5181" s="332" t="s">
        <v>196</v>
      </c>
      <c r="H5181" s="333"/>
      <c r="I5181" s="333"/>
      <c r="J5181" s="350">
        <v>0.1</v>
      </c>
      <c r="K5181" s="335"/>
      <c r="L5181" s="330">
        <f>J5181*L5180</f>
        <v>7743</v>
      </c>
    </row>
    <row r="5182" spans="5:13" ht="15" customHeight="1" thickBot="1">
      <c r="F5182" s="340" t="s">
        <v>197</v>
      </c>
      <c r="G5182" s="341" t="s">
        <v>198</v>
      </c>
      <c r="H5182" s="318"/>
      <c r="I5182" s="318"/>
      <c r="J5182" s="342"/>
      <c r="K5182" s="320">
        <v>0</v>
      </c>
      <c r="L5182" s="321">
        <f>ROUNDDOWN(L5180+L5181,0)</f>
        <v>85173</v>
      </c>
    </row>
    <row r="5183" spans="5:13" ht="15" customHeight="1">
      <c r="F5183" s="298"/>
      <c r="G5183" s="298"/>
      <c r="J5183" s="343"/>
    </row>
    <row r="5184" spans="5:13" ht="15" customHeight="1" thickBot="1">
      <c r="E5184" s="356" t="s">
        <v>1000</v>
      </c>
      <c r="F5184" s="295" t="s">
        <v>1001</v>
      </c>
      <c r="J5184" s="343"/>
      <c r="M5184" s="299">
        <f>L5199</f>
        <v>59576</v>
      </c>
    </row>
    <row r="5185" spans="6:12" ht="15" customHeight="1" thickBot="1">
      <c r="F5185" s="340" t="s">
        <v>136</v>
      </c>
      <c r="G5185" s="341" t="s">
        <v>162</v>
      </c>
      <c r="H5185" s="352" t="s">
        <v>163</v>
      </c>
      <c r="I5185" s="352" t="s">
        <v>138</v>
      </c>
      <c r="J5185" s="353" t="s">
        <v>164</v>
      </c>
      <c r="K5185" s="341" t="s">
        <v>165</v>
      </c>
      <c r="L5185" s="354" t="s">
        <v>166</v>
      </c>
    </row>
    <row r="5186" spans="6:12" ht="15" customHeight="1">
      <c r="F5186" s="300" t="s">
        <v>167</v>
      </c>
      <c r="G5186" s="301" t="s">
        <v>168</v>
      </c>
      <c r="H5186" s="302"/>
      <c r="I5186" s="302"/>
      <c r="J5186" s="351"/>
      <c r="K5186" s="328"/>
      <c r="L5186" s="310"/>
    </row>
    <row r="5187" spans="6:12" ht="15" customHeight="1">
      <c r="F5187" s="306"/>
      <c r="G5187" s="301" t="s">
        <v>169</v>
      </c>
      <c r="H5187" s="307" t="s">
        <v>170</v>
      </c>
      <c r="I5187" s="307" t="s">
        <v>171</v>
      </c>
      <c r="J5187" s="308">
        <v>0.15</v>
      </c>
      <c r="K5187" s="309">
        <f>VLOOKUP(G5187,Upah,8,FALSE)</f>
        <v>125000</v>
      </c>
      <c r="L5187" s="310">
        <f>J5187*K5187</f>
        <v>18750</v>
      </c>
    </row>
    <row r="5188" spans="6:12" ht="15" customHeight="1">
      <c r="F5188" s="306"/>
      <c r="G5188" s="301" t="s">
        <v>172</v>
      </c>
      <c r="H5188" s="307" t="s">
        <v>173</v>
      </c>
      <c r="I5188" s="307" t="s">
        <v>171</v>
      </c>
      <c r="J5188" s="308">
        <v>7.4999999999999997E-2</v>
      </c>
      <c r="K5188" s="309">
        <f>VLOOKUP(G5188,Upah,8,FALSE)</f>
        <v>150000</v>
      </c>
      <c r="L5188" s="310">
        <f>J5188*K5188</f>
        <v>11250</v>
      </c>
    </row>
    <row r="5189" spans="6:12" ht="15" customHeight="1">
      <c r="F5189" s="306"/>
      <c r="G5189" s="301" t="s">
        <v>232</v>
      </c>
      <c r="H5189" s="307" t="s">
        <v>175</v>
      </c>
      <c r="I5189" s="307" t="s">
        <v>171</v>
      </c>
      <c r="J5189" s="308">
        <v>8.0000000000000002E-3</v>
      </c>
      <c r="K5189" s="309">
        <f>VLOOKUP(G5189,Upah,8,FALSE)</f>
        <v>165000</v>
      </c>
      <c r="L5189" s="310">
        <f>J5189*K5189</f>
        <v>1320</v>
      </c>
    </row>
    <row r="5190" spans="6:12" ht="15" customHeight="1" thickBot="1">
      <c r="F5190" s="306"/>
      <c r="G5190" s="301" t="s">
        <v>176</v>
      </c>
      <c r="H5190" s="307" t="s">
        <v>177</v>
      </c>
      <c r="I5190" s="307" t="s">
        <v>171</v>
      </c>
      <c r="J5190" s="308">
        <v>8.0000000000000002E-3</v>
      </c>
      <c r="K5190" s="309">
        <f>VLOOKUP(G5190,Upah,8,FALSE)</f>
        <v>170000</v>
      </c>
      <c r="L5190" s="310">
        <f>J5190*K5190</f>
        <v>1360</v>
      </c>
    </row>
    <row r="5191" spans="6:12" ht="15" customHeight="1" thickBot="1">
      <c r="F5191" s="316"/>
      <c r="G5191" s="317"/>
      <c r="H5191" s="318"/>
      <c r="I5191" s="318"/>
      <c r="J5191" s="319" t="s">
        <v>178</v>
      </c>
      <c r="K5191" s="320"/>
      <c r="L5191" s="321">
        <f>SUM(L5187:L5190)</f>
        <v>32680</v>
      </c>
    </row>
    <row r="5192" spans="6:12" ht="15" customHeight="1">
      <c r="F5192" s="300" t="s">
        <v>179</v>
      </c>
      <c r="G5192" s="301" t="s">
        <v>180</v>
      </c>
      <c r="H5192" s="302"/>
      <c r="I5192" s="302"/>
      <c r="J5192" s="351"/>
      <c r="K5192" s="328"/>
      <c r="L5192" s="310"/>
    </row>
    <row r="5193" spans="6:12" ht="15" customHeight="1" thickBot="1">
      <c r="F5193" s="306"/>
      <c r="G5193" s="301" t="s">
        <v>999</v>
      </c>
      <c r="H5193" s="302"/>
      <c r="I5193" s="307" t="s">
        <v>221</v>
      </c>
      <c r="J5193" s="308">
        <v>12</v>
      </c>
      <c r="K5193" s="328">
        <f>VLOOKUP(G5193,Bahan,6,FALSE)</f>
        <v>1790</v>
      </c>
      <c r="L5193" s="310">
        <f>J5193*K5193</f>
        <v>21480</v>
      </c>
    </row>
    <row r="5194" spans="6:12" ht="15" customHeight="1" thickBot="1">
      <c r="F5194" s="316"/>
      <c r="G5194" s="317"/>
      <c r="H5194" s="318"/>
      <c r="I5194" s="318"/>
      <c r="J5194" s="319" t="s">
        <v>189</v>
      </c>
      <c r="K5194" s="320"/>
      <c r="L5194" s="321">
        <f>SUM(L5192:L5193)</f>
        <v>21480</v>
      </c>
    </row>
    <row r="5195" spans="6:12" ht="15" customHeight="1" thickBot="1">
      <c r="F5195" s="300" t="s">
        <v>190</v>
      </c>
      <c r="G5195" s="301" t="s">
        <v>191</v>
      </c>
      <c r="H5195" s="302"/>
      <c r="I5195" s="302"/>
      <c r="J5195" s="351"/>
      <c r="K5195" s="328">
        <v>0</v>
      </c>
      <c r="L5195" s="310">
        <f>J5195*K5195</f>
        <v>0</v>
      </c>
    </row>
    <row r="5196" spans="6:12" ht="15" customHeight="1" thickBot="1">
      <c r="F5196" s="316"/>
      <c r="G5196" s="317"/>
      <c r="H5196" s="318"/>
      <c r="I5196" s="318"/>
      <c r="J5196" s="319" t="s">
        <v>192</v>
      </c>
      <c r="K5196" s="320"/>
      <c r="L5196" s="321">
        <f>L5195</f>
        <v>0</v>
      </c>
    </row>
    <row r="5197" spans="6:12" ht="15" customHeight="1">
      <c r="F5197" s="344" t="s">
        <v>193</v>
      </c>
      <c r="G5197" s="345" t="s">
        <v>194</v>
      </c>
      <c r="H5197" s="346"/>
      <c r="I5197" s="346"/>
      <c r="J5197" s="347"/>
      <c r="K5197" s="348">
        <v>0</v>
      </c>
      <c r="L5197" s="310">
        <f>SUM(L5186:L5196)/2</f>
        <v>54160</v>
      </c>
    </row>
    <row r="5198" spans="6:12" ht="15" customHeight="1" thickBot="1">
      <c r="F5198" s="331" t="s">
        <v>195</v>
      </c>
      <c r="G5198" s="332" t="s">
        <v>196</v>
      </c>
      <c r="H5198" s="333"/>
      <c r="I5198" s="333"/>
      <c r="J5198" s="350">
        <v>0.1</v>
      </c>
      <c r="K5198" s="335"/>
      <c r="L5198" s="330">
        <f>J5198*L5197</f>
        <v>5416</v>
      </c>
    </row>
    <row r="5199" spans="6:12" ht="15" customHeight="1" thickBot="1">
      <c r="F5199" s="340" t="s">
        <v>197</v>
      </c>
      <c r="G5199" s="341" t="s">
        <v>198</v>
      </c>
      <c r="H5199" s="318"/>
      <c r="I5199" s="318"/>
      <c r="J5199" s="342"/>
      <c r="K5199" s="320">
        <v>0</v>
      </c>
      <c r="L5199" s="321">
        <f>ROUNDDOWN(L5197+L5198,0)</f>
        <v>59576</v>
      </c>
    </row>
    <row r="5200" spans="6:12" ht="15" customHeight="1">
      <c r="F5200" s="298"/>
      <c r="G5200" s="298"/>
      <c r="J5200" s="343"/>
    </row>
    <row r="5201" spans="5:13" ht="15" customHeight="1" thickBot="1">
      <c r="E5201" s="356" t="s">
        <v>1002</v>
      </c>
      <c r="F5201" s="295" t="s">
        <v>1003</v>
      </c>
      <c r="J5201" s="343"/>
      <c r="M5201" s="299">
        <f>L5218</f>
        <v>151296</v>
      </c>
    </row>
    <row r="5202" spans="5:13" ht="15" customHeight="1" thickBot="1">
      <c r="F5202" s="340" t="s">
        <v>136</v>
      </c>
      <c r="G5202" s="341" t="s">
        <v>162</v>
      </c>
      <c r="H5202" s="352" t="s">
        <v>163</v>
      </c>
      <c r="I5202" s="352" t="s">
        <v>138</v>
      </c>
      <c r="J5202" s="353" t="s">
        <v>164</v>
      </c>
      <c r="K5202" s="341" t="s">
        <v>165</v>
      </c>
      <c r="L5202" s="354" t="s">
        <v>166</v>
      </c>
    </row>
    <row r="5203" spans="5:13" ht="15" customHeight="1">
      <c r="F5203" s="300" t="s">
        <v>167</v>
      </c>
      <c r="G5203" s="301" t="s">
        <v>168</v>
      </c>
      <c r="H5203" s="302"/>
      <c r="I5203" s="302"/>
      <c r="J5203" s="351"/>
      <c r="K5203" s="328"/>
      <c r="L5203" s="310"/>
    </row>
    <row r="5204" spans="5:13" ht="15" customHeight="1">
      <c r="F5204" s="306"/>
      <c r="G5204" s="301" t="s">
        <v>169</v>
      </c>
      <c r="H5204" s="307" t="s">
        <v>170</v>
      </c>
      <c r="I5204" s="307" t="s">
        <v>171</v>
      </c>
      <c r="J5204" s="308">
        <v>0.4</v>
      </c>
      <c r="K5204" s="309">
        <f>VLOOKUP(G5204,Upah,8,FALSE)</f>
        <v>125000</v>
      </c>
      <c r="L5204" s="310">
        <f>J5204*K5204</f>
        <v>50000</v>
      </c>
    </row>
    <row r="5205" spans="5:13" ht="15" customHeight="1">
      <c r="F5205" s="306"/>
      <c r="G5205" s="301" t="s">
        <v>172</v>
      </c>
      <c r="H5205" s="307" t="s">
        <v>173</v>
      </c>
      <c r="I5205" s="307" t="s">
        <v>171</v>
      </c>
      <c r="J5205" s="308">
        <v>0.2</v>
      </c>
      <c r="K5205" s="309">
        <f>VLOOKUP(G5205,Upah,8,FALSE)</f>
        <v>150000</v>
      </c>
      <c r="L5205" s="310">
        <f>J5205*K5205</f>
        <v>30000</v>
      </c>
    </row>
    <row r="5206" spans="5:13" ht="15" customHeight="1">
      <c r="F5206" s="306"/>
      <c r="G5206" s="301" t="s">
        <v>232</v>
      </c>
      <c r="H5206" s="307" t="s">
        <v>175</v>
      </c>
      <c r="I5206" s="307" t="s">
        <v>171</v>
      </c>
      <c r="J5206" s="308">
        <v>0.02</v>
      </c>
      <c r="K5206" s="309">
        <f>VLOOKUP(G5206,Upah,8,FALSE)</f>
        <v>165000</v>
      </c>
      <c r="L5206" s="310">
        <f>J5206*K5206</f>
        <v>3300</v>
      </c>
    </row>
    <row r="5207" spans="5:13" ht="15" customHeight="1" thickBot="1">
      <c r="F5207" s="306"/>
      <c r="G5207" s="301" t="s">
        <v>176</v>
      </c>
      <c r="H5207" s="307" t="s">
        <v>177</v>
      </c>
      <c r="I5207" s="307" t="s">
        <v>171</v>
      </c>
      <c r="J5207" s="308">
        <v>2E-3</v>
      </c>
      <c r="K5207" s="309">
        <f>VLOOKUP(G5207,Upah,8,FALSE)</f>
        <v>170000</v>
      </c>
      <c r="L5207" s="310">
        <f>J5207*K5207</f>
        <v>340</v>
      </c>
    </row>
    <row r="5208" spans="5:13" ht="15" customHeight="1" thickBot="1">
      <c r="F5208" s="316"/>
      <c r="G5208" s="317"/>
      <c r="H5208" s="318"/>
      <c r="I5208" s="318"/>
      <c r="J5208" s="319" t="s">
        <v>178</v>
      </c>
      <c r="K5208" s="320"/>
      <c r="L5208" s="321">
        <f>SUM(L5204:L5207)</f>
        <v>83640</v>
      </c>
    </row>
    <row r="5209" spans="5:13" ht="15" customHeight="1">
      <c r="F5209" s="300" t="s">
        <v>179</v>
      </c>
      <c r="G5209" s="301" t="s">
        <v>180</v>
      </c>
      <c r="H5209" s="302"/>
      <c r="I5209" s="302"/>
      <c r="J5209" s="351"/>
      <c r="K5209" s="328"/>
      <c r="L5209" s="310"/>
    </row>
    <row r="5210" spans="5:13" ht="15" customHeight="1">
      <c r="F5210" s="306"/>
      <c r="G5210" s="301" t="s">
        <v>1004</v>
      </c>
      <c r="H5210" s="302"/>
      <c r="I5210" s="307" t="s">
        <v>221</v>
      </c>
      <c r="J5210" s="308">
        <v>5</v>
      </c>
      <c r="K5210" s="328">
        <f>VLOOKUP(G5210,Bahan,6,FALSE)</f>
        <v>6150</v>
      </c>
      <c r="L5210" s="310">
        <f>J5210*K5210</f>
        <v>30750</v>
      </c>
    </row>
    <row r="5211" spans="5:13" ht="15" customHeight="1">
      <c r="F5211" s="306"/>
      <c r="G5211" s="301" t="s">
        <v>183</v>
      </c>
      <c r="H5211" s="302"/>
      <c r="I5211" s="307" t="s">
        <v>45</v>
      </c>
      <c r="J5211" s="308">
        <v>8</v>
      </c>
      <c r="K5211" s="328">
        <f>VLOOKUP(G5211,Bahan,6,FALSE)</f>
        <v>1880</v>
      </c>
      <c r="L5211" s="310">
        <f>J5211*K5211</f>
        <v>15040</v>
      </c>
    </row>
    <row r="5212" spans="5:13" ht="15" customHeight="1" thickBot="1">
      <c r="F5212" s="306"/>
      <c r="G5212" s="301" t="s">
        <v>296</v>
      </c>
      <c r="H5212" s="302"/>
      <c r="I5212" s="307" t="s">
        <v>292</v>
      </c>
      <c r="J5212" s="308">
        <v>3.2000000000000001E-2</v>
      </c>
      <c r="K5212" s="328">
        <f>VLOOKUP(G5212,Bahan,6,FALSE)</f>
        <v>253510</v>
      </c>
      <c r="L5212" s="310">
        <f>J5212*K5212</f>
        <v>8112.3200000000006</v>
      </c>
    </row>
    <row r="5213" spans="5:13" ht="15" customHeight="1" thickBot="1">
      <c r="F5213" s="316"/>
      <c r="G5213" s="317"/>
      <c r="H5213" s="318"/>
      <c r="I5213" s="318"/>
      <c r="J5213" s="319" t="s">
        <v>189</v>
      </c>
      <c r="K5213" s="320"/>
      <c r="L5213" s="321">
        <f>SUM(L5210:L5212)</f>
        <v>53902.32</v>
      </c>
    </row>
    <row r="5214" spans="5:13" ht="15" customHeight="1" thickBot="1">
      <c r="F5214" s="300" t="s">
        <v>190</v>
      </c>
      <c r="G5214" s="301" t="s">
        <v>191</v>
      </c>
      <c r="H5214" s="302"/>
      <c r="I5214" s="302"/>
      <c r="J5214" s="351"/>
      <c r="K5214" s="328">
        <v>0</v>
      </c>
      <c r="L5214" s="310">
        <f>J5214*K5214</f>
        <v>0</v>
      </c>
    </row>
    <row r="5215" spans="5:13" ht="15" customHeight="1" thickBot="1">
      <c r="F5215" s="316"/>
      <c r="G5215" s="317"/>
      <c r="H5215" s="318"/>
      <c r="I5215" s="318"/>
      <c r="J5215" s="319" t="s">
        <v>192</v>
      </c>
      <c r="K5215" s="320"/>
      <c r="L5215" s="321">
        <f>L5214</f>
        <v>0</v>
      </c>
    </row>
    <row r="5216" spans="5:13" ht="15" customHeight="1">
      <c r="F5216" s="344" t="s">
        <v>193</v>
      </c>
      <c r="G5216" s="345" t="s">
        <v>194</v>
      </c>
      <c r="H5216" s="346"/>
      <c r="I5216" s="346"/>
      <c r="J5216" s="347"/>
      <c r="K5216" s="348">
        <v>0</v>
      </c>
      <c r="L5216" s="310">
        <f>SUM(L5204:L5215)/2</f>
        <v>137542.32</v>
      </c>
    </row>
    <row r="5217" spans="5:13" ht="15" customHeight="1" thickBot="1">
      <c r="F5217" s="331" t="s">
        <v>195</v>
      </c>
      <c r="G5217" s="332" t="s">
        <v>196</v>
      </c>
      <c r="H5217" s="333"/>
      <c r="I5217" s="333"/>
      <c r="J5217" s="350">
        <v>0.1</v>
      </c>
      <c r="K5217" s="335"/>
      <c r="L5217" s="330">
        <f>J5217*L5216</f>
        <v>13754.232000000002</v>
      </c>
    </row>
    <row r="5218" spans="5:13" ht="15" customHeight="1" thickBot="1">
      <c r="F5218" s="340" t="s">
        <v>197</v>
      </c>
      <c r="G5218" s="341" t="s">
        <v>198</v>
      </c>
      <c r="H5218" s="318"/>
      <c r="I5218" s="318"/>
      <c r="J5218" s="342"/>
      <c r="K5218" s="320">
        <v>0</v>
      </c>
      <c r="L5218" s="321">
        <f>ROUNDDOWN(L5216+L5217,0)</f>
        <v>151296</v>
      </c>
    </row>
    <row r="5219" spans="5:13" ht="15" customHeight="1">
      <c r="F5219" s="298"/>
      <c r="G5219" s="298"/>
      <c r="J5219" s="343"/>
    </row>
    <row r="5220" spans="5:13" ht="15" customHeight="1" thickBot="1">
      <c r="E5220" s="356" t="s">
        <v>1005</v>
      </c>
      <c r="F5220" s="295" t="s">
        <v>1006</v>
      </c>
      <c r="J5220" s="343"/>
      <c r="M5220" s="299">
        <f>L5237</f>
        <v>151296</v>
      </c>
    </row>
    <row r="5221" spans="5:13" ht="15" customHeight="1" thickBot="1">
      <c r="F5221" s="340" t="s">
        <v>136</v>
      </c>
      <c r="G5221" s="341" t="s">
        <v>162</v>
      </c>
      <c r="H5221" s="352" t="s">
        <v>163</v>
      </c>
      <c r="I5221" s="352" t="s">
        <v>138</v>
      </c>
      <c r="J5221" s="353" t="s">
        <v>164</v>
      </c>
      <c r="K5221" s="341" t="s">
        <v>165</v>
      </c>
      <c r="L5221" s="354" t="s">
        <v>166</v>
      </c>
    </row>
    <row r="5222" spans="5:13" ht="15" customHeight="1">
      <c r="F5222" s="300" t="s">
        <v>167</v>
      </c>
      <c r="G5222" s="301" t="s">
        <v>168</v>
      </c>
      <c r="H5222" s="302"/>
      <c r="I5222" s="302"/>
      <c r="J5222" s="351"/>
      <c r="K5222" s="328"/>
      <c r="L5222" s="310"/>
    </row>
    <row r="5223" spans="5:13" ht="15" customHeight="1">
      <c r="F5223" s="306"/>
      <c r="G5223" s="301" t="s">
        <v>169</v>
      </c>
      <c r="H5223" s="307" t="s">
        <v>170</v>
      </c>
      <c r="I5223" s="307" t="s">
        <v>171</v>
      </c>
      <c r="J5223" s="308">
        <v>0.4</v>
      </c>
      <c r="K5223" s="309">
        <f>VLOOKUP(G5223,Upah,8,FALSE)</f>
        <v>125000</v>
      </c>
      <c r="L5223" s="310">
        <f>J5223*K5223</f>
        <v>50000</v>
      </c>
    </row>
    <row r="5224" spans="5:13" ht="15" customHeight="1">
      <c r="F5224" s="306"/>
      <c r="G5224" s="301" t="s">
        <v>172</v>
      </c>
      <c r="H5224" s="307" t="s">
        <v>173</v>
      </c>
      <c r="I5224" s="307" t="s">
        <v>171</v>
      </c>
      <c r="J5224" s="308">
        <v>0.2</v>
      </c>
      <c r="K5224" s="309">
        <f>VLOOKUP(G5224,Upah,8,FALSE)</f>
        <v>150000</v>
      </c>
      <c r="L5224" s="310">
        <f>J5224*K5224</f>
        <v>30000</v>
      </c>
    </row>
    <row r="5225" spans="5:13" ht="15" customHeight="1">
      <c r="F5225" s="306"/>
      <c r="G5225" s="301" t="s">
        <v>232</v>
      </c>
      <c r="H5225" s="307" t="s">
        <v>175</v>
      </c>
      <c r="I5225" s="307" t="s">
        <v>171</v>
      </c>
      <c r="J5225" s="308">
        <v>0.02</v>
      </c>
      <c r="K5225" s="309">
        <f>VLOOKUP(G5225,Upah,8,FALSE)</f>
        <v>165000</v>
      </c>
      <c r="L5225" s="310">
        <f>J5225*K5225</f>
        <v>3300</v>
      </c>
    </row>
    <row r="5226" spans="5:13" ht="15" customHeight="1" thickBot="1">
      <c r="F5226" s="306"/>
      <c r="G5226" s="301" t="s">
        <v>176</v>
      </c>
      <c r="H5226" s="307" t="s">
        <v>177</v>
      </c>
      <c r="I5226" s="307" t="s">
        <v>171</v>
      </c>
      <c r="J5226" s="308">
        <v>2E-3</v>
      </c>
      <c r="K5226" s="309">
        <f>VLOOKUP(G5226,Upah,8,FALSE)</f>
        <v>170000</v>
      </c>
      <c r="L5226" s="310">
        <f>J5226*K5226</f>
        <v>340</v>
      </c>
    </row>
    <row r="5227" spans="5:13" ht="15" customHeight="1" thickBot="1">
      <c r="F5227" s="316"/>
      <c r="G5227" s="317"/>
      <c r="H5227" s="318"/>
      <c r="I5227" s="318"/>
      <c r="J5227" s="319" t="s">
        <v>178</v>
      </c>
      <c r="K5227" s="320"/>
      <c r="L5227" s="321">
        <f>SUM(L5223:L5226)</f>
        <v>83640</v>
      </c>
    </row>
    <row r="5228" spans="5:13" ht="15" customHeight="1">
      <c r="F5228" s="300" t="s">
        <v>179</v>
      </c>
      <c r="G5228" s="301" t="s">
        <v>180</v>
      </c>
      <c r="H5228" s="302"/>
      <c r="I5228" s="302"/>
      <c r="J5228" s="351"/>
      <c r="K5228" s="328"/>
      <c r="L5228" s="310"/>
    </row>
    <row r="5229" spans="5:13" ht="15" customHeight="1">
      <c r="F5229" s="306"/>
      <c r="G5229" s="301" t="s">
        <v>1004</v>
      </c>
      <c r="H5229" s="302"/>
      <c r="I5229" s="307" t="s">
        <v>221</v>
      </c>
      <c r="J5229" s="308">
        <v>5</v>
      </c>
      <c r="K5229" s="328">
        <f>VLOOKUP(G5229,Bahan,6,FALSE)</f>
        <v>6150</v>
      </c>
      <c r="L5229" s="310">
        <f>J5229*K5229</f>
        <v>30750</v>
      </c>
    </row>
    <row r="5230" spans="5:13" ht="15" customHeight="1">
      <c r="F5230" s="306"/>
      <c r="G5230" s="301" t="s">
        <v>183</v>
      </c>
      <c r="H5230" s="302"/>
      <c r="I5230" s="307" t="s">
        <v>45</v>
      </c>
      <c r="J5230" s="308">
        <v>8</v>
      </c>
      <c r="K5230" s="328">
        <f>VLOOKUP(G5230,Bahan,6,FALSE)</f>
        <v>1880</v>
      </c>
      <c r="L5230" s="310">
        <f>J5230*K5230</f>
        <v>15040</v>
      </c>
    </row>
    <row r="5231" spans="5:13" ht="15" customHeight="1" thickBot="1">
      <c r="F5231" s="306"/>
      <c r="G5231" s="301" t="s">
        <v>296</v>
      </c>
      <c r="H5231" s="302"/>
      <c r="I5231" s="307" t="s">
        <v>292</v>
      </c>
      <c r="J5231" s="308">
        <v>3.2000000000000001E-2</v>
      </c>
      <c r="K5231" s="328">
        <f>VLOOKUP(G5231,Bahan,6,FALSE)</f>
        <v>253510</v>
      </c>
      <c r="L5231" s="310">
        <f>J5231*K5231</f>
        <v>8112.3200000000006</v>
      </c>
    </row>
    <row r="5232" spans="5:13" ht="15" customHeight="1" thickBot="1">
      <c r="F5232" s="316"/>
      <c r="G5232" s="317"/>
      <c r="H5232" s="318"/>
      <c r="I5232" s="318"/>
      <c r="J5232" s="319" t="s">
        <v>189</v>
      </c>
      <c r="K5232" s="320"/>
      <c r="L5232" s="321">
        <f>SUM(L5229:L5231)</f>
        <v>53902.32</v>
      </c>
    </row>
    <row r="5233" spans="5:13" ht="15" customHeight="1" thickBot="1">
      <c r="F5233" s="300" t="s">
        <v>190</v>
      </c>
      <c r="G5233" s="301" t="s">
        <v>191</v>
      </c>
      <c r="H5233" s="302"/>
      <c r="I5233" s="302"/>
      <c r="J5233" s="351"/>
      <c r="K5233" s="328">
        <v>0</v>
      </c>
      <c r="L5233" s="310">
        <f>J5233*K5233</f>
        <v>0</v>
      </c>
    </row>
    <row r="5234" spans="5:13" ht="15" customHeight="1" thickBot="1">
      <c r="F5234" s="316"/>
      <c r="G5234" s="317"/>
      <c r="H5234" s="318"/>
      <c r="I5234" s="318"/>
      <c r="J5234" s="319" t="s">
        <v>192</v>
      </c>
      <c r="K5234" s="320"/>
      <c r="L5234" s="321">
        <f>L5233</f>
        <v>0</v>
      </c>
    </row>
    <row r="5235" spans="5:13" ht="15" customHeight="1">
      <c r="F5235" s="344" t="s">
        <v>193</v>
      </c>
      <c r="G5235" s="345" t="s">
        <v>194</v>
      </c>
      <c r="H5235" s="346"/>
      <c r="I5235" s="346"/>
      <c r="J5235" s="347"/>
      <c r="K5235" s="348">
        <v>0</v>
      </c>
      <c r="L5235" s="310">
        <f>SUM(L5223:L5234)/2</f>
        <v>137542.32</v>
      </c>
    </row>
    <row r="5236" spans="5:13" ht="15" customHeight="1" thickBot="1">
      <c r="F5236" s="331" t="s">
        <v>195</v>
      </c>
      <c r="G5236" s="332" t="s">
        <v>196</v>
      </c>
      <c r="H5236" s="333"/>
      <c r="I5236" s="333"/>
      <c r="J5236" s="350">
        <v>0.1</v>
      </c>
      <c r="K5236" s="335"/>
      <c r="L5236" s="330">
        <f>J5236*L5235</f>
        <v>13754.232000000002</v>
      </c>
    </row>
    <row r="5237" spans="5:13" ht="15" customHeight="1" thickBot="1">
      <c r="F5237" s="340" t="s">
        <v>197</v>
      </c>
      <c r="G5237" s="341" t="s">
        <v>198</v>
      </c>
      <c r="H5237" s="318"/>
      <c r="I5237" s="318"/>
      <c r="J5237" s="342"/>
      <c r="K5237" s="320">
        <v>0</v>
      </c>
      <c r="L5237" s="321">
        <f>ROUNDDOWN(L5235+L5236,0)</f>
        <v>151296</v>
      </c>
    </row>
    <row r="5238" spans="5:13" ht="15" customHeight="1">
      <c r="F5238" s="298"/>
      <c r="G5238" s="298"/>
      <c r="J5238" s="343"/>
    </row>
    <row r="5239" spans="5:13" ht="15" customHeight="1" thickBot="1">
      <c r="E5239" s="356" t="s">
        <v>1007</v>
      </c>
      <c r="F5239" s="295" t="s">
        <v>1008</v>
      </c>
      <c r="J5239" s="343"/>
      <c r="M5239" s="299">
        <f>L5256</f>
        <v>144531</v>
      </c>
    </row>
    <row r="5240" spans="5:13" ht="15" customHeight="1" thickBot="1">
      <c r="F5240" s="340" t="s">
        <v>136</v>
      </c>
      <c r="G5240" s="341" t="s">
        <v>162</v>
      </c>
      <c r="H5240" s="352" t="s">
        <v>163</v>
      </c>
      <c r="I5240" s="352" t="s">
        <v>138</v>
      </c>
      <c r="J5240" s="353" t="s">
        <v>164</v>
      </c>
      <c r="K5240" s="341" t="s">
        <v>165</v>
      </c>
      <c r="L5240" s="354" t="s">
        <v>166</v>
      </c>
    </row>
    <row r="5241" spans="5:13" ht="15" customHeight="1">
      <c r="F5241" s="300" t="s">
        <v>167</v>
      </c>
      <c r="G5241" s="301" t="s">
        <v>168</v>
      </c>
      <c r="H5241" s="302"/>
      <c r="I5241" s="302"/>
      <c r="J5241" s="351"/>
      <c r="K5241" s="328"/>
      <c r="L5241" s="310"/>
    </row>
    <row r="5242" spans="5:13" ht="15" customHeight="1">
      <c r="F5242" s="306"/>
      <c r="G5242" s="301" t="s">
        <v>169</v>
      </c>
      <c r="H5242" s="307" t="s">
        <v>170</v>
      </c>
      <c r="I5242" s="307" t="s">
        <v>171</v>
      </c>
      <c r="J5242" s="308">
        <v>0.4</v>
      </c>
      <c r="K5242" s="309">
        <f>VLOOKUP(G5242,Upah,8,FALSE)</f>
        <v>125000</v>
      </c>
      <c r="L5242" s="310">
        <f>J5242*K5242</f>
        <v>50000</v>
      </c>
    </row>
    <row r="5243" spans="5:13" ht="15" customHeight="1">
      <c r="F5243" s="306"/>
      <c r="G5243" s="301" t="s">
        <v>172</v>
      </c>
      <c r="H5243" s="307" t="s">
        <v>173</v>
      </c>
      <c r="I5243" s="307" t="s">
        <v>171</v>
      </c>
      <c r="J5243" s="308">
        <v>0.2</v>
      </c>
      <c r="K5243" s="309">
        <f>VLOOKUP(G5243,Upah,8,FALSE)</f>
        <v>150000</v>
      </c>
      <c r="L5243" s="310">
        <f>J5243*K5243</f>
        <v>30000</v>
      </c>
    </row>
    <row r="5244" spans="5:13" ht="15" customHeight="1">
      <c r="F5244" s="306"/>
      <c r="G5244" s="301" t="s">
        <v>232</v>
      </c>
      <c r="H5244" s="307" t="s">
        <v>175</v>
      </c>
      <c r="I5244" s="307" t="s">
        <v>171</v>
      </c>
      <c r="J5244" s="308">
        <v>0.02</v>
      </c>
      <c r="K5244" s="309">
        <f>VLOOKUP(G5244,Upah,8,FALSE)</f>
        <v>165000</v>
      </c>
      <c r="L5244" s="310">
        <f>J5244*K5244</f>
        <v>3300</v>
      </c>
    </row>
    <row r="5245" spans="5:13" ht="15" customHeight="1" thickBot="1">
      <c r="F5245" s="306"/>
      <c r="G5245" s="301" t="s">
        <v>176</v>
      </c>
      <c r="H5245" s="307" t="s">
        <v>177</v>
      </c>
      <c r="I5245" s="307" t="s">
        <v>171</v>
      </c>
      <c r="J5245" s="308">
        <v>2E-3</v>
      </c>
      <c r="K5245" s="309">
        <f>VLOOKUP(G5245,Upah,8,FALSE)</f>
        <v>170000</v>
      </c>
      <c r="L5245" s="310">
        <f>J5245*K5245</f>
        <v>340</v>
      </c>
    </row>
    <row r="5246" spans="5:13" ht="15" customHeight="1" thickBot="1">
      <c r="F5246" s="316"/>
      <c r="G5246" s="317"/>
      <c r="H5246" s="318"/>
      <c r="I5246" s="318"/>
      <c r="J5246" s="319" t="s">
        <v>178</v>
      </c>
      <c r="K5246" s="320"/>
      <c r="L5246" s="321">
        <f>SUM(L5242:L5245)</f>
        <v>83640</v>
      </c>
    </row>
    <row r="5247" spans="5:13" ht="15" customHeight="1">
      <c r="F5247" s="300" t="s">
        <v>179</v>
      </c>
      <c r="G5247" s="301" t="s">
        <v>180</v>
      </c>
      <c r="H5247" s="302"/>
      <c r="I5247" s="302"/>
      <c r="J5247" s="351"/>
      <c r="K5247" s="328"/>
      <c r="L5247" s="310"/>
    </row>
    <row r="5248" spans="5:13" ht="15" customHeight="1">
      <c r="F5248" s="306"/>
      <c r="G5248" s="301" t="s">
        <v>1004</v>
      </c>
      <c r="H5248" s="302"/>
      <c r="I5248" s="307" t="s">
        <v>221</v>
      </c>
      <c r="J5248" s="308">
        <v>4</v>
      </c>
      <c r="K5248" s="328">
        <f>VLOOKUP(G5248,Bahan,6,FALSE)</f>
        <v>6150</v>
      </c>
      <c r="L5248" s="310">
        <f>J5248*K5248</f>
        <v>24600</v>
      </c>
    </row>
    <row r="5249" spans="5:13" ht="15" customHeight="1">
      <c r="F5249" s="306"/>
      <c r="G5249" s="301" t="s">
        <v>183</v>
      </c>
      <c r="H5249" s="302"/>
      <c r="I5249" s="307" t="s">
        <v>45</v>
      </c>
      <c r="J5249" s="308">
        <v>8</v>
      </c>
      <c r="K5249" s="328">
        <f>VLOOKUP(G5249,Bahan,6,FALSE)</f>
        <v>1880</v>
      </c>
      <c r="L5249" s="310">
        <f>J5249*K5249</f>
        <v>15040</v>
      </c>
    </row>
    <row r="5250" spans="5:13" ht="15" customHeight="1" thickBot="1">
      <c r="F5250" s="306"/>
      <c r="G5250" s="301" t="s">
        <v>296</v>
      </c>
      <c r="H5250" s="302"/>
      <c r="I5250" s="307" t="s">
        <v>292</v>
      </c>
      <c r="J5250" s="308">
        <v>3.2000000000000001E-2</v>
      </c>
      <c r="K5250" s="328">
        <f>VLOOKUP(G5250,Bahan,6,FALSE)</f>
        <v>253510</v>
      </c>
      <c r="L5250" s="310">
        <f>J5250*K5250</f>
        <v>8112.3200000000006</v>
      </c>
    </row>
    <row r="5251" spans="5:13" ht="15" customHeight="1" thickBot="1">
      <c r="F5251" s="316"/>
      <c r="G5251" s="317"/>
      <c r="H5251" s="318"/>
      <c r="I5251" s="318"/>
      <c r="J5251" s="319" t="s">
        <v>189</v>
      </c>
      <c r="K5251" s="320"/>
      <c r="L5251" s="321">
        <f>SUM(L5248:L5250)</f>
        <v>47752.32</v>
      </c>
    </row>
    <row r="5252" spans="5:13" ht="15" customHeight="1" thickBot="1">
      <c r="F5252" s="300" t="s">
        <v>190</v>
      </c>
      <c r="G5252" s="301" t="s">
        <v>191</v>
      </c>
      <c r="H5252" s="302"/>
      <c r="I5252" s="302"/>
      <c r="J5252" s="351"/>
      <c r="K5252" s="328">
        <v>0</v>
      </c>
      <c r="L5252" s="310">
        <f>J5252*K5252</f>
        <v>0</v>
      </c>
    </row>
    <row r="5253" spans="5:13" ht="15" customHeight="1" thickBot="1">
      <c r="F5253" s="316"/>
      <c r="G5253" s="317"/>
      <c r="H5253" s="318"/>
      <c r="I5253" s="318"/>
      <c r="J5253" s="319" t="s">
        <v>192</v>
      </c>
      <c r="K5253" s="320"/>
      <c r="L5253" s="321">
        <f>L5252</f>
        <v>0</v>
      </c>
    </row>
    <row r="5254" spans="5:13" ht="15" customHeight="1">
      <c r="F5254" s="344" t="s">
        <v>193</v>
      </c>
      <c r="G5254" s="345" t="s">
        <v>194</v>
      </c>
      <c r="H5254" s="346"/>
      <c r="I5254" s="346"/>
      <c r="J5254" s="347"/>
      <c r="K5254" s="348">
        <v>0</v>
      </c>
      <c r="L5254" s="310">
        <f>SUM(L5242:L5253)/2</f>
        <v>131392.32000000001</v>
      </c>
    </row>
    <row r="5255" spans="5:13" ht="15" customHeight="1" thickBot="1">
      <c r="F5255" s="331" t="s">
        <v>195</v>
      </c>
      <c r="G5255" s="332" t="s">
        <v>196</v>
      </c>
      <c r="H5255" s="333"/>
      <c r="I5255" s="333"/>
      <c r="J5255" s="350">
        <v>0.1</v>
      </c>
      <c r="K5255" s="335"/>
      <c r="L5255" s="330">
        <f>J5255*L5254</f>
        <v>13139.232000000002</v>
      </c>
    </row>
    <row r="5256" spans="5:13" ht="15" customHeight="1" thickBot="1">
      <c r="F5256" s="340" t="s">
        <v>197</v>
      </c>
      <c r="G5256" s="341" t="s">
        <v>198</v>
      </c>
      <c r="H5256" s="318"/>
      <c r="I5256" s="318"/>
      <c r="J5256" s="342"/>
      <c r="K5256" s="320">
        <v>0</v>
      </c>
      <c r="L5256" s="321">
        <f>ROUNDDOWN(L5254+L5255,0)</f>
        <v>144531</v>
      </c>
    </row>
    <row r="5257" spans="5:13" ht="15" customHeight="1">
      <c r="F5257" s="298"/>
      <c r="G5257" s="298"/>
      <c r="J5257" s="343"/>
    </row>
    <row r="5258" spans="5:13" ht="15" customHeight="1" thickBot="1">
      <c r="E5258" s="356" t="s">
        <v>1009</v>
      </c>
      <c r="F5258" s="295" t="s">
        <v>1010</v>
      </c>
      <c r="J5258" s="343"/>
      <c r="M5258" s="299">
        <f>L5274</f>
        <v>129462</v>
      </c>
    </row>
    <row r="5259" spans="5:13" ht="15" customHeight="1" thickBot="1">
      <c r="F5259" s="340" t="s">
        <v>136</v>
      </c>
      <c r="G5259" s="341" t="s">
        <v>162</v>
      </c>
      <c r="H5259" s="352" t="s">
        <v>163</v>
      </c>
      <c r="I5259" s="352" t="s">
        <v>138</v>
      </c>
      <c r="J5259" s="353" t="s">
        <v>164</v>
      </c>
      <c r="K5259" s="341" t="s">
        <v>165</v>
      </c>
      <c r="L5259" s="354" t="s">
        <v>166</v>
      </c>
    </row>
    <row r="5260" spans="5:13" ht="15" customHeight="1">
      <c r="F5260" s="300" t="s">
        <v>167</v>
      </c>
      <c r="G5260" s="301" t="s">
        <v>168</v>
      </c>
      <c r="H5260" s="302"/>
      <c r="I5260" s="302"/>
      <c r="J5260" s="351"/>
      <c r="K5260" s="328"/>
      <c r="L5260" s="310"/>
    </row>
    <row r="5261" spans="5:13" ht="15" customHeight="1">
      <c r="F5261" s="306"/>
      <c r="G5261" s="301" t="s">
        <v>169</v>
      </c>
      <c r="H5261" s="307" t="s">
        <v>170</v>
      </c>
      <c r="I5261" s="307" t="s">
        <v>171</v>
      </c>
      <c r="J5261" s="308">
        <v>0.14000000000000001</v>
      </c>
      <c r="K5261" s="309">
        <f>VLOOKUP(G5261,Upah,8,FALSE)</f>
        <v>125000</v>
      </c>
      <c r="L5261" s="310">
        <f>J5261*K5261</f>
        <v>17500</v>
      </c>
    </row>
    <row r="5262" spans="5:13" ht="15" customHeight="1">
      <c r="F5262" s="306"/>
      <c r="G5262" s="301" t="s">
        <v>172</v>
      </c>
      <c r="H5262" s="307" t="s">
        <v>173</v>
      </c>
      <c r="I5262" s="307" t="s">
        <v>171</v>
      </c>
      <c r="J5262" s="308">
        <v>6.7000000000000004E-2</v>
      </c>
      <c r="K5262" s="309">
        <f>VLOOKUP(G5262,Upah,8,FALSE)</f>
        <v>150000</v>
      </c>
      <c r="L5262" s="310">
        <f>J5262*K5262</f>
        <v>10050</v>
      </c>
    </row>
    <row r="5263" spans="5:13" ht="15" customHeight="1">
      <c r="F5263" s="306"/>
      <c r="G5263" s="301" t="s">
        <v>232</v>
      </c>
      <c r="H5263" s="307" t="s">
        <v>175</v>
      </c>
      <c r="I5263" s="307" t="s">
        <v>171</v>
      </c>
      <c r="J5263" s="308">
        <v>7.0000000000000001E-3</v>
      </c>
      <c r="K5263" s="309">
        <f>VLOOKUP(G5263,Upah,8,FALSE)</f>
        <v>165000</v>
      </c>
      <c r="L5263" s="310">
        <f>J5263*K5263</f>
        <v>1155</v>
      </c>
    </row>
    <row r="5264" spans="5:13" ht="15" customHeight="1" thickBot="1">
      <c r="F5264" s="306"/>
      <c r="G5264" s="301" t="s">
        <v>176</v>
      </c>
      <c r="H5264" s="307" t="s">
        <v>177</v>
      </c>
      <c r="I5264" s="307" t="s">
        <v>171</v>
      </c>
      <c r="J5264" s="308">
        <v>7.0000000000000001E-3</v>
      </c>
      <c r="K5264" s="309">
        <f>VLOOKUP(G5264,Upah,8,FALSE)</f>
        <v>170000</v>
      </c>
      <c r="L5264" s="310">
        <f>J5264*K5264</f>
        <v>1190</v>
      </c>
    </row>
    <row r="5265" spans="5:13" ht="15" customHeight="1" thickBot="1">
      <c r="F5265" s="316"/>
      <c r="G5265" s="317"/>
      <c r="H5265" s="318"/>
      <c r="I5265" s="318"/>
      <c r="J5265" s="319" t="s">
        <v>178</v>
      </c>
      <c r="K5265" s="320"/>
      <c r="L5265" s="321">
        <f>SUM(L5261:L5264)</f>
        <v>29895</v>
      </c>
    </row>
    <row r="5266" spans="5:13" ht="15" customHeight="1">
      <c r="F5266" s="300" t="s">
        <v>179</v>
      </c>
      <c r="G5266" s="301" t="s">
        <v>180</v>
      </c>
      <c r="H5266" s="302"/>
      <c r="I5266" s="302"/>
      <c r="J5266" s="351"/>
      <c r="K5266" s="328"/>
      <c r="L5266" s="310"/>
    </row>
    <row r="5267" spans="5:13" ht="15" customHeight="1">
      <c r="F5267" s="306"/>
      <c r="G5267" s="301" t="s">
        <v>1011</v>
      </c>
      <c r="H5267" s="302"/>
      <c r="I5267" s="307" t="s">
        <v>202</v>
      </c>
      <c r="J5267" s="308">
        <v>0.6</v>
      </c>
      <c r="K5267" s="328">
        <f>VLOOKUP(G5267,Bahan,6,FALSE)</f>
        <v>144000</v>
      </c>
      <c r="L5267" s="310">
        <f>J5267*K5267</f>
        <v>86400</v>
      </c>
    </row>
    <row r="5268" spans="5:13" ht="15" customHeight="1" thickBot="1">
      <c r="F5268" s="306"/>
      <c r="G5268" s="301" t="s">
        <v>186</v>
      </c>
      <c r="H5268" s="302"/>
      <c r="I5268" s="307" t="s">
        <v>45</v>
      </c>
      <c r="J5268" s="308">
        <v>0.05</v>
      </c>
      <c r="K5268" s="328">
        <f>VLOOKUP(G5268,Bahan,6,FALSE)</f>
        <v>27970</v>
      </c>
      <c r="L5268" s="310">
        <f>J5268*K5268</f>
        <v>1398.5</v>
      </c>
    </row>
    <row r="5269" spans="5:13" ht="15" customHeight="1" thickBot="1">
      <c r="F5269" s="316"/>
      <c r="G5269" s="317"/>
      <c r="H5269" s="318"/>
      <c r="I5269" s="318"/>
      <c r="J5269" s="319" t="s">
        <v>189</v>
      </c>
      <c r="K5269" s="320"/>
      <c r="L5269" s="321">
        <f>SUM(L5267:L5268)</f>
        <v>87798.5</v>
      </c>
    </row>
    <row r="5270" spans="5:13" ht="15" customHeight="1" thickBot="1">
      <c r="F5270" s="300" t="s">
        <v>190</v>
      </c>
      <c r="G5270" s="301" t="s">
        <v>191</v>
      </c>
      <c r="H5270" s="302"/>
      <c r="I5270" s="302"/>
      <c r="J5270" s="351"/>
      <c r="K5270" s="328">
        <v>0</v>
      </c>
      <c r="L5270" s="310">
        <f>J5270*K5270</f>
        <v>0</v>
      </c>
    </row>
    <row r="5271" spans="5:13" ht="15" customHeight="1" thickBot="1">
      <c r="F5271" s="316"/>
      <c r="G5271" s="317"/>
      <c r="H5271" s="318"/>
      <c r="I5271" s="318"/>
      <c r="J5271" s="319" t="s">
        <v>192</v>
      </c>
      <c r="K5271" s="320"/>
      <c r="L5271" s="321">
        <f>L5270</f>
        <v>0</v>
      </c>
    </row>
    <row r="5272" spans="5:13" ht="15" customHeight="1">
      <c r="F5272" s="344" t="s">
        <v>193</v>
      </c>
      <c r="G5272" s="345" t="s">
        <v>194</v>
      </c>
      <c r="H5272" s="346"/>
      <c r="I5272" s="346"/>
      <c r="J5272" s="347"/>
      <c r="K5272" s="348">
        <v>0</v>
      </c>
      <c r="L5272" s="310">
        <f>SUM(L5261:L5271)/2</f>
        <v>117693.5</v>
      </c>
    </row>
    <row r="5273" spans="5:13" ht="15" customHeight="1" thickBot="1">
      <c r="F5273" s="331" t="s">
        <v>195</v>
      </c>
      <c r="G5273" s="332" t="s">
        <v>196</v>
      </c>
      <c r="H5273" s="333"/>
      <c r="I5273" s="333"/>
      <c r="J5273" s="350">
        <v>0.1</v>
      </c>
      <c r="K5273" s="335"/>
      <c r="L5273" s="330">
        <f>J5273*L5272</f>
        <v>11769.35</v>
      </c>
    </row>
    <row r="5274" spans="5:13" ht="15" customHeight="1" thickBot="1">
      <c r="F5274" s="340" t="s">
        <v>197</v>
      </c>
      <c r="G5274" s="341" t="s">
        <v>198</v>
      </c>
      <c r="H5274" s="318"/>
      <c r="I5274" s="318"/>
      <c r="J5274" s="342"/>
      <c r="K5274" s="320">
        <v>0</v>
      </c>
      <c r="L5274" s="321">
        <f>ROUNDDOWN(L5272+L5273,0)</f>
        <v>129462</v>
      </c>
    </row>
    <row r="5275" spans="5:13" ht="15" customHeight="1">
      <c r="F5275" s="298"/>
      <c r="G5275" s="298"/>
      <c r="J5275" s="343"/>
    </row>
    <row r="5276" spans="5:13" ht="15" customHeight="1" thickBot="1">
      <c r="E5276" s="356" t="s">
        <v>1012</v>
      </c>
      <c r="F5276" s="295" t="s">
        <v>1013</v>
      </c>
      <c r="J5276" s="343"/>
      <c r="M5276" s="299">
        <f>L5292</f>
        <v>108906</v>
      </c>
    </row>
    <row r="5277" spans="5:13" ht="15" customHeight="1" thickBot="1">
      <c r="F5277" s="340" t="s">
        <v>136</v>
      </c>
      <c r="G5277" s="341" t="s">
        <v>162</v>
      </c>
      <c r="H5277" s="352" t="s">
        <v>163</v>
      </c>
      <c r="I5277" s="352" t="s">
        <v>138</v>
      </c>
      <c r="J5277" s="353" t="s">
        <v>164</v>
      </c>
      <c r="K5277" s="341" t="s">
        <v>165</v>
      </c>
      <c r="L5277" s="354" t="s">
        <v>166</v>
      </c>
    </row>
    <row r="5278" spans="5:13" ht="15" customHeight="1">
      <c r="F5278" s="300" t="s">
        <v>167</v>
      </c>
      <c r="G5278" s="301" t="s">
        <v>168</v>
      </c>
      <c r="H5278" s="302"/>
      <c r="I5278" s="302"/>
      <c r="J5278" s="351"/>
      <c r="K5278" s="328"/>
      <c r="L5278" s="310"/>
    </row>
    <row r="5279" spans="5:13" ht="15" customHeight="1">
      <c r="F5279" s="306"/>
      <c r="G5279" s="301" t="s">
        <v>169</v>
      </c>
      <c r="H5279" s="307" t="s">
        <v>170</v>
      </c>
      <c r="I5279" s="307" t="s">
        <v>171</v>
      </c>
      <c r="J5279" s="308">
        <v>0.14000000000000001</v>
      </c>
      <c r="K5279" s="309">
        <f>VLOOKUP(G5279,Upah,8,FALSE)</f>
        <v>125000</v>
      </c>
      <c r="L5279" s="310">
        <f>J5279*K5279</f>
        <v>17500</v>
      </c>
    </row>
    <row r="5280" spans="5:13" ht="15" customHeight="1">
      <c r="F5280" s="306"/>
      <c r="G5280" s="301" t="s">
        <v>172</v>
      </c>
      <c r="H5280" s="307" t="s">
        <v>173</v>
      </c>
      <c r="I5280" s="307" t="s">
        <v>171</v>
      </c>
      <c r="J5280" s="308">
        <v>7.4999999999999997E-2</v>
      </c>
      <c r="K5280" s="309">
        <f>VLOOKUP(G5280,Upah,8,FALSE)</f>
        <v>150000</v>
      </c>
      <c r="L5280" s="310">
        <f>J5280*K5280</f>
        <v>11250</v>
      </c>
    </row>
    <row r="5281" spans="5:13" ht="15" customHeight="1">
      <c r="F5281" s="306"/>
      <c r="G5281" s="301" t="s">
        <v>232</v>
      </c>
      <c r="H5281" s="307" t="s">
        <v>175</v>
      </c>
      <c r="I5281" s="307" t="s">
        <v>171</v>
      </c>
      <c r="J5281" s="308">
        <v>8.0000000000000002E-3</v>
      </c>
      <c r="K5281" s="309">
        <f>VLOOKUP(G5281,Upah,8,FALSE)</f>
        <v>165000</v>
      </c>
      <c r="L5281" s="310">
        <f>J5281*K5281</f>
        <v>1320</v>
      </c>
    </row>
    <row r="5282" spans="5:13" ht="15" customHeight="1" thickBot="1">
      <c r="F5282" s="306"/>
      <c r="G5282" s="301" t="s">
        <v>176</v>
      </c>
      <c r="H5282" s="307" t="s">
        <v>177</v>
      </c>
      <c r="I5282" s="307" t="s">
        <v>171</v>
      </c>
      <c r="J5282" s="308">
        <v>8.0000000000000002E-3</v>
      </c>
      <c r="K5282" s="309">
        <f>VLOOKUP(G5282,Upah,8,FALSE)</f>
        <v>170000</v>
      </c>
      <c r="L5282" s="310">
        <f>J5282*K5282</f>
        <v>1360</v>
      </c>
    </row>
    <row r="5283" spans="5:13" ht="15" customHeight="1" thickBot="1">
      <c r="F5283" s="316"/>
      <c r="G5283" s="317"/>
      <c r="H5283" s="318"/>
      <c r="I5283" s="318"/>
      <c r="J5283" s="319" t="s">
        <v>178</v>
      </c>
      <c r="K5283" s="320"/>
      <c r="L5283" s="321">
        <f>SUM(L5279:L5282)</f>
        <v>31430</v>
      </c>
    </row>
    <row r="5284" spans="5:13" ht="15" customHeight="1">
      <c r="F5284" s="300" t="s">
        <v>179</v>
      </c>
      <c r="G5284" s="301" t="s">
        <v>180</v>
      </c>
      <c r="H5284" s="302"/>
      <c r="I5284" s="302"/>
      <c r="J5284" s="351"/>
      <c r="K5284" s="328"/>
      <c r="L5284" s="310"/>
    </row>
    <row r="5285" spans="5:13" ht="15" customHeight="1">
      <c r="F5285" s="306"/>
      <c r="G5285" s="301" t="s">
        <v>1014</v>
      </c>
      <c r="H5285" s="302"/>
      <c r="I5285" s="307" t="s">
        <v>202</v>
      </c>
      <c r="J5285" s="308">
        <v>0.5</v>
      </c>
      <c r="K5285" s="328">
        <f>VLOOKUP(G5285,Bahan,6,FALSE)</f>
        <v>131610</v>
      </c>
      <c r="L5285" s="310">
        <f>J5285*K5285</f>
        <v>65805</v>
      </c>
    </row>
    <row r="5286" spans="5:13" ht="15" customHeight="1" thickBot="1">
      <c r="F5286" s="306"/>
      <c r="G5286" s="301" t="s">
        <v>1015</v>
      </c>
      <c r="H5286" s="302"/>
      <c r="I5286" s="307" t="s">
        <v>45</v>
      </c>
      <c r="J5286" s="308">
        <v>0.12</v>
      </c>
      <c r="K5286" s="328">
        <f>VLOOKUP(G5286,Bahan,6,FALSE)</f>
        <v>14760</v>
      </c>
      <c r="L5286" s="310">
        <f>J5286*K5286</f>
        <v>1771.2</v>
      </c>
    </row>
    <row r="5287" spans="5:13" ht="15" customHeight="1" thickBot="1">
      <c r="F5287" s="316"/>
      <c r="G5287" s="317"/>
      <c r="H5287" s="318"/>
      <c r="I5287" s="318"/>
      <c r="J5287" s="319" t="s">
        <v>189</v>
      </c>
      <c r="K5287" s="320"/>
      <c r="L5287" s="321">
        <f>SUM(L5285:L5286)</f>
        <v>67576.2</v>
      </c>
    </row>
    <row r="5288" spans="5:13" ht="15" customHeight="1" thickBot="1">
      <c r="F5288" s="300" t="s">
        <v>190</v>
      </c>
      <c r="G5288" s="301" t="s">
        <v>191</v>
      </c>
      <c r="H5288" s="302"/>
      <c r="I5288" s="302"/>
      <c r="J5288" s="351"/>
      <c r="K5288" s="328">
        <v>0</v>
      </c>
      <c r="L5288" s="310">
        <f>J5288*K5288</f>
        <v>0</v>
      </c>
    </row>
    <row r="5289" spans="5:13" ht="15" customHeight="1" thickBot="1">
      <c r="F5289" s="316"/>
      <c r="G5289" s="317"/>
      <c r="H5289" s="318"/>
      <c r="I5289" s="318"/>
      <c r="J5289" s="319" t="s">
        <v>192</v>
      </c>
      <c r="K5289" s="320"/>
      <c r="L5289" s="321">
        <f>L5288</f>
        <v>0</v>
      </c>
    </row>
    <row r="5290" spans="5:13" ht="15" customHeight="1">
      <c r="F5290" s="344" t="s">
        <v>193</v>
      </c>
      <c r="G5290" s="345" t="s">
        <v>194</v>
      </c>
      <c r="H5290" s="346"/>
      <c r="I5290" s="346"/>
      <c r="J5290" s="347"/>
      <c r="K5290" s="348">
        <v>0</v>
      </c>
      <c r="L5290" s="310">
        <f>SUM(L5279:L5289)/2</f>
        <v>99006.2</v>
      </c>
    </row>
    <row r="5291" spans="5:13" ht="15" customHeight="1" thickBot="1">
      <c r="F5291" s="331" t="s">
        <v>195</v>
      </c>
      <c r="G5291" s="332" t="s">
        <v>196</v>
      </c>
      <c r="H5291" s="333"/>
      <c r="I5291" s="333"/>
      <c r="J5291" s="350">
        <v>0.1</v>
      </c>
      <c r="K5291" s="335"/>
      <c r="L5291" s="330">
        <f>J5291*L5290</f>
        <v>9900.6200000000008</v>
      </c>
    </row>
    <row r="5292" spans="5:13" ht="15" customHeight="1" thickBot="1">
      <c r="F5292" s="340" t="s">
        <v>197</v>
      </c>
      <c r="G5292" s="341" t="s">
        <v>198</v>
      </c>
      <c r="H5292" s="318"/>
      <c r="I5292" s="318"/>
      <c r="J5292" s="342"/>
      <c r="K5292" s="320">
        <v>0</v>
      </c>
      <c r="L5292" s="321">
        <f>ROUNDDOWN(L5290+L5291,0)</f>
        <v>108906</v>
      </c>
    </row>
    <row r="5293" spans="5:13" ht="15" customHeight="1">
      <c r="F5293" s="298"/>
      <c r="G5293" s="298"/>
      <c r="J5293" s="343"/>
    </row>
    <row r="5294" spans="5:13" ht="15" customHeight="1" thickBot="1">
      <c r="E5294" s="356" t="s">
        <v>1016</v>
      </c>
      <c r="F5294" s="295" t="s">
        <v>1017</v>
      </c>
      <c r="J5294" s="343"/>
      <c r="M5294" s="299">
        <f>L5310</f>
        <v>123383</v>
      </c>
    </row>
    <row r="5295" spans="5:13" ht="15" customHeight="1" thickBot="1">
      <c r="F5295" s="340" t="s">
        <v>136</v>
      </c>
      <c r="G5295" s="341" t="s">
        <v>162</v>
      </c>
      <c r="H5295" s="352" t="s">
        <v>163</v>
      </c>
      <c r="I5295" s="352" t="s">
        <v>138</v>
      </c>
      <c r="J5295" s="353" t="s">
        <v>164</v>
      </c>
      <c r="K5295" s="341" t="s">
        <v>165</v>
      </c>
      <c r="L5295" s="354" t="s">
        <v>166</v>
      </c>
    </row>
    <row r="5296" spans="5:13" ht="15" customHeight="1">
      <c r="F5296" s="300" t="s">
        <v>167</v>
      </c>
      <c r="G5296" s="301" t="s">
        <v>168</v>
      </c>
      <c r="H5296" s="302"/>
      <c r="I5296" s="302"/>
      <c r="J5296" s="351"/>
      <c r="K5296" s="328"/>
      <c r="L5296" s="310"/>
    </row>
    <row r="5297" spans="5:13" ht="15" customHeight="1">
      <c r="F5297" s="306"/>
      <c r="G5297" s="301" t="s">
        <v>169</v>
      </c>
      <c r="H5297" s="307" t="s">
        <v>170</v>
      </c>
      <c r="I5297" s="307" t="s">
        <v>171</v>
      </c>
      <c r="J5297" s="308">
        <v>0.14000000000000001</v>
      </c>
      <c r="K5297" s="309">
        <f>VLOOKUP(G5297,Upah,8,FALSE)</f>
        <v>125000</v>
      </c>
      <c r="L5297" s="310">
        <f>J5297*K5297</f>
        <v>17500</v>
      </c>
    </row>
    <row r="5298" spans="5:13" ht="15" customHeight="1">
      <c r="F5298" s="306"/>
      <c r="G5298" s="301" t="s">
        <v>172</v>
      </c>
      <c r="H5298" s="307" t="s">
        <v>173</v>
      </c>
      <c r="I5298" s="307" t="s">
        <v>171</v>
      </c>
      <c r="J5298" s="308">
        <v>7.4999999999999997E-2</v>
      </c>
      <c r="K5298" s="309">
        <f>VLOOKUP(G5298,Upah,8,FALSE)</f>
        <v>150000</v>
      </c>
      <c r="L5298" s="310">
        <f>J5298*K5298</f>
        <v>11250</v>
      </c>
    </row>
    <row r="5299" spans="5:13" ht="15" customHeight="1">
      <c r="F5299" s="306"/>
      <c r="G5299" s="301" t="s">
        <v>232</v>
      </c>
      <c r="H5299" s="307" t="s">
        <v>175</v>
      </c>
      <c r="I5299" s="307" t="s">
        <v>171</v>
      </c>
      <c r="J5299" s="308">
        <v>8.0000000000000002E-3</v>
      </c>
      <c r="K5299" s="309">
        <f>VLOOKUP(G5299,Upah,8,FALSE)</f>
        <v>165000</v>
      </c>
      <c r="L5299" s="310">
        <f>J5299*K5299</f>
        <v>1320</v>
      </c>
    </row>
    <row r="5300" spans="5:13" ht="15" customHeight="1" thickBot="1">
      <c r="F5300" s="306"/>
      <c r="G5300" s="301" t="s">
        <v>176</v>
      </c>
      <c r="H5300" s="307" t="s">
        <v>177</v>
      </c>
      <c r="I5300" s="307" t="s">
        <v>171</v>
      </c>
      <c r="J5300" s="308">
        <v>8.0000000000000002E-3</v>
      </c>
      <c r="K5300" s="309">
        <f>VLOOKUP(G5300,Upah,8,FALSE)</f>
        <v>170000</v>
      </c>
      <c r="L5300" s="310">
        <f>J5300*K5300</f>
        <v>1360</v>
      </c>
    </row>
    <row r="5301" spans="5:13" ht="15" customHeight="1" thickBot="1">
      <c r="F5301" s="316"/>
      <c r="G5301" s="317"/>
      <c r="H5301" s="318"/>
      <c r="I5301" s="318"/>
      <c r="J5301" s="319" t="s">
        <v>178</v>
      </c>
      <c r="K5301" s="320"/>
      <c r="L5301" s="321">
        <f>SUM(L5297:L5300)</f>
        <v>31430</v>
      </c>
    </row>
    <row r="5302" spans="5:13" ht="15" customHeight="1">
      <c r="F5302" s="300" t="s">
        <v>179</v>
      </c>
      <c r="G5302" s="301" t="s">
        <v>180</v>
      </c>
      <c r="H5302" s="302"/>
      <c r="I5302" s="302"/>
      <c r="J5302" s="351"/>
      <c r="K5302" s="328"/>
      <c r="L5302" s="310"/>
    </row>
    <row r="5303" spans="5:13" ht="15" customHeight="1">
      <c r="F5303" s="306"/>
      <c r="G5303" s="301" t="s">
        <v>1014</v>
      </c>
      <c r="H5303" s="302"/>
      <c r="I5303" s="307" t="s">
        <v>202</v>
      </c>
      <c r="J5303" s="308">
        <v>0.6</v>
      </c>
      <c r="K5303" s="328">
        <f>VLOOKUP(G5303,Bahan,6,FALSE)</f>
        <v>131610</v>
      </c>
      <c r="L5303" s="310">
        <f>J5303*K5303</f>
        <v>78966</v>
      </c>
    </row>
    <row r="5304" spans="5:13" ht="15" customHeight="1" thickBot="1">
      <c r="F5304" s="306"/>
      <c r="G5304" s="301" t="s">
        <v>1015</v>
      </c>
      <c r="H5304" s="302"/>
      <c r="I5304" s="307" t="s">
        <v>45</v>
      </c>
      <c r="J5304" s="308">
        <v>0.12</v>
      </c>
      <c r="K5304" s="328">
        <f>VLOOKUP(G5304,Bahan,6,FALSE)</f>
        <v>14760</v>
      </c>
      <c r="L5304" s="310">
        <f>J5304*K5304</f>
        <v>1771.2</v>
      </c>
    </row>
    <row r="5305" spans="5:13" ht="15" customHeight="1" thickBot="1">
      <c r="F5305" s="316"/>
      <c r="G5305" s="317"/>
      <c r="H5305" s="318"/>
      <c r="I5305" s="318"/>
      <c r="J5305" s="319" t="s">
        <v>189</v>
      </c>
      <c r="K5305" s="320"/>
      <c r="L5305" s="321">
        <f>SUM(L5303:L5304)</f>
        <v>80737.2</v>
      </c>
    </row>
    <row r="5306" spans="5:13" ht="15" customHeight="1" thickBot="1">
      <c r="F5306" s="300" t="s">
        <v>190</v>
      </c>
      <c r="G5306" s="301" t="s">
        <v>191</v>
      </c>
      <c r="H5306" s="302"/>
      <c r="I5306" s="302"/>
      <c r="J5306" s="351"/>
      <c r="K5306" s="328">
        <v>0</v>
      </c>
      <c r="L5306" s="310">
        <f>J5306*K5306</f>
        <v>0</v>
      </c>
    </row>
    <row r="5307" spans="5:13" ht="15" customHeight="1" thickBot="1">
      <c r="F5307" s="316"/>
      <c r="G5307" s="317"/>
      <c r="H5307" s="318"/>
      <c r="I5307" s="318"/>
      <c r="J5307" s="319" t="s">
        <v>192</v>
      </c>
      <c r="K5307" s="320"/>
      <c r="L5307" s="321">
        <f>L5306</f>
        <v>0</v>
      </c>
    </row>
    <row r="5308" spans="5:13" ht="15" customHeight="1">
      <c r="F5308" s="344" t="s">
        <v>193</v>
      </c>
      <c r="G5308" s="345" t="s">
        <v>194</v>
      </c>
      <c r="H5308" s="346"/>
      <c r="I5308" s="346"/>
      <c r="J5308" s="347"/>
      <c r="K5308" s="348">
        <v>0</v>
      </c>
      <c r="L5308" s="310">
        <f>SUM(L5297:L5307)/2</f>
        <v>112167.20000000001</v>
      </c>
    </row>
    <row r="5309" spans="5:13" ht="15" customHeight="1" thickBot="1">
      <c r="F5309" s="331" t="s">
        <v>195</v>
      </c>
      <c r="G5309" s="332" t="s">
        <v>196</v>
      </c>
      <c r="H5309" s="333"/>
      <c r="I5309" s="333"/>
      <c r="J5309" s="350">
        <v>0.1</v>
      </c>
      <c r="K5309" s="335"/>
      <c r="L5309" s="330">
        <f>J5309*L5308</f>
        <v>11216.720000000001</v>
      </c>
    </row>
    <row r="5310" spans="5:13" ht="15" customHeight="1" thickBot="1">
      <c r="F5310" s="340" t="s">
        <v>197</v>
      </c>
      <c r="G5310" s="341" t="s">
        <v>198</v>
      </c>
      <c r="H5310" s="318"/>
      <c r="I5310" s="318"/>
      <c r="J5310" s="342"/>
      <c r="K5310" s="320">
        <v>0</v>
      </c>
      <c r="L5310" s="321">
        <f>ROUNDDOWN(L5308+L5309,0)</f>
        <v>123383</v>
      </c>
    </row>
    <row r="5311" spans="5:13" ht="15" customHeight="1">
      <c r="F5311" s="298"/>
      <c r="G5311" s="298"/>
      <c r="J5311" s="343"/>
    </row>
    <row r="5312" spans="5:13" ht="15" customHeight="1" thickBot="1">
      <c r="E5312" s="356" t="s">
        <v>1018</v>
      </c>
      <c r="F5312" s="295" t="s">
        <v>1019</v>
      </c>
      <c r="J5312" s="343"/>
      <c r="M5312" s="299">
        <f>L5328</f>
        <v>122190</v>
      </c>
    </row>
    <row r="5313" spans="6:12" ht="15" customHeight="1" thickBot="1">
      <c r="F5313" s="340" t="s">
        <v>136</v>
      </c>
      <c r="G5313" s="341" t="s">
        <v>162</v>
      </c>
      <c r="H5313" s="352" t="s">
        <v>163</v>
      </c>
      <c r="I5313" s="352" t="s">
        <v>138</v>
      </c>
      <c r="J5313" s="353" t="s">
        <v>164</v>
      </c>
      <c r="K5313" s="341" t="s">
        <v>165</v>
      </c>
      <c r="L5313" s="354" t="s">
        <v>166</v>
      </c>
    </row>
    <row r="5314" spans="6:12" ht="15" customHeight="1">
      <c r="F5314" s="300" t="s">
        <v>167</v>
      </c>
      <c r="G5314" s="301" t="s">
        <v>168</v>
      </c>
      <c r="H5314" s="302"/>
      <c r="I5314" s="302"/>
      <c r="J5314" s="351"/>
      <c r="K5314" s="328"/>
      <c r="L5314" s="310"/>
    </row>
    <row r="5315" spans="6:12" ht="15" customHeight="1">
      <c r="F5315" s="306"/>
      <c r="G5315" s="301" t="s">
        <v>169</v>
      </c>
      <c r="H5315" s="307" t="s">
        <v>170</v>
      </c>
      <c r="I5315" s="307" t="s">
        <v>171</v>
      </c>
      <c r="J5315" s="308">
        <v>0.14000000000000001</v>
      </c>
      <c r="K5315" s="309">
        <f>VLOOKUP(G5315,Upah,8,FALSE)</f>
        <v>125000</v>
      </c>
      <c r="L5315" s="310">
        <f>J5315*K5315</f>
        <v>17500</v>
      </c>
    </row>
    <row r="5316" spans="6:12" ht="15" customHeight="1">
      <c r="F5316" s="306"/>
      <c r="G5316" s="301" t="s">
        <v>172</v>
      </c>
      <c r="H5316" s="307" t="s">
        <v>173</v>
      </c>
      <c r="I5316" s="307" t="s">
        <v>171</v>
      </c>
      <c r="J5316" s="308">
        <v>7.0000000000000007E-2</v>
      </c>
      <c r="K5316" s="309">
        <f>VLOOKUP(G5316,Upah,8,FALSE)</f>
        <v>150000</v>
      </c>
      <c r="L5316" s="310">
        <f>J5316*K5316</f>
        <v>10500.000000000002</v>
      </c>
    </row>
    <row r="5317" spans="6:12" ht="15" customHeight="1">
      <c r="F5317" s="306"/>
      <c r="G5317" s="301" t="s">
        <v>232</v>
      </c>
      <c r="H5317" s="307" t="s">
        <v>175</v>
      </c>
      <c r="I5317" s="307" t="s">
        <v>171</v>
      </c>
      <c r="J5317" s="308">
        <v>7.0000000000000001E-3</v>
      </c>
      <c r="K5317" s="309">
        <f>VLOOKUP(G5317,Upah,8,FALSE)</f>
        <v>165000</v>
      </c>
      <c r="L5317" s="310">
        <f>J5317*K5317</f>
        <v>1155</v>
      </c>
    </row>
    <row r="5318" spans="6:12" ht="15" customHeight="1" thickBot="1">
      <c r="F5318" s="306"/>
      <c r="G5318" s="301" t="s">
        <v>176</v>
      </c>
      <c r="H5318" s="307" t="s">
        <v>177</v>
      </c>
      <c r="I5318" s="307" t="s">
        <v>171</v>
      </c>
      <c r="J5318" s="308">
        <v>7.0000000000000001E-3</v>
      </c>
      <c r="K5318" s="309">
        <f>VLOOKUP(G5318,Upah,8,FALSE)</f>
        <v>170000</v>
      </c>
      <c r="L5318" s="310">
        <f>J5318*K5318</f>
        <v>1190</v>
      </c>
    </row>
    <row r="5319" spans="6:12" ht="15" customHeight="1" thickBot="1">
      <c r="F5319" s="316"/>
      <c r="G5319" s="317"/>
      <c r="H5319" s="318"/>
      <c r="I5319" s="318"/>
      <c r="J5319" s="319" t="s">
        <v>178</v>
      </c>
      <c r="K5319" s="320"/>
      <c r="L5319" s="321">
        <f>SUM(L5315:L5318)</f>
        <v>30345</v>
      </c>
    </row>
    <row r="5320" spans="6:12" ht="15" customHeight="1">
      <c r="F5320" s="300" t="s">
        <v>179</v>
      </c>
      <c r="G5320" s="301" t="s">
        <v>180</v>
      </c>
      <c r="H5320" s="302"/>
      <c r="I5320" s="302"/>
      <c r="J5320" s="351"/>
      <c r="K5320" s="328"/>
      <c r="L5320" s="310"/>
    </row>
    <row r="5321" spans="6:12" ht="15" customHeight="1">
      <c r="F5321" s="306"/>
      <c r="G5321" s="301" t="s">
        <v>1014</v>
      </c>
      <c r="H5321" s="302"/>
      <c r="I5321" s="307" t="s">
        <v>202</v>
      </c>
      <c r="J5321" s="308">
        <v>0.6</v>
      </c>
      <c r="K5321" s="328">
        <f>VLOOKUP(G5321,Bahan,6,FALSE)</f>
        <v>131610</v>
      </c>
      <c r="L5321" s="310">
        <f>J5321*K5321</f>
        <v>78966</v>
      </c>
    </row>
    <row r="5322" spans="6:12" ht="15" customHeight="1" thickBot="1">
      <c r="F5322" s="306"/>
      <c r="G5322" s="301" t="s">
        <v>1015</v>
      </c>
      <c r="H5322" s="302"/>
      <c r="I5322" s="307" t="s">
        <v>45</v>
      </c>
      <c r="J5322" s="308">
        <v>0.12</v>
      </c>
      <c r="K5322" s="328">
        <f>VLOOKUP(G5322,Bahan,6,FALSE)</f>
        <v>14760</v>
      </c>
      <c r="L5322" s="310">
        <f>J5322*K5322</f>
        <v>1771.2</v>
      </c>
    </row>
    <row r="5323" spans="6:12" ht="15" customHeight="1" thickBot="1">
      <c r="F5323" s="316"/>
      <c r="G5323" s="317"/>
      <c r="H5323" s="318"/>
      <c r="I5323" s="318"/>
      <c r="J5323" s="319" t="s">
        <v>189</v>
      </c>
      <c r="K5323" s="320"/>
      <c r="L5323" s="321">
        <f>SUM(L5321:L5322)</f>
        <v>80737.2</v>
      </c>
    </row>
    <row r="5324" spans="6:12" ht="15" customHeight="1" thickBot="1">
      <c r="F5324" s="300" t="s">
        <v>190</v>
      </c>
      <c r="G5324" s="301" t="s">
        <v>191</v>
      </c>
      <c r="H5324" s="302"/>
      <c r="I5324" s="302"/>
      <c r="J5324" s="351"/>
      <c r="K5324" s="328">
        <v>0</v>
      </c>
      <c r="L5324" s="310">
        <f>J5324*K5324</f>
        <v>0</v>
      </c>
    </row>
    <row r="5325" spans="6:12" ht="15" customHeight="1" thickBot="1">
      <c r="F5325" s="316"/>
      <c r="G5325" s="317"/>
      <c r="H5325" s="318"/>
      <c r="I5325" s="318"/>
      <c r="J5325" s="319" t="s">
        <v>192</v>
      </c>
      <c r="K5325" s="320"/>
      <c r="L5325" s="321">
        <f>L5324</f>
        <v>0</v>
      </c>
    </row>
    <row r="5326" spans="6:12" ht="15" customHeight="1">
      <c r="F5326" s="344" t="s">
        <v>193</v>
      </c>
      <c r="G5326" s="345" t="s">
        <v>194</v>
      </c>
      <c r="H5326" s="346"/>
      <c r="I5326" s="346"/>
      <c r="J5326" s="347"/>
      <c r="K5326" s="348">
        <v>0</v>
      </c>
      <c r="L5326" s="310">
        <f>SUM(L5315:L5325)/2</f>
        <v>111082.20000000001</v>
      </c>
    </row>
    <row r="5327" spans="6:12" ht="15" customHeight="1" thickBot="1">
      <c r="F5327" s="331" t="s">
        <v>195</v>
      </c>
      <c r="G5327" s="332" t="s">
        <v>196</v>
      </c>
      <c r="H5327" s="333"/>
      <c r="I5327" s="333"/>
      <c r="J5327" s="350">
        <v>0.1</v>
      </c>
      <c r="K5327" s="335"/>
      <c r="L5327" s="330">
        <f>J5327*L5326</f>
        <v>11108.220000000001</v>
      </c>
    </row>
    <row r="5328" spans="6:12" ht="15" customHeight="1" thickBot="1">
      <c r="F5328" s="340" t="s">
        <v>197</v>
      </c>
      <c r="G5328" s="341" t="s">
        <v>198</v>
      </c>
      <c r="H5328" s="318"/>
      <c r="I5328" s="318"/>
      <c r="J5328" s="342"/>
      <c r="K5328" s="320">
        <v>0</v>
      </c>
      <c r="L5328" s="321">
        <f>ROUNDDOWN(L5326+L5327,0)</f>
        <v>122190</v>
      </c>
    </row>
    <row r="5329" spans="5:13" ht="15" customHeight="1">
      <c r="F5329" s="298"/>
      <c r="G5329" s="298"/>
      <c r="J5329" s="343"/>
    </row>
    <row r="5330" spans="5:13" ht="15" customHeight="1" thickBot="1">
      <c r="E5330" s="356" t="s">
        <v>1020</v>
      </c>
      <c r="F5330" s="295" t="s">
        <v>1021</v>
      </c>
      <c r="J5330" s="343"/>
      <c r="M5330" s="299">
        <f>L5346</f>
        <v>143906</v>
      </c>
    </row>
    <row r="5331" spans="5:13" ht="15" customHeight="1" thickBot="1">
      <c r="F5331" s="340" t="s">
        <v>136</v>
      </c>
      <c r="G5331" s="341" t="s">
        <v>162</v>
      </c>
      <c r="H5331" s="352" t="s">
        <v>163</v>
      </c>
      <c r="I5331" s="352" t="s">
        <v>138</v>
      </c>
      <c r="J5331" s="353" t="s">
        <v>164</v>
      </c>
      <c r="K5331" s="341" t="s">
        <v>165</v>
      </c>
      <c r="L5331" s="354" t="s">
        <v>166</v>
      </c>
    </row>
    <row r="5332" spans="5:13" ht="15" customHeight="1">
      <c r="F5332" s="300" t="s">
        <v>167</v>
      </c>
      <c r="G5332" s="301" t="s">
        <v>168</v>
      </c>
      <c r="H5332" s="302"/>
      <c r="I5332" s="302"/>
      <c r="J5332" s="351"/>
      <c r="K5332" s="328"/>
      <c r="L5332" s="310"/>
    </row>
    <row r="5333" spans="5:13" ht="15" customHeight="1">
      <c r="F5333" s="306"/>
      <c r="G5333" s="301" t="s">
        <v>169</v>
      </c>
      <c r="H5333" s="307" t="s">
        <v>170</v>
      </c>
      <c r="I5333" s="307" t="s">
        <v>171</v>
      </c>
      <c r="J5333" s="308">
        <v>0.14000000000000001</v>
      </c>
      <c r="K5333" s="309">
        <f>VLOOKUP(G5333,Upah,8,FALSE)</f>
        <v>125000</v>
      </c>
      <c r="L5333" s="310">
        <f>J5333*K5333</f>
        <v>17500</v>
      </c>
    </row>
    <row r="5334" spans="5:13" ht="15" customHeight="1">
      <c r="F5334" s="306"/>
      <c r="G5334" s="301" t="s">
        <v>172</v>
      </c>
      <c r="H5334" s="307" t="s">
        <v>173</v>
      </c>
      <c r="I5334" s="307" t="s">
        <v>171</v>
      </c>
      <c r="J5334" s="308">
        <v>7.0000000000000007E-2</v>
      </c>
      <c r="K5334" s="309">
        <f>VLOOKUP(G5334,Upah,8,FALSE)</f>
        <v>150000</v>
      </c>
      <c r="L5334" s="310">
        <f>J5334*K5334</f>
        <v>10500.000000000002</v>
      </c>
    </row>
    <row r="5335" spans="5:13" ht="15" customHeight="1">
      <c r="F5335" s="306"/>
      <c r="G5335" s="301" t="s">
        <v>232</v>
      </c>
      <c r="H5335" s="307" t="s">
        <v>175</v>
      </c>
      <c r="I5335" s="307" t="s">
        <v>171</v>
      </c>
      <c r="J5335" s="308">
        <v>7.0000000000000001E-3</v>
      </c>
      <c r="K5335" s="309">
        <f>VLOOKUP(G5335,Upah,8,FALSE)</f>
        <v>165000</v>
      </c>
      <c r="L5335" s="310">
        <f>J5335*K5335</f>
        <v>1155</v>
      </c>
    </row>
    <row r="5336" spans="5:13" ht="15" customHeight="1" thickBot="1">
      <c r="F5336" s="306"/>
      <c r="G5336" s="301" t="s">
        <v>176</v>
      </c>
      <c r="H5336" s="307" t="s">
        <v>177</v>
      </c>
      <c r="I5336" s="307" t="s">
        <v>171</v>
      </c>
      <c r="J5336" s="308">
        <v>7.0000000000000001E-3</v>
      </c>
      <c r="K5336" s="309">
        <f>VLOOKUP(G5336,Upah,8,FALSE)</f>
        <v>170000</v>
      </c>
      <c r="L5336" s="310">
        <f>J5336*K5336</f>
        <v>1190</v>
      </c>
    </row>
    <row r="5337" spans="5:13" ht="15" customHeight="1" thickBot="1">
      <c r="F5337" s="316"/>
      <c r="G5337" s="317"/>
      <c r="H5337" s="318"/>
      <c r="I5337" s="318"/>
      <c r="J5337" s="319" t="s">
        <v>178</v>
      </c>
      <c r="K5337" s="320"/>
      <c r="L5337" s="321">
        <f>SUM(L5333:L5336)</f>
        <v>30345</v>
      </c>
    </row>
    <row r="5338" spans="5:13" ht="15" customHeight="1">
      <c r="F5338" s="300" t="s">
        <v>179</v>
      </c>
      <c r="G5338" s="301" t="s">
        <v>180</v>
      </c>
      <c r="H5338" s="302"/>
      <c r="I5338" s="302"/>
      <c r="J5338" s="351"/>
      <c r="K5338" s="328"/>
      <c r="L5338" s="310"/>
    </row>
    <row r="5339" spans="5:13" ht="15" customHeight="1">
      <c r="F5339" s="306"/>
      <c r="G5339" s="301" t="s">
        <v>1014</v>
      </c>
      <c r="H5339" s="302"/>
      <c r="I5339" s="307" t="s">
        <v>202</v>
      </c>
      <c r="J5339" s="308">
        <v>0.75</v>
      </c>
      <c r="K5339" s="328">
        <f>VLOOKUP(G5339,Bahan,6,FALSE)</f>
        <v>131610</v>
      </c>
      <c r="L5339" s="310">
        <f>J5339*K5339</f>
        <v>98707.5</v>
      </c>
    </row>
    <row r="5340" spans="5:13" ht="15" customHeight="1" thickBot="1">
      <c r="F5340" s="306"/>
      <c r="G5340" s="301" t="s">
        <v>1015</v>
      </c>
      <c r="H5340" s="302"/>
      <c r="I5340" s="307" t="s">
        <v>45</v>
      </c>
      <c r="J5340" s="308">
        <v>0.12</v>
      </c>
      <c r="K5340" s="328">
        <f>VLOOKUP(G5340,Bahan,6,FALSE)</f>
        <v>14760</v>
      </c>
      <c r="L5340" s="310">
        <f>J5340*K5340</f>
        <v>1771.2</v>
      </c>
    </row>
    <row r="5341" spans="5:13" ht="15" customHeight="1" thickBot="1">
      <c r="F5341" s="316"/>
      <c r="G5341" s="317"/>
      <c r="H5341" s="318"/>
      <c r="I5341" s="318"/>
      <c r="J5341" s="319" t="s">
        <v>189</v>
      </c>
      <c r="K5341" s="320"/>
      <c r="L5341" s="321">
        <f>SUM(L5339:L5340)</f>
        <v>100478.7</v>
      </c>
    </row>
    <row r="5342" spans="5:13" ht="15" customHeight="1" thickBot="1">
      <c r="F5342" s="300" t="s">
        <v>190</v>
      </c>
      <c r="G5342" s="301" t="s">
        <v>191</v>
      </c>
      <c r="H5342" s="302"/>
      <c r="I5342" s="302"/>
      <c r="J5342" s="351"/>
      <c r="K5342" s="328">
        <v>0</v>
      </c>
      <c r="L5342" s="310">
        <f>J5342*K5342</f>
        <v>0</v>
      </c>
    </row>
    <row r="5343" spans="5:13" ht="15" customHeight="1" thickBot="1">
      <c r="F5343" s="316"/>
      <c r="G5343" s="317"/>
      <c r="H5343" s="318"/>
      <c r="I5343" s="318"/>
      <c r="J5343" s="319" t="s">
        <v>192</v>
      </c>
      <c r="K5343" s="320"/>
      <c r="L5343" s="321">
        <f>L5342</f>
        <v>0</v>
      </c>
    </row>
    <row r="5344" spans="5:13" ht="15" customHeight="1">
      <c r="F5344" s="344" t="s">
        <v>193</v>
      </c>
      <c r="G5344" s="345" t="s">
        <v>194</v>
      </c>
      <c r="H5344" s="346"/>
      <c r="I5344" s="346"/>
      <c r="J5344" s="347"/>
      <c r="K5344" s="348">
        <v>0</v>
      </c>
      <c r="L5344" s="310">
        <f>SUM(L5333:L5343)/2</f>
        <v>130823.70000000001</v>
      </c>
    </row>
    <row r="5345" spans="5:13" ht="15" customHeight="1" thickBot="1">
      <c r="F5345" s="331" t="s">
        <v>195</v>
      </c>
      <c r="G5345" s="332" t="s">
        <v>196</v>
      </c>
      <c r="H5345" s="333"/>
      <c r="I5345" s="333"/>
      <c r="J5345" s="350">
        <v>0.1</v>
      </c>
      <c r="K5345" s="335"/>
      <c r="L5345" s="330">
        <f>J5345*L5344</f>
        <v>13082.370000000003</v>
      </c>
    </row>
    <row r="5346" spans="5:13" ht="15" customHeight="1" thickBot="1">
      <c r="F5346" s="340" t="s">
        <v>197</v>
      </c>
      <c r="G5346" s="341" t="s">
        <v>198</v>
      </c>
      <c r="H5346" s="318"/>
      <c r="I5346" s="318"/>
      <c r="J5346" s="342"/>
      <c r="K5346" s="320">
        <v>0</v>
      </c>
      <c r="L5346" s="321">
        <f>ROUNDDOWN(L5344+L5345,0)</f>
        <v>143906</v>
      </c>
    </row>
    <row r="5347" spans="5:13" ht="15" customHeight="1">
      <c r="F5347" s="298"/>
      <c r="G5347" s="298"/>
      <c r="J5347" s="343"/>
    </row>
    <row r="5348" spans="5:13" ht="15" customHeight="1" thickBot="1">
      <c r="E5348" s="356" t="s">
        <v>1022</v>
      </c>
      <c r="F5348" s="295" t="s">
        <v>1023</v>
      </c>
      <c r="J5348" s="343"/>
      <c r="M5348" s="299">
        <f>L5364</f>
        <v>85997</v>
      </c>
    </row>
    <row r="5349" spans="5:13" ht="15" customHeight="1" thickBot="1">
      <c r="F5349" s="340" t="s">
        <v>136</v>
      </c>
      <c r="G5349" s="341" t="s">
        <v>162</v>
      </c>
      <c r="H5349" s="352" t="s">
        <v>163</v>
      </c>
      <c r="I5349" s="352" t="s">
        <v>138</v>
      </c>
      <c r="J5349" s="353" t="s">
        <v>164</v>
      </c>
      <c r="K5349" s="341" t="s">
        <v>165</v>
      </c>
      <c r="L5349" s="354" t="s">
        <v>166</v>
      </c>
    </row>
    <row r="5350" spans="5:13" ht="15" customHeight="1">
      <c r="F5350" s="300" t="s">
        <v>167</v>
      </c>
      <c r="G5350" s="301" t="s">
        <v>168</v>
      </c>
      <c r="H5350" s="302"/>
      <c r="I5350" s="302"/>
      <c r="J5350" s="351"/>
      <c r="K5350" s="328"/>
      <c r="L5350" s="310"/>
    </row>
    <row r="5351" spans="5:13" ht="15" customHeight="1">
      <c r="F5351" s="306"/>
      <c r="G5351" s="301" t="s">
        <v>169</v>
      </c>
      <c r="H5351" s="307" t="s">
        <v>170</v>
      </c>
      <c r="I5351" s="307" t="s">
        <v>171</v>
      </c>
      <c r="J5351" s="308">
        <v>0.14000000000000001</v>
      </c>
      <c r="K5351" s="309">
        <f>VLOOKUP(G5351,Upah,8,FALSE)</f>
        <v>125000</v>
      </c>
      <c r="L5351" s="310">
        <f>J5351*K5351</f>
        <v>17500</v>
      </c>
    </row>
    <row r="5352" spans="5:13" ht="15" customHeight="1">
      <c r="F5352" s="306"/>
      <c r="G5352" s="301" t="s">
        <v>172</v>
      </c>
      <c r="H5352" s="307" t="s">
        <v>173</v>
      </c>
      <c r="I5352" s="307" t="s">
        <v>171</v>
      </c>
      <c r="J5352" s="308">
        <v>7.0000000000000007E-2</v>
      </c>
      <c r="K5352" s="309">
        <f>VLOOKUP(G5352,Upah,8,FALSE)</f>
        <v>150000</v>
      </c>
      <c r="L5352" s="310">
        <f>J5352*K5352</f>
        <v>10500.000000000002</v>
      </c>
    </row>
    <row r="5353" spans="5:13" ht="15" customHeight="1">
      <c r="F5353" s="306"/>
      <c r="G5353" s="301" t="s">
        <v>232</v>
      </c>
      <c r="H5353" s="307" t="s">
        <v>175</v>
      </c>
      <c r="I5353" s="307" t="s">
        <v>171</v>
      </c>
      <c r="J5353" s="308">
        <v>7.0000000000000001E-3</v>
      </c>
      <c r="K5353" s="309">
        <f>VLOOKUP(G5353,Upah,8,FALSE)</f>
        <v>165000</v>
      </c>
      <c r="L5353" s="310">
        <f>J5353*K5353</f>
        <v>1155</v>
      </c>
    </row>
    <row r="5354" spans="5:13" ht="15" customHeight="1" thickBot="1">
      <c r="F5354" s="306"/>
      <c r="G5354" s="301" t="s">
        <v>176</v>
      </c>
      <c r="H5354" s="307" t="s">
        <v>177</v>
      </c>
      <c r="I5354" s="307" t="s">
        <v>171</v>
      </c>
      <c r="J5354" s="308">
        <v>7.0000000000000001E-3</v>
      </c>
      <c r="K5354" s="309">
        <f>VLOOKUP(G5354,Upah,8,FALSE)</f>
        <v>170000</v>
      </c>
      <c r="L5354" s="310">
        <f>J5354*K5354</f>
        <v>1190</v>
      </c>
    </row>
    <row r="5355" spans="5:13" ht="15" customHeight="1" thickBot="1">
      <c r="F5355" s="316"/>
      <c r="G5355" s="317"/>
      <c r="H5355" s="318"/>
      <c r="I5355" s="318"/>
      <c r="J5355" s="319" t="s">
        <v>178</v>
      </c>
      <c r="K5355" s="320"/>
      <c r="L5355" s="321">
        <f>SUM(L5351:L5354)</f>
        <v>30345</v>
      </c>
    </row>
    <row r="5356" spans="5:13" ht="15" customHeight="1">
      <c r="F5356" s="300" t="s">
        <v>179</v>
      </c>
      <c r="G5356" s="301" t="s">
        <v>180</v>
      </c>
      <c r="H5356" s="302"/>
      <c r="I5356" s="302"/>
      <c r="J5356" s="351"/>
      <c r="K5356" s="328"/>
      <c r="L5356" s="310"/>
    </row>
    <row r="5357" spans="5:13" ht="15" customHeight="1">
      <c r="F5357" s="306"/>
      <c r="G5357" s="301" t="s">
        <v>1014</v>
      </c>
      <c r="H5357" s="302"/>
      <c r="I5357" s="307" t="s">
        <v>202</v>
      </c>
      <c r="J5357" s="308">
        <v>0.35</v>
      </c>
      <c r="K5357" s="328">
        <f>VLOOKUP(G5357,Bahan,6,FALSE)</f>
        <v>131610</v>
      </c>
      <c r="L5357" s="310">
        <f>J5357*K5357</f>
        <v>46063.5</v>
      </c>
    </row>
    <row r="5358" spans="5:13" ht="15" customHeight="1" thickBot="1">
      <c r="F5358" s="306"/>
      <c r="G5358" s="301" t="s">
        <v>1015</v>
      </c>
      <c r="H5358" s="302"/>
      <c r="I5358" s="307" t="s">
        <v>45</v>
      </c>
      <c r="J5358" s="308">
        <v>0.12</v>
      </c>
      <c r="K5358" s="328">
        <f>VLOOKUP(G5358,Bahan,6,FALSE)</f>
        <v>14760</v>
      </c>
      <c r="L5358" s="310">
        <f>J5358*K5358</f>
        <v>1771.2</v>
      </c>
    </row>
    <row r="5359" spans="5:13" ht="15" customHeight="1" thickBot="1">
      <c r="F5359" s="316"/>
      <c r="G5359" s="317"/>
      <c r="H5359" s="318"/>
      <c r="I5359" s="318"/>
      <c r="J5359" s="319" t="s">
        <v>189</v>
      </c>
      <c r="K5359" s="320"/>
      <c r="L5359" s="321">
        <f>SUM(L5357:L5358)</f>
        <v>47834.7</v>
      </c>
    </row>
    <row r="5360" spans="5:13" ht="15" customHeight="1" thickBot="1">
      <c r="F5360" s="300" t="s">
        <v>190</v>
      </c>
      <c r="G5360" s="301" t="s">
        <v>191</v>
      </c>
      <c r="H5360" s="302"/>
      <c r="I5360" s="302"/>
      <c r="J5360" s="351"/>
      <c r="K5360" s="328">
        <v>0</v>
      </c>
      <c r="L5360" s="310">
        <f>J5360*K5360</f>
        <v>0</v>
      </c>
    </row>
    <row r="5361" spans="5:13" ht="15" customHeight="1" thickBot="1">
      <c r="F5361" s="316"/>
      <c r="G5361" s="317"/>
      <c r="H5361" s="318"/>
      <c r="I5361" s="318"/>
      <c r="J5361" s="319" t="s">
        <v>192</v>
      </c>
      <c r="K5361" s="320"/>
      <c r="L5361" s="321">
        <f>L5360</f>
        <v>0</v>
      </c>
    </row>
    <row r="5362" spans="5:13" ht="15" customHeight="1">
      <c r="F5362" s="344" t="s">
        <v>193</v>
      </c>
      <c r="G5362" s="345" t="s">
        <v>194</v>
      </c>
      <c r="H5362" s="346"/>
      <c r="I5362" s="346"/>
      <c r="J5362" s="347"/>
      <c r="K5362" s="348">
        <v>0</v>
      </c>
      <c r="L5362" s="310">
        <f>SUM(L5351:L5361)/2</f>
        <v>78179.7</v>
      </c>
    </row>
    <row r="5363" spans="5:13" ht="15" customHeight="1" thickBot="1">
      <c r="F5363" s="380" t="s">
        <v>195</v>
      </c>
      <c r="G5363" s="381" t="s">
        <v>196</v>
      </c>
      <c r="H5363" s="382"/>
      <c r="I5363" s="382"/>
      <c r="J5363" s="423">
        <v>0.1</v>
      </c>
      <c r="K5363" s="384"/>
      <c r="L5363" s="367">
        <f>J5363*L5362</f>
        <v>7817.97</v>
      </c>
    </row>
    <row r="5364" spans="5:13" ht="15" customHeight="1" thickBot="1">
      <c r="F5364" s="340" t="s">
        <v>197</v>
      </c>
      <c r="G5364" s="341" t="s">
        <v>198</v>
      </c>
      <c r="H5364" s="318"/>
      <c r="I5364" s="318"/>
      <c r="J5364" s="342"/>
      <c r="K5364" s="320">
        <v>0</v>
      </c>
      <c r="L5364" s="321">
        <f>ROUNDDOWN(L5362+L5363,0)</f>
        <v>85997</v>
      </c>
    </row>
    <row r="5365" spans="5:13" ht="15" customHeight="1">
      <c r="F5365" s="298"/>
      <c r="G5365" s="298"/>
      <c r="J5365" s="343"/>
    </row>
    <row r="5366" spans="5:13" ht="15" customHeight="1" thickBot="1">
      <c r="E5366" s="356" t="s">
        <v>1024</v>
      </c>
      <c r="F5366" s="295" t="s">
        <v>1025</v>
      </c>
      <c r="J5366" s="343"/>
      <c r="M5366" s="299">
        <f>L5382</f>
        <v>96131</v>
      </c>
    </row>
    <row r="5367" spans="5:13" ht="15" customHeight="1" thickBot="1">
      <c r="F5367" s="340" t="s">
        <v>136</v>
      </c>
      <c r="G5367" s="341" t="s">
        <v>162</v>
      </c>
      <c r="H5367" s="352" t="s">
        <v>163</v>
      </c>
      <c r="I5367" s="352" t="s">
        <v>138</v>
      </c>
      <c r="J5367" s="353" t="s">
        <v>164</v>
      </c>
      <c r="K5367" s="341" t="s">
        <v>165</v>
      </c>
      <c r="L5367" s="354" t="s">
        <v>166</v>
      </c>
    </row>
    <row r="5368" spans="5:13" ht="15" customHeight="1">
      <c r="F5368" s="300" t="s">
        <v>167</v>
      </c>
      <c r="G5368" s="301" t="s">
        <v>168</v>
      </c>
      <c r="H5368" s="302"/>
      <c r="I5368" s="302"/>
      <c r="J5368" s="351"/>
      <c r="K5368" s="328"/>
      <c r="L5368" s="310"/>
    </row>
    <row r="5369" spans="5:13" ht="15" customHeight="1">
      <c r="F5369" s="306"/>
      <c r="G5369" s="301" t="s">
        <v>169</v>
      </c>
      <c r="H5369" s="307" t="s">
        <v>170</v>
      </c>
      <c r="I5369" s="307" t="s">
        <v>171</v>
      </c>
      <c r="J5369" s="308">
        <v>0.14000000000000001</v>
      </c>
      <c r="K5369" s="309">
        <f>VLOOKUP(G5369,Upah,8,FALSE)</f>
        <v>125000</v>
      </c>
      <c r="L5369" s="310">
        <f>J5369*K5369</f>
        <v>17500</v>
      </c>
    </row>
    <row r="5370" spans="5:13" ht="15" customHeight="1">
      <c r="F5370" s="306"/>
      <c r="G5370" s="301" t="s">
        <v>172</v>
      </c>
      <c r="H5370" s="307" t="s">
        <v>173</v>
      </c>
      <c r="I5370" s="307" t="s">
        <v>171</v>
      </c>
      <c r="J5370" s="308">
        <v>7.0000000000000007E-2</v>
      </c>
      <c r="K5370" s="309">
        <f>VLOOKUP(G5370,Upah,8,FALSE)</f>
        <v>150000</v>
      </c>
      <c r="L5370" s="310">
        <f>J5370*K5370</f>
        <v>10500.000000000002</v>
      </c>
    </row>
    <row r="5371" spans="5:13" ht="15" customHeight="1">
      <c r="F5371" s="306"/>
      <c r="G5371" s="301" t="s">
        <v>232</v>
      </c>
      <c r="H5371" s="307" t="s">
        <v>175</v>
      </c>
      <c r="I5371" s="307" t="s">
        <v>171</v>
      </c>
      <c r="J5371" s="308">
        <v>7.0000000000000001E-3</v>
      </c>
      <c r="K5371" s="309">
        <f>VLOOKUP(G5371,Upah,8,FALSE)</f>
        <v>165000</v>
      </c>
      <c r="L5371" s="310">
        <f>J5371*K5371</f>
        <v>1155</v>
      </c>
    </row>
    <row r="5372" spans="5:13" ht="15" customHeight="1" thickBot="1">
      <c r="F5372" s="306"/>
      <c r="G5372" s="301" t="s">
        <v>176</v>
      </c>
      <c r="H5372" s="307" t="s">
        <v>177</v>
      </c>
      <c r="I5372" s="307" t="s">
        <v>171</v>
      </c>
      <c r="J5372" s="308">
        <v>7.0000000000000001E-3</v>
      </c>
      <c r="K5372" s="309">
        <f>VLOOKUP(G5372,Upah,8,FALSE)</f>
        <v>170000</v>
      </c>
      <c r="L5372" s="310">
        <f>J5372*K5372</f>
        <v>1190</v>
      </c>
    </row>
    <row r="5373" spans="5:13" ht="15" customHeight="1" thickBot="1">
      <c r="F5373" s="316"/>
      <c r="G5373" s="317"/>
      <c r="H5373" s="318"/>
      <c r="I5373" s="318"/>
      <c r="J5373" s="319" t="s">
        <v>178</v>
      </c>
      <c r="K5373" s="320"/>
      <c r="L5373" s="321">
        <f>SUM(L5369:L5372)</f>
        <v>30345</v>
      </c>
    </row>
    <row r="5374" spans="5:13" ht="15" customHeight="1">
      <c r="F5374" s="300" t="s">
        <v>179</v>
      </c>
      <c r="G5374" s="301" t="s">
        <v>180</v>
      </c>
      <c r="H5374" s="302"/>
      <c r="I5374" s="302"/>
      <c r="J5374" s="351"/>
      <c r="K5374" s="328"/>
      <c r="L5374" s="310"/>
    </row>
    <row r="5375" spans="5:13" ht="15" customHeight="1">
      <c r="F5375" s="306"/>
      <c r="G5375" s="301" t="s">
        <v>1014</v>
      </c>
      <c r="H5375" s="302"/>
      <c r="I5375" s="307" t="s">
        <v>202</v>
      </c>
      <c r="J5375" s="308">
        <v>0.42</v>
      </c>
      <c r="K5375" s="328">
        <f>VLOOKUP(G5375,Bahan,6,FALSE)</f>
        <v>131610</v>
      </c>
      <c r="L5375" s="310">
        <f>J5375*K5375</f>
        <v>55276.2</v>
      </c>
    </row>
    <row r="5376" spans="5:13" ht="15" customHeight="1" thickBot="1">
      <c r="F5376" s="306"/>
      <c r="G5376" s="301" t="s">
        <v>1015</v>
      </c>
      <c r="H5376" s="302"/>
      <c r="I5376" s="307" t="s">
        <v>45</v>
      </c>
      <c r="J5376" s="308">
        <v>0.12</v>
      </c>
      <c r="K5376" s="328">
        <f>VLOOKUP(G5376,Bahan,6,FALSE)</f>
        <v>14760</v>
      </c>
      <c r="L5376" s="310">
        <f>J5376*K5376</f>
        <v>1771.2</v>
      </c>
    </row>
    <row r="5377" spans="5:13" ht="15" customHeight="1" thickBot="1">
      <c r="F5377" s="316"/>
      <c r="G5377" s="317"/>
      <c r="H5377" s="318"/>
      <c r="I5377" s="318"/>
      <c r="J5377" s="319" t="s">
        <v>189</v>
      </c>
      <c r="K5377" s="320"/>
      <c r="L5377" s="321">
        <f>SUM(L5375:L5376)</f>
        <v>57047.399999999994</v>
      </c>
    </row>
    <row r="5378" spans="5:13" ht="15" customHeight="1" thickBot="1">
      <c r="F5378" s="300" t="s">
        <v>190</v>
      </c>
      <c r="G5378" s="301" t="s">
        <v>191</v>
      </c>
      <c r="H5378" s="302"/>
      <c r="I5378" s="302"/>
      <c r="J5378" s="351"/>
      <c r="K5378" s="328">
        <v>0</v>
      </c>
      <c r="L5378" s="310">
        <f>J5378*K5378</f>
        <v>0</v>
      </c>
    </row>
    <row r="5379" spans="5:13" ht="15" customHeight="1" thickBot="1">
      <c r="F5379" s="316"/>
      <c r="G5379" s="317"/>
      <c r="H5379" s="318"/>
      <c r="I5379" s="318"/>
      <c r="J5379" s="319" t="s">
        <v>192</v>
      </c>
      <c r="K5379" s="320"/>
      <c r="L5379" s="321">
        <f>L5378</f>
        <v>0</v>
      </c>
    </row>
    <row r="5380" spans="5:13" ht="15" customHeight="1">
      <c r="F5380" s="344" t="s">
        <v>193</v>
      </c>
      <c r="G5380" s="345" t="s">
        <v>194</v>
      </c>
      <c r="H5380" s="346"/>
      <c r="I5380" s="346"/>
      <c r="J5380" s="347"/>
      <c r="K5380" s="348">
        <v>0</v>
      </c>
      <c r="L5380" s="310">
        <f>SUM(L5369:L5379)/2</f>
        <v>87392.4</v>
      </c>
    </row>
    <row r="5381" spans="5:13" ht="15" customHeight="1" thickBot="1">
      <c r="F5381" s="331" t="s">
        <v>195</v>
      </c>
      <c r="G5381" s="332" t="s">
        <v>196</v>
      </c>
      <c r="H5381" s="333"/>
      <c r="I5381" s="333"/>
      <c r="J5381" s="350">
        <v>0.1</v>
      </c>
      <c r="K5381" s="335"/>
      <c r="L5381" s="330">
        <f>J5381*L5380</f>
        <v>8739.24</v>
      </c>
    </row>
    <row r="5382" spans="5:13" ht="15" customHeight="1" thickBot="1">
      <c r="F5382" s="340" t="s">
        <v>197</v>
      </c>
      <c r="G5382" s="341" t="s">
        <v>198</v>
      </c>
      <c r="H5382" s="318"/>
      <c r="I5382" s="318"/>
      <c r="J5382" s="342"/>
      <c r="K5382" s="320">
        <v>0</v>
      </c>
      <c r="L5382" s="321">
        <f>ROUNDDOWN(L5380+L5381,0)</f>
        <v>96131</v>
      </c>
    </row>
    <row r="5383" spans="5:13" ht="15" customHeight="1">
      <c r="F5383" s="298"/>
      <c r="G5383" s="298"/>
      <c r="J5383" s="343"/>
    </row>
    <row r="5384" spans="5:13" ht="15" customHeight="1" thickBot="1">
      <c r="E5384" s="356" t="s">
        <v>1026</v>
      </c>
      <c r="F5384" s="295" t="s">
        <v>1027</v>
      </c>
      <c r="J5384" s="343"/>
      <c r="M5384" s="299">
        <f>L5400</f>
        <v>99027</v>
      </c>
    </row>
    <row r="5385" spans="5:13" ht="15" customHeight="1" thickBot="1">
      <c r="F5385" s="340" t="s">
        <v>136</v>
      </c>
      <c r="G5385" s="341" t="s">
        <v>162</v>
      </c>
      <c r="H5385" s="352" t="s">
        <v>163</v>
      </c>
      <c r="I5385" s="352" t="s">
        <v>138</v>
      </c>
      <c r="J5385" s="353" t="s">
        <v>164</v>
      </c>
      <c r="K5385" s="341" t="s">
        <v>165</v>
      </c>
      <c r="L5385" s="354" t="s">
        <v>166</v>
      </c>
    </row>
    <row r="5386" spans="5:13" ht="15" customHeight="1">
      <c r="F5386" s="300" t="s">
        <v>167</v>
      </c>
      <c r="G5386" s="301" t="s">
        <v>168</v>
      </c>
      <c r="H5386" s="302"/>
      <c r="I5386" s="302"/>
      <c r="J5386" s="351"/>
      <c r="K5386" s="328"/>
      <c r="L5386" s="310"/>
    </row>
    <row r="5387" spans="5:13" ht="15" customHeight="1">
      <c r="F5387" s="306"/>
      <c r="G5387" s="301" t="s">
        <v>169</v>
      </c>
      <c r="H5387" s="307" t="s">
        <v>170</v>
      </c>
      <c r="I5387" s="307" t="s">
        <v>171</v>
      </c>
      <c r="J5387" s="308">
        <v>0.14000000000000001</v>
      </c>
      <c r="K5387" s="309">
        <f>VLOOKUP(G5387,Upah,8,FALSE)</f>
        <v>125000</v>
      </c>
      <c r="L5387" s="310">
        <f>J5387*K5387</f>
        <v>17500</v>
      </c>
    </row>
    <row r="5388" spans="5:13" ht="15" customHeight="1">
      <c r="F5388" s="306"/>
      <c r="G5388" s="301" t="s">
        <v>172</v>
      </c>
      <c r="H5388" s="307" t="s">
        <v>173</v>
      </c>
      <c r="I5388" s="307" t="s">
        <v>171</v>
      </c>
      <c r="J5388" s="308">
        <v>7.0000000000000007E-2</v>
      </c>
      <c r="K5388" s="309">
        <f>VLOOKUP(G5388,Upah,8,FALSE)</f>
        <v>150000</v>
      </c>
      <c r="L5388" s="310">
        <f>J5388*K5388</f>
        <v>10500.000000000002</v>
      </c>
    </row>
    <row r="5389" spans="5:13" ht="15" customHeight="1">
      <c r="F5389" s="306"/>
      <c r="G5389" s="301" t="s">
        <v>232</v>
      </c>
      <c r="H5389" s="307" t="s">
        <v>175</v>
      </c>
      <c r="I5389" s="307" t="s">
        <v>171</v>
      </c>
      <c r="J5389" s="308">
        <v>7.0000000000000001E-3</v>
      </c>
      <c r="K5389" s="309">
        <f>VLOOKUP(G5389,Upah,8,FALSE)</f>
        <v>165000</v>
      </c>
      <c r="L5389" s="310">
        <f>J5389*K5389</f>
        <v>1155</v>
      </c>
    </row>
    <row r="5390" spans="5:13" ht="15" customHeight="1" thickBot="1">
      <c r="F5390" s="306"/>
      <c r="G5390" s="301" t="s">
        <v>176</v>
      </c>
      <c r="H5390" s="307" t="s">
        <v>177</v>
      </c>
      <c r="I5390" s="307" t="s">
        <v>171</v>
      </c>
      <c r="J5390" s="308">
        <v>7.0000000000000001E-3</v>
      </c>
      <c r="K5390" s="309">
        <f>VLOOKUP(G5390,Upah,8,FALSE)</f>
        <v>170000</v>
      </c>
      <c r="L5390" s="310">
        <f>J5390*K5390</f>
        <v>1190</v>
      </c>
    </row>
    <row r="5391" spans="5:13" ht="15" customHeight="1" thickBot="1">
      <c r="F5391" s="316"/>
      <c r="G5391" s="317"/>
      <c r="H5391" s="318"/>
      <c r="I5391" s="318"/>
      <c r="J5391" s="319" t="s">
        <v>178</v>
      </c>
      <c r="K5391" s="320"/>
      <c r="L5391" s="321">
        <f>SUM(L5387:L5390)</f>
        <v>30345</v>
      </c>
    </row>
    <row r="5392" spans="5:13" ht="15" customHeight="1">
      <c r="F5392" s="300" t="s">
        <v>179</v>
      </c>
      <c r="G5392" s="301" t="s">
        <v>180</v>
      </c>
      <c r="H5392" s="302"/>
      <c r="I5392" s="302"/>
      <c r="J5392" s="351"/>
      <c r="K5392" s="328"/>
      <c r="L5392" s="310"/>
    </row>
    <row r="5393" spans="5:13" ht="15" customHeight="1">
      <c r="F5393" s="306"/>
      <c r="G5393" s="301" t="s">
        <v>1014</v>
      </c>
      <c r="H5393" s="302"/>
      <c r="I5393" s="307" t="s">
        <v>202</v>
      </c>
      <c r="J5393" s="308">
        <v>0.44</v>
      </c>
      <c r="K5393" s="328">
        <f>VLOOKUP(G5393,Bahan,6,FALSE)</f>
        <v>131610</v>
      </c>
      <c r="L5393" s="310">
        <f>J5393*K5393</f>
        <v>57908.4</v>
      </c>
    </row>
    <row r="5394" spans="5:13" ht="15" customHeight="1" thickBot="1">
      <c r="F5394" s="306"/>
      <c r="G5394" s="301" t="s">
        <v>1015</v>
      </c>
      <c r="H5394" s="302"/>
      <c r="I5394" s="307" t="s">
        <v>45</v>
      </c>
      <c r="J5394" s="308">
        <v>0.12</v>
      </c>
      <c r="K5394" s="328">
        <f>VLOOKUP(G5394,Bahan,6,FALSE)</f>
        <v>14760</v>
      </c>
      <c r="L5394" s="310">
        <f>J5394*K5394</f>
        <v>1771.2</v>
      </c>
    </row>
    <row r="5395" spans="5:13" ht="15" customHeight="1" thickBot="1">
      <c r="F5395" s="316"/>
      <c r="G5395" s="317"/>
      <c r="H5395" s="318"/>
      <c r="I5395" s="318"/>
      <c r="J5395" s="319" t="s">
        <v>189</v>
      </c>
      <c r="K5395" s="320"/>
      <c r="L5395" s="321">
        <f>SUM(L5393:L5394)</f>
        <v>59679.6</v>
      </c>
    </row>
    <row r="5396" spans="5:13" ht="15" customHeight="1" thickBot="1">
      <c r="F5396" s="300" t="s">
        <v>190</v>
      </c>
      <c r="G5396" s="301" t="s">
        <v>191</v>
      </c>
      <c r="H5396" s="302"/>
      <c r="I5396" s="302"/>
      <c r="J5396" s="351"/>
      <c r="K5396" s="328">
        <v>0</v>
      </c>
      <c r="L5396" s="310">
        <f>J5396*K5396</f>
        <v>0</v>
      </c>
    </row>
    <row r="5397" spans="5:13" ht="15" customHeight="1" thickBot="1">
      <c r="F5397" s="316"/>
      <c r="G5397" s="317"/>
      <c r="H5397" s="318"/>
      <c r="I5397" s="318"/>
      <c r="J5397" s="319" t="s">
        <v>192</v>
      </c>
      <c r="K5397" s="320"/>
      <c r="L5397" s="321">
        <f>L5396</f>
        <v>0</v>
      </c>
    </row>
    <row r="5398" spans="5:13" ht="15" customHeight="1">
      <c r="F5398" s="344" t="s">
        <v>193</v>
      </c>
      <c r="G5398" s="345" t="s">
        <v>194</v>
      </c>
      <c r="H5398" s="346"/>
      <c r="I5398" s="346"/>
      <c r="J5398" s="347"/>
      <c r="K5398" s="348">
        <v>0</v>
      </c>
      <c r="L5398" s="310">
        <f>SUM(L5387:L5397)/2</f>
        <v>90024.599999999991</v>
      </c>
    </row>
    <row r="5399" spans="5:13" ht="15" customHeight="1" thickBot="1">
      <c r="F5399" s="331" t="s">
        <v>195</v>
      </c>
      <c r="G5399" s="332" t="s">
        <v>196</v>
      </c>
      <c r="H5399" s="333"/>
      <c r="I5399" s="333"/>
      <c r="J5399" s="350">
        <v>0.1</v>
      </c>
      <c r="K5399" s="335"/>
      <c r="L5399" s="330">
        <f>J5399*L5398</f>
        <v>9002.4599999999991</v>
      </c>
    </row>
    <row r="5400" spans="5:13" ht="15" customHeight="1" thickBot="1">
      <c r="F5400" s="340" t="s">
        <v>197</v>
      </c>
      <c r="G5400" s="341" t="s">
        <v>198</v>
      </c>
      <c r="H5400" s="318"/>
      <c r="I5400" s="318"/>
      <c r="J5400" s="342"/>
      <c r="K5400" s="320">
        <v>0</v>
      </c>
      <c r="L5400" s="321">
        <f>ROUNDDOWN(L5398+L5399,0)</f>
        <v>99027</v>
      </c>
    </row>
    <row r="5401" spans="5:13" ht="15" customHeight="1">
      <c r="F5401" s="298"/>
      <c r="G5401" s="298"/>
      <c r="J5401" s="343"/>
    </row>
    <row r="5402" spans="5:13" ht="15" customHeight="1" thickBot="1">
      <c r="E5402" s="356" t="s">
        <v>1028</v>
      </c>
      <c r="F5402" s="295" t="s">
        <v>1029</v>
      </c>
      <c r="J5402" s="343"/>
      <c r="M5402" s="299">
        <f>L5418</f>
        <v>109161</v>
      </c>
    </row>
    <row r="5403" spans="5:13" ht="15" customHeight="1" thickBot="1">
      <c r="F5403" s="340" t="s">
        <v>136</v>
      </c>
      <c r="G5403" s="341" t="s">
        <v>162</v>
      </c>
      <c r="H5403" s="352" t="s">
        <v>163</v>
      </c>
      <c r="I5403" s="352" t="s">
        <v>138</v>
      </c>
      <c r="J5403" s="353" t="s">
        <v>164</v>
      </c>
      <c r="K5403" s="341" t="s">
        <v>165</v>
      </c>
      <c r="L5403" s="354" t="s">
        <v>166</v>
      </c>
    </row>
    <row r="5404" spans="5:13" ht="15" customHeight="1">
      <c r="F5404" s="300" t="s">
        <v>167</v>
      </c>
      <c r="G5404" s="301" t="s">
        <v>168</v>
      </c>
      <c r="H5404" s="302"/>
      <c r="I5404" s="302"/>
      <c r="J5404" s="351"/>
      <c r="K5404" s="328"/>
      <c r="L5404" s="310"/>
    </row>
    <row r="5405" spans="5:13" ht="15" customHeight="1">
      <c r="F5405" s="306"/>
      <c r="G5405" s="301" t="s">
        <v>169</v>
      </c>
      <c r="H5405" s="307" t="s">
        <v>170</v>
      </c>
      <c r="I5405" s="307" t="s">
        <v>171</v>
      </c>
      <c r="J5405" s="308">
        <v>0.14000000000000001</v>
      </c>
      <c r="K5405" s="309">
        <f>VLOOKUP(G5405,Upah,8,FALSE)</f>
        <v>125000</v>
      </c>
      <c r="L5405" s="310">
        <f>J5405*K5405</f>
        <v>17500</v>
      </c>
    </row>
    <row r="5406" spans="5:13" ht="15" customHeight="1">
      <c r="F5406" s="306"/>
      <c r="G5406" s="301" t="s">
        <v>172</v>
      </c>
      <c r="H5406" s="307" t="s">
        <v>173</v>
      </c>
      <c r="I5406" s="307" t="s">
        <v>171</v>
      </c>
      <c r="J5406" s="308">
        <v>7.0000000000000007E-2</v>
      </c>
      <c r="K5406" s="309">
        <f>VLOOKUP(G5406,Upah,8,FALSE)</f>
        <v>150000</v>
      </c>
      <c r="L5406" s="310">
        <f>J5406*K5406</f>
        <v>10500.000000000002</v>
      </c>
    </row>
    <row r="5407" spans="5:13" ht="15" customHeight="1">
      <c r="F5407" s="306"/>
      <c r="G5407" s="301" t="s">
        <v>232</v>
      </c>
      <c r="H5407" s="307" t="s">
        <v>175</v>
      </c>
      <c r="I5407" s="307" t="s">
        <v>171</v>
      </c>
      <c r="J5407" s="308">
        <v>7.0000000000000001E-3</v>
      </c>
      <c r="K5407" s="309">
        <f>VLOOKUP(G5407,Upah,8,FALSE)</f>
        <v>165000</v>
      </c>
      <c r="L5407" s="310">
        <f>J5407*K5407</f>
        <v>1155</v>
      </c>
    </row>
    <row r="5408" spans="5:13" ht="15" customHeight="1" thickBot="1">
      <c r="F5408" s="306"/>
      <c r="G5408" s="301" t="s">
        <v>176</v>
      </c>
      <c r="H5408" s="307" t="s">
        <v>177</v>
      </c>
      <c r="I5408" s="307" t="s">
        <v>171</v>
      </c>
      <c r="J5408" s="308">
        <v>7.0000000000000001E-3</v>
      </c>
      <c r="K5408" s="309">
        <f>VLOOKUP(G5408,Upah,8,FALSE)</f>
        <v>170000</v>
      </c>
      <c r="L5408" s="310">
        <f>J5408*K5408</f>
        <v>1190</v>
      </c>
    </row>
    <row r="5409" spans="5:13" ht="15" customHeight="1" thickBot="1">
      <c r="F5409" s="316"/>
      <c r="G5409" s="317"/>
      <c r="H5409" s="318"/>
      <c r="I5409" s="318"/>
      <c r="J5409" s="319" t="s">
        <v>178</v>
      </c>
      <c r="K5409" s="320"/>
      <c r="L5409" s="321">
        <f>SUM(L5405:L5408)</f>
        <v>30345</v>
      </c>
    </row>
    <row r="5410" spans="5:13" ht="15" customHeight="1">
      <c r="F5410" s="300" t="s">
        <v>179</v>
      </c>
      <c r="G5410" s="301" t="s">
        <v>180</v>
      </c>
      <c r="H5410" s="302"/>
      <c r="I5410" s="302"/>
      <c r="J5410" s="351"/>
      <c r="K5410" s="328"/>
      <c r="L5410" s="310"/>
    </row>
    <row r="5411" spans="5:13" ht="15" customHeight="1">
      <c r="F5411" s="306"/>
      <c r="G5411" s="301" t="s">
        <v>1014</v>
      </c>
      <c r="H5411" s="302"/>
      <c r="I5411" s="307" t="s">
        <v>202</v>
      </c>
      <c r="J5411" s="308">
        <v>0.51</v>
      </c>
      <c r="K5411" s="328">
        <f>VLOOKUP(G5411,Bahan,6,FALSE)</f>
        <v>131610</v>
      </c>
      <c r="L5411" s="310">
        <f>J5411*K5411</f>
        <v>67121.100000000006</v>
      </c>
    </row>
    <row r="5412" spans="5:13" ht="15" customHeight="1" thickBot="1">
      <c r="F5412" s="306"/>
      <c r="G5412" s="301" t="s">
        <v>1015</v>
      </c>
      <c r="H5412" s="302"/>
      <c r="I5412" s="307" t="s">
        <v>45</v>
      </c>
      <c r="J5412" s="308">
        <v>0.12</v>
      </c>
      <c r="K5412" s="328">
        <f>VLOOKUP(G5412,Bahan,6,FALSE)</f>
        <v>14760</v>
      </c>
      <c r="L5412" s="310">
        <f>J5412*K5412</f>
        <v>1771.2</v>
      </c>
    </row>
    <row r="5413" spans="5:13" ht="15" customHeight="1" thickBot="1">
      <c r="F5413" s="316"/>
      <c r="G5413" s="317"/>
      <c r="H5413" s="318"/>
      <c r="I5413" s="318"/>
      <c r="J5413" s="319" t="s">
        <v>189</v>
      </c>
      <c r="K5413" s="320"/>
      <c r="L5413" s="321">
        <f>SUM(L5411:L5412)</f>
        <v>68892.3</v>
      </c>
    </row>
    <row r="5414" spans="5:13" ht="15" customHeight="1" thickBot="1">
      <c r="F5414" s="300" t="s">
        <v>190</v>
      </c>
      <c r="G5414" s="301" t="s">
        <v>191</v>
      </c>
      <c r="H5414" s="302"/>
      <c r="I5414" s="302"/>
      <c r="J5414" s="351"/>
      <c r="K5414" s="328">
        <v>0</v>
      </c>
      <c r="L5414" s="310">
        <f>J5414*K5414</f>
        <v>0</v>
      </c>
    </row>
    <row r="5415" spans="5:13" ht="15" customHeight="1" thickBot="1">
      <c r="F5415" s="316"/>
      <c r="G5415" s="317"/>
      <c r="H5415" s="318"/>
      <c r="I5415" s="318"/>
      <c r="J5415" s="319" t="s">
        <v>192</v>
      </c>
      <c r="K5415" s="320"/>
      <c r="L5415" s="321">
        <f>L5414</f>
        <v>0</v>
      </c>
    </row>
    <row r="5416" spans="5:13" ht="15" customHeight="1">
      <c r="F5416" s="344" t="s">
        <v>193</v>
      </c>
      <c r="G5416" s="345" t="s">
        <v>194</v>
      </c>
      <c r="H5416" s="346"/>
      <c r="I5416" s="346"/>
      <c r="J5416" s="347"/>
      <c r="K5416" s="348">
        <v>0</v>
      </c>
      <c r="L5416" s="310">
        <f>SUM(L5405:L5415)/2</f>
        <v>99237.3</v>
      </c>
    </row>
    <row r="5417" spans="5:13" ht="15" customHeight="1" thickBot="1">
      <c r="F5417" s="331" t="s">
        <v>195</v>
      </c>
      <c r="G5417" s="332" t="s">
        <v>196</v>
      </c>
      <c r="H5417" s="333"/>
      <c r="I5417" s="333"/>
      <c r="J5417" s="350">
        <v>0.1</v>
      </c>
      <c r="K5417" s="335"/>
      <c r="L5417" s="330">
        <f>J5417*L5416</f>
        <v>9923.7300000000014</v>
      </c>
    </row>
    <row r="5418" spans="5:13" ht="15" customHeight="1" thickBot="1">
      <c r="F5418" s="340" t="s">
        <v>197</v>
      </c>
      <c r="G5418" s="341" t="s">
        <v>198</v>
      </c>
      <c r="H5418" s="318"/>
      <c r="I5418" s="318"/>
      <c r="J5418" s="342"/>
      <c r="K5418" s="320">
        <v>0</v>
      </c>
      <c r="L5418" s="321">
        <f>ROUNDDOWN(L5416+L5417,0)</f>
        <v>109161</v>
      </c>
    </row>
    <row r="5419" spans="5:13" ht="15" customHeight="1">
      <c r="F5419" s="298"/>
      <c r="G5419" s="298"/>
      <c r="J5419" s="343"/>
    </row>
    <row r="5420" spans="5:13" ht="15" customHeight="1" thickBot="1">
      <c r="E5420" s="356" t="s">
        <v>1030</v>
      </c>
      <c r="F5420" s="295" t="s">
        <v>1031</v>
      </c>
      <c r="J5420" s="343"/>
      <c r="M5420" s="299">
        <f>L5436</f>
        <v>151144</v>
      </c>
    </row>
    <row r="5421" spans="5:13" ht="15" customHeight="1" thickBot="1">
      <c r="F5421" s="340" t="s">
        <v>136</v>
      </c>
      <c r="G5421" s="341" t="s">
        <v>162</v>
      </c>
      <c r="H5421" s="352" t="s">
        <v>163</v>
      </c>
      <c r="I5421" s="352" t="s">
        <v>138</v>
      </c>
      <c r="J5421" s="353" t="s">
        <v>164</v>
      </c>
      <c r="K5421" s="341" t="s">
        <v>165</v>
      </c>
      <c r="L5421" s="354" t="s">
        <v>166</v>
      </c>
    </row>
    <row r="5422" spans="5:13" ht="15" customHeight="1">
      <c r="F5422" s="300" t="s">
        <v>167</v>
      </c>
      <c r="G5422" s="301" t="s">
        <v>168</v>
      </c>
      <c r="H5422" s="302"/>
      <c r="I5422" s="302"/>
      <c r="J5422" s="351"/>
      <c r="K5422" s="328"/>
      <c r="L5422" s="310"/>
    </row>
    <row r="5423" spans="5:13" ht="15" customHeight="1">
      <c r="F5423" s="306"/>
      <c r="G5423" s="301" t="s">
        <v>169</v>
      </c>
      <c r="H5423" s="307" t="s">
        <v>170</v>
      </c>
      <c r="I5423" s="307" t="s">
        <v>171</v>
      </c>
      <c r="J5423" s="308">
        <v>0.14000000000000001</v>
      </c>
      <c r="K5423" s="309">
        <f>VLOOKUP(G5423,Upah,8,FALSE)</f>
        <v>125000</v>
      </c>
      <c r="L5423" s="310">
        <f>J5423*K5423</f>
        <v>17500</v>
      </c>
    </row>
    <row r="5424" spans="5:13" ht="15" customHeight="1">
      <c r="F5424" s="306"/>
      <c r="G5424" s="301" t="s">
        <v>172</v>
      </c>
      <c r="H5424" s="307" t="s">
        <v>173</v>
      </c>
      <c r="I5424" s="307" t="s">
        <v>171</v>
      </c>
      <c r="J5424" s="308">
        <v>7.0000000000000007E-2</v>
      </c>
      <c r="K5424" s="309">
        <f>VLOOKUP(G5424,Upah,8,FALSE)</f>
        <v>150000</v>
      </c>
      <c r="L5424" s="310">
        <f>J5424*K5424</f>
        <v>10500.000000000002</v>
      </c>
    </row>
    <row r="5425" spans="5:13" ht="15" customHeight="1">
      <c r="F5425" s="306"/>
      <c r="G5425" s="301" t="s">
        <v>232</v>
      </c>
      <c r="H5425" s="307" t="s">
        <v>175</v>
      </c>
      <c r="I5425" s="307" t="s">
        <v>171</v>
      </c>
      <c r="J5425" s="308">
        <v>7.0000000000000001E-3</v>
      </c>
      <c r="K5425" s="309">
        <f>VLOOKUP(G5425,Upah,8,FALSE)</f>
        <v>165000</v>
      </c>
      <c r="L5425" s="310">
        <f>J5425*K5425</f>
        <v>1155</v>
      </c>
    </row>
    <row r="5426" spans="5:13" ht="15" customHeight="1" thickBot="1">
      <c r="F5426" s="306"/>
      <c r="G5426" s="301" t="s">
        <v>176</v>
      </c>
      <c r="H5426" s="307" t="s">
        <v>177</v>
      </c>
      <c r="I5426" s="307" t="s">
        <v>171</v>
      </c>
      <c r="J5426" s="308">
        <v>7.0000000000000001E-3</v>
      </c>
      <c r="K5426" s="309">
        <f>VLOOKUP(G5426,Upah,8,FALSE)</f>
        <v>170000</v>
      </c>
      <c r="L5426" s="310">
        <f>J5426*K5426</f>
        <v>1190</v>
      </c>
    </row>
    <row r="5427" spans="5:13" ht="15" customHeight="1" thickBot="1">
      <c r="F5427" s="316"/>
      <c r="G5427" s="317"/>
      <c r="H5427" s="318"/>
      <c r="I5427" s="318"/>
      <c r="J5427" s="319" t="s">
        <v>178</v>
      </c>
      <c r="K5427" s="320"/>
      <c r="L5427" s="321">
        <f>SUM(L5423:L5426)</f>
        <v>30345</v>
      </c>
    </row>
    <row r="5428" spans="5:13" ht="15" customHeight="1">
      <c r="F5428" s="300" t="s">
        <v>179</v>
      </c>
      <c r="G5428" s="301" t="s">
        <v>180</v>
      </c>
      <c r="H5428" s="302"/>
      <c r="I5428" s="302"/>
      <c r="J5428" s="351"/>
      <c r="K5428" s="328"/>
      <c r="L5428" s="310"/>
    </row>
    <row r="5429" spans="5:13" ht="15" customHeight="1">
      <c r="F5429" s="306"/>
      <c r="G5429" s="301" t="s">
        <v>1014</v>
      </c>
      <c r="H5429" s="302"/>
      <c r="I5429" s="307" t="s">
        <v>202</v>
      </c>
      <c r="J5429" s="308">
        <v>0.8</v>
      </c>
      <c r="K5429" s="328">
        <f>VLOOKUP(G5429,Bahan,6,FALSE)</f>
        <v>131610</v>
      </c>
      <c r="L5429" s="310">
        <f>J5429*K5429</f>
        <v>105288</v>
      </c>
    </row>
    <row r="5430" spans="5:13" ht="15" customHeight="1" thickBot="1">
      <c r="F5430" s="306"/>
      <c r="G5430" s="301" t="s">
        <v>1015</v>
      </c>
      <c r="H5430" s="302"/>
      <c r="I5430" s="307" t="s">
        <v>45</v>
      </c>
      <c r="J5430" s="308">
        <v>0.12</v>
      </c>
      <c r="K5430" s="328">
        <f>VLOOKUP(G5430,Bahan,6,FALSE)</f>
        <v>14760</v>
      </c>
      <c r="L5430" s="310">
        <f>J5430*K5430</f>
        <v>1771.2</v>
      </c>
    </row>
    <row r="5431" spans="5:13" ht="15" customHeight="1" thickBot="1">
      <c r="F5431" s="316"/>
      <c r="G5431" s="317"/>
      <c r="H5431" s="318"/>
      <c r="I5431" s="318"/>
      <c r="J5431" s="319" t="s">
        <v>189</v>
      </c>
      <c r="K5431" s="320"/>
      <c r="L5431" s="321">
        <f>SUM(L5429:L5430)</f>
        <v>107059.2</v>
      </c>
    </row>
    <row r="5432" spans="5:13" ht="15" customHeight="1" thickBot="1">
      <c r="F5432" s="300" t="s">
        <v>190</v>
      </c>
      <c r="G5432" s="301" t="s">
        <v>191</v>
      </c>
      <c r="H5432" s="302"/>
      <c r="I5432" s="302"/>
      <c r="J5432" s="351"/>
      <c r="K5432" s="328">
        <v>0</v>
      </c>
      <c r="L5432" s="310">
        <f>J5432*K5432</f>
        <v>0</v>
      </c>
    </row>
    <row r="5433" spans="5:13" ht="15" customHeight="1" thickBot="1">
      <c r="F5433" s="316"/>
      <c r="G5433" s="317"/>
      <c r="H5433" s="318"/>
      <c r="I5433" s="318"/>
      <c r="J5433" s="319" t="s">
        <v>192</v>
      </c>
      <c r="K5433" s="320"/>
      <c r="L5433" s="321">
        <f>L5432</f>
        <v>0</v>
      </c>
    </row>
    <row r="5434" spans="5:13" ht="15" customHeight="1">
      <c r="F5434" s="344" t="s">
        <v>193</v>
      </c>
      <c r="G5434" s="345" t="s">
        <v>194</v>
      </c>
      <c r="H5434" s="346"/>
      <c r="I5434" s="346"/>
      <c r="J5434" s="347"/>
      <c r="K5434" s="348">
        <v>0</v>
      </c>
      <c r="L5434" s="310">
        <f>SUM(L5423:L5433)/2</f>
        <v>137404.20000000001</v>
      </c>
    </row>
    <row r="5435" spans="5:13" ht="15" customHeight="1" thickBot="1">
      <c r="F5435" s="331" t="s">
        <v>195</v>
      </c>
      <c r="G5435" s="332" t="s">
        <v>196</v>
      </c>
      <c r="H5435" s="333"/>
      <c r="I5435" s="333"/>
      <c r="J5435" s="350">
        <v>0.1</v>
      </c>
      <c r="K5435" s="335"/>
      <c r="L5435" s="330">
        <f>J5435*L5434</f>
        <v>13740.420000000002</v>
      </c>
    </row>
    <row r="5436" spans="5:13" ht="15" customHeight="1" thickBot="1">
      <c r="F5436" s="340" t="s">
        <v>197</v>
      </c>
      <c r="G5436" s="341" t="s">
        <v>198</v>
      </c>
      <c r="H5436" s="318"/>
      <c r="I5436" s="318"/>
      <c r="J5436" s="342"/>
      <c r="K5436" s="320">
        <v>0</v>
      </c>
      <c r="L5436" s="321">
        <f>ROUNDDOWN(L5434+L5435,0)</f>
        <v>151144</v>
      </c>
    </row>
    <row r="5437" spans="5:13" ht="15" customHeight="1">
      <c r="F5437" s="298"/>
      <c r="G5437" s="298"/>
      <c r="J5437" s="343"/>
    </row>
    <row r="5438" spans="5:13" ht="15" customHeight="1" thickBot="1">
      <c r="E5438" s="356" t="s">
        <v>1032</v>
      </c>
      <c r="F5438" s="295" t="s">
        <v>1033</v>
      </c>
      <c r="J5438" s="343"/>
      <c r="M5438" s="299">
        <f>L5454</f>
        <v>88893</v>
      </c>
    </row>
    <row r="5439" spans="5:13" ht="15" customHeight="1" thickBot="1">
      <c r="F5439" s="340" t="s">
        <v>136</v>
      </c>
      <c r="G5439" s="341" t="s">
        <v>162</v>
      </c>
      <c r="H5439" s="352" t="s">
        <v>163</v>
      </c>
      <c r="I5439" s="352" t="s">
        <v>138</v>
      </c>
      <c r="J5439" s="353" t="s">
        <v>164</v>
      </c>
      <c r="K5439" s="341" t="s">
        <v>165</v>
      </c>
      <c r="L5439" s="354" t="s">
        <v>166</v>
      </c>
    </row>
    <row r="5440" spans="5:13" ht="15" customHeight="1">
      <c r="F5440" s="300" t="s">
        <v>167</v>
      </c>
      <c r="G5440" s="301" t="s">
        <v>168</v>
      </c>
      <c r="H5440" s="302"/>
      <c r="I5440" s="302"/>
      <c r="J5440" s="351"/>
      <c r="K5440" s="328"/>
      <c r="L5440" s="310"/>
    </row>
    <row r="5441" spans="5:13" ht="15" customHeight="1">
      <c r="F5441" s="306"/>
      <c r="G5441" s="301" t="s">
        <v>169</v>
      </c>
      <c r="H5441" s="307" t="s">
        <v>170</v>
      </c>
      <c r="I5441" s="307" t="s">
        <v>171</v>
      </c>
      <c r="J5441" s="308">
        <v>0.14000000000000001</v>
      </c>
      <c r="K5441" s="309">
        <f>VLOOKUP(G5441,Upah,8,FALSE)</f>
        <v>125000</v>
      </c>
      <c r="L5441" s="310">
        <f>J5441*K5441</f>
        <v>17500</v>
      </c>
    </row>
    <row r="5442" spans="5:13" ht="15" customHeight="1">
      <c r="F5442" s="306"/>
      <c r="G5442" s="301" t="s">
        <v>172</v>
      </c>
      <c r="H5442" s="307" t="s">
        <v>173</v>
      </c>
      <c r="I5442" s="307" t="s">
        <v>171</v>
      </c>
      <c r="J5442" s="308">
        <v>7.0000000000000007E-2</v>
      </c>
      <c r="K5442" s="309">
        <f>VLOOKUP(G5442,Upah,8,FALSE)</f>
        <v>150000</v>
      </c>
      <c r="L5442" s="310">
        <f>J5442*K5442</f>
        <v>10500.000000000002</v>
      </c>
    </row>
    <row r="5443" spans="5:13" ht="15" customHeight="1">
      <c r="F5443" s="306"/>
      <c r="G5443" s="301" t="s">
        <v>232</v>
      </c>
      <c r="H5443" s="307" t="s">
        <v>175</v>
      </c>
      <c r="I5443" s="307" t="s">
        <v>171</v>
      </c>
      <c r="J5443" s="308">
        <v>7.0000000000000001E-3</v>
      </c>
      <c r="K5443" s="309">
        <f>VLOOKUP(G5443,Upah,8,FALSE)</f>
        <v>165000</v>
      </c>
      <c r="L5443" s="310">
        <f>J5443*K5443</f>
        <v>1155</v>
      </c>
    </row>
    <row r="5444" spans="5:13" ht="15" customHeight="1" thickBot="1">
      <c r="F5444" s="306"/>
      <c r="G5444" s="301" t="s">
        <v>176</v>
      </c>
      <c r="H5444" s="307" t="s">
        <v>177</v>
      </c>
      <c r="I5444" s="307" t="s">
        <v>171</v>
      </c>
      <c r="J5444" s="308">
        <v>7.0000000000000001E-3</v>
      </c>
      <c r="K5444" s="309">
        <f>VLOOKUP(G5444,Upah,8,FALSE)</f>
        <v>170000</v>
      </c>
      <c r="L5444" s="310">
        <f>J5444*K5444</f>
        <v>1190</v>
      </c>
    </row>
    <row r="5445" spans="5:13" ht="15" customHeight="1" thickBot="1">
      <c r="F5445" s="316"/>
      <c r="G5445" s="317"/>
      <c r="H5445" s="318"/>
      <c r="I5445" s="318"/>
      <c r="J5445" s="319" t="s">
        <v>178</v>
      </c>
      <c r="K5445" s="320"/>
      <c r="L5445" s="321">
        <f>SUM(L5441:L5444)</f>
        <v>30345</v>
      </c>
    </row>
    <row r="5446" spans="5:13" ht="15" customHeight="1">
      <c r="F5446" s="300" t="s">
        <v>179</v>
      </c>
      <c r="G5446" s="301" t="s">
        <v>180</v>
      </c>
      <c r="H5446" s="302"/>
      <c r="I5446" s="302"/>
      <c r="J5446" s="351"/>
      <c r="K5446" s="328"/>
      <c r="L5446" s="310"/>
    </row>
    <row r="5447" spans="5:13" ht="15" customHeight="1">
      <c r="F5447" s="306"/>
      <c r="G5447" s="301" t="s">
        <v>1014</v>
      </c>
      <c r="H5447" s="302"/>
      <c r="I5447" s="307" t="s">
        <v>202</v>
      </c>
      <c r="J5447" s="308">
        <v>0.37</v>
      </c>
      <c r="K5447" s="328">
        <f>VLOOKUP(G5447,Bahan,6,FALSE)</f>
        <v>131610</v>
      </c>
      <c r="L5447" s="310">
        <f>J5447*K5447</f>
        <v>48695.7</v>
      </c>
    </row>
    <row r="5448" spans="5:13" ht="15" customHeight="1" thickBot="1">
      <c r="F5448" s="306"/>
      <c r="G5448" s="301" t="s">
        <v>1015</v>
      </c>
      <c r="H5448" s="302"/>
      <c r="I5448" s="307" t="s">
        <v>45</v>
      </c>
      <c r="J5448" s="308">
        <v>0.12</v>
      </c>
      <c r="K5448" s="328">
        <f>VLOOKUP(G5448,Bahan,6,FALSE)</f>
        <v>14760</v>
      </c>
      <c r="L5448" s="310">
        <f>J5448*K5448</f>
        <v>1771.2</v>
      </c>
    </row>
    <row r="5449" spans="5:13" ht="15" customHeight="1" thickBot="1">
      <c r="F5449" s="316"/>
      <c r="G5449" s="317"/>
      <c r="H5449" s="318"/>
      <c r="I5449" s="318"/>
      <c r="J5449" s="319" t="s">
        <v>189</v>
      </c>
      <c r="K5449" s="320"/>
      <c r="L5449" s="321">
        <f>SUM(L5447:L5448)</f>
        <v>50466.899999999994</v>
      </c>
    </row>
    <row r="5450" spans="5:13" ht="15" customHeight="1" thickBot="1">
      <c r="F5450" s="300" t="s">
        <v>190</v>
      </c>
      <c r="G5450" s="301" t="s">
        <v>191</v>
      </c>
      <c r="H5450" s="302"/>
      <c r="I5450" s="302"/>
      <c r="J5450" s="351"/>
      <c r="K5450" s="328">
        <v>0</v>
      </c>
      <c r="L5450" s="310">
        <f>J5450*K5450</f>
        <v>0</v>
      </c>
    </row>
    <row r="5451" spans="5:13" ht="15" customHeight="1" thickBot="1">
      <c r="F5451" s="316"/>
      <c r="G5451" s="317"/>
      <c r="H5451" s="318"/>
      <c r="I5451" s="318"/>
      <c r="J5451" s="319" t="s">
        <v>192</v>
      </c>
      <c r="K5451" s="320"/>
      <c r="L5451" s="321">
        <f>L5450</f>
        <v>0</v>
      </c>
    </row>
    <row r="5452" spans="5:13" ht="15" customHeight="1">
      <c r="F5452" s="344" t="s">
        <v>193</v>
      </c>
      <c r="G5452" s="345" t="s">
        <v>194</v>
      </c>
      <c r="H5452" s="346"/>
      <c r="I5452" s="346"/>
      <c r="J5452" s="347"/>
      <c r="K5452" s="348">
        <v>0</v>
      </c>
      <c r="L5452" s="310">
        <f>SUM(L5441:L5451)/2</f>
        <v>80811.899999999994</v>
      </c>
    </row>
    <row r="5453" spans="5:13" ht="15" customHeight="1" thickBot="1">
      <c r="F5453" s="331" t="s">
        <v>195</v>
      </c>
      <c r="G5453" s="332" t="s">
        <v>196</v>
      </c>
      <c r="H5453" s="333"/>
      <c r="I5453" s="333"/>
      <c r="J5453" s="350">
        <v>0.1</v>
      </c>
      <c r="K5453" s="335"/>
      <c r="L5453" s="330">
        <f>J5453*L5452</f>
        <v>8081.19</v>
      </c>
    </row>
    <row r="5454" spans="5:13" ht="15" customHeight="1" thickBot="1">
      <c r="F5454" s="340" t="s">
        <v>197</v>
      </c>
      <c r="G5454" s="341" t="s">
        <v>198</v>
      </c>
      <c r="H5454" s="318"/>
      <c r="I5454" s="318"/>
      <c r="J5454" s="342"/>
      <c r="K5454" s="320">
        <v>0</v>
      </c>
      <c r="L5454" s="321">
        <f>ROUNDDOWN(L5452+L5453,0)</f>
        <v>88893</v>
      </c>
    </row>
    <row r="5455" spans="5:13" ht="15" customHeight="1">
      <c r="F5455" s="298"/>
      <c r="G5455" s="298"/>
      <c r="J5455" s="343"/>
    </row>
    <row r="5456" spans="5:13" ht="15" customHeight="1" thickBot="1">
      <c r="E5456" s="356" t="s">
        <v>1034</v>
      </c>
      <c r="F5456" s="295" t="s">
        <v>1035</v>
      </c>
      <c r="J5456" s="343"/>
      <c r="M5456" s="299">
        <f>L5472</f>
        <v>90340</v>
      </c>
    </row>
    <row r="5457" spans="6:12" ht="15" customHeight="1" thickBot="1">
      <c r="F5457" s="340" t="s">
        <v>136</v>
      </c>
      <c r="G5457" s="341" t="s">
        <v>162</v>
      </c>
      <c r="H5457" s="352" t="s">
        <v>163</v>
      </c>
      <c r="I5457" s="352" t="s">
        <v>138</v>
      </c>
      <c r="J5457" s="353" t="s">
        <v>164</v>
      </c>
      <c r="K5457" s="341" t="s">
        <v>165</v>
      </c>
      <c r="L5457" s="354" t="s">
        <v>166</v>
      </c>
    </row>
    <row r="5458" spans="6:12" ht="15" customHeight="1">
      <c r="F5458" s="300" t="s">
        <v>167</v>
      </c>
      <c r="G5458" s="301" t="s">
        <v>168</v>
      </c>
      <c r="H5458" s="302"/>
      <c r="I5458" s="302"/>
      <c r="J5458" s="351"/>
      <c r="K5458" s="328"/>
      <c r="L5458" s="310"/>
    </row>
    <row r="5459" spans="6:12" ht="15" customHeight="1">
      <c r="F5459" s="306"/>
      <c r="G5459" s="301" t="s">
        <v>169</v>
      </c>
      <c r="H5459" s="307" t="s">
        <v>170</v>
      </c>
      <c r="I5459" s="307" t="s">
        <v>171</v>
      </c>
      <c r="J5459" s="308">
        <v>0.14000000000000001</v>
      </c>
      <c r="K5459" s="309">
        <f>VLOOKUP(G5459,Upah,8,FALSE)</f>
        <v>125000</v>
      </c>
      <c r="L5459" s="310">
        <f>J5459*K5459</f>
        <v>17500</v>
      </c>
    </row>
    <row r="5460" spans="6:12" ht="15" customHeight="1">
      <c r="F5460" s="306"/>
      <c r="G5460" s="301" t="s">
        <v>172</v>
      </c>
      <c r="H5460" s="307" t="s">
        <v>173</v>
      </c>
      <c r="I5460" s="307" t="s">
        <v>171</v>
      </c>
      <c r="J5460" s="308">
        <v>7.0000000000000007E-2</v>
      </c>
      <c r="K5460" s="309">
        <f>VLOOKUP(G5460,Upah,8,FALSE)</f>
        <v>150000</v>
      </c>
      <c r="L5460" s="310">
        <f>J5460*K5460</f>
        <v>10500.000000000002</v>
      </c>
    </row>
    <row r="5461" spans="6:12" ht="15" customHeight="1">
      <c r="F5461" s="306"/>
      <c r="G5461" s="301" t="s">
        <v>232</v>
      </c>
      <c r="H5461" s="307" t="s">
        <v>175</v>
      </c>
      <c r="I5461" s="307" t="s">
        <v>171</v>
      </c>
      <c r="J5461" s="308">
        <v>7.0000000000000001E-3</v>
      </c>
      <c r="K5461" s="309">
        <f>VLOOKUP(G5461,Upah,8,FALSE)</f>
        <v>165000</v>
      </c>
      <c r="L5461" s="310">
        <f>J5461*K5461</f>
        <v>1155</v>
      </c>
    </row>
    <row r="5462" spans="6:12" ht="15" customHeight="1" thickBot="1">
      <c r="F5462" s="306"/>
      <c r="G5462" s="301" t="s">
        <v>176</v>
      </c>
      <c r="H5462" s="307" t="s">
        <v>177</v>
      </c>
      <c r="I5462" s="307" t="s">
        <v>171</v>
      </c>
      <c r="J5462" s="308">
        <v>7.0000000000000001E-3</v>
      </c>
      <c r="K5462" s="309">
        <f>VLOOKUP(G5462,Upah,8,FALSE)</f>
        <v>170000</v>
      </c>
      <c r="L5462" s="310">
        <f>J5462*K5462</f>
        <v>1190</v>
      </c>
    </row>
    <row r="5463" spans="6:12" ht="15" customHeight="1" thickBot="1">
      <c r="F5463" s="316"/>
      <c r="G5463" s="317"/>
      <c r="H5463" s="318"/>
      <c r="I5463" s="318"/>
      <c r="J5463" s="319" t="s">
        <v>178</v>
      </c>
      <c r="K5463" s="320"/>
      <c r="L5463" s="321">
        <f>SUM(L5459:L5462)</f>
        <v>30345</v>
      </c>
    </row>
    <row r="5464" spans="6:12" ht="15" customHeight="1">
      <c r="F5464" s="300" t="s">
        <v>179</v>
      </c>
      <c r="G5464" s="301" t="s">
        <v>180</v>
      </c>
      <c r="H5464" s="302"/>
      <c r="I5464" s="302"/>
      <c r="J5464" s="351"/>
      <c r="K5464" s="328"/>
      <c r="L5464" s="310"/>
    </row>
    <row r="5465" spans="6:12" ht="15" customHeight="1">
      <c r="F5465" s="306"/>
      <c r="G5465" s="301" t="s">
        <v>1014</v>
      </c>
      <c r="H5465" s="302"/>
      <c r="I5465" s="307" t="s">
        <v>202</v>
      </c>
      <c r="J5465" s="308">
        <v>0.38</v>
      </c>
      <c r="K5465" s="328">
        <f>VLOOKUP(G5465,Bahan,6,FALSE)</f>
        <v>131610</v>
      </c>
      <c r="L5465" s="310">
        <f>J5465*K5465</f>
        <v>50011.8</v>
      </c>
    </row>
    <row r="5466" spans="6:12" ht="15" customHeight="1" thickBot="1">
      <c r="F5466" s="306"/>
      <c r="G5466" s="301" t="s">
        <v>1015</v>
      </c>
      <c r="H5466" s="302"/>
      <c r="I5466" s="307" t="s">
        <v>45</v>
      </c>
      <c r="J5466" s="308">
        <v>0.12</v>
      </c>
      <c r="K5466" s="328">
        <f>VLOOKUP(G5466,Bahan,6,FALSE)</f>
        <v>14760</v>
      </c>
      <c r="L5466" s="310">
        <f>J5466*K5466</f>
        <v>1771.2</v>
      </c>
    </row>
    <row r="5467" spans="6:12" ht="15" customHeight="1" thickBot="1">
      <c r="F5467" s="316"/>
      <c r="G5467" s="317"/>
      <c r="H5467" s="318"/>
      <c r="I5467" s="318"/>
      <c r="J5467" s="319" t="s">
        <v>189</v>
      </c>
      <c r="K5467" s="320"/>
      <c r="L5467" s="321">
        <f>SUM(L5465:L5466)</f>
        <v>51783</v>
      </c>
    </row>
    <row r="5468" spans="6:12" ht="15" customHeight="1" thickBot="1">
      <c r="F5468" s="300" t="s">
        <v>190</v>
      </c>
      <c r="G5468" s="301" t="s">
        <v>191</v>
      </c>
      <c r="H5468" s="302"/>
      <c r="I5468" s="302"/>
      <c r="J5468" s="351"/>
      <c r="K5468" s="328">
        <v>0</v>
      </c>
      <c r="L5468" s="310">
        <f>J5468*K5468</f>
        <v>0</v>
      </c>
    </row>
    <row r="5469" spans="6:12" ht="15" customHeight="1" thickBot="1">
      <c r="F5469" s="316"/>
      <c r="G5469" s="317"/>
      <c r="H5469" s="318"/>
      <c r="I5469" s="318"/>
      <c r="J5469" s="319" t="s">
        <v>192</v>
      </c>
      <c r="K5469" s="320"/>
      <c r="L5469" s="321">
        <f>L5468</f>
        <v>0</v>
      </c>
    </row>
    <row r="5470" spans="6:12" ht="15" customHeight="1">
      <c r="F5470" s="344" t="s">
        <v>193</v>
      </c>
      <c r="G5470" s="345" t="s">
        <v>194</v>
      </c>
      <c r="H5470" s="346"/>
      <c r="I5470" s="346"/>
      <c r="J5470" s="347"/>
      <c r="K5470" s="348">
        <v>0</v>
      </c>
      <c r="L5470" s="310">
        <f>SUM(L5459:L5469)/2</f>
        <v>82128</v>
      </c>
    </row>
    <row r="5471" spans="6:12" ht="15" customHeight="1" thickBot="1">
      <c r="F5471" s="331" t="s">
        <v>195</v>
      </c>
      <c r="G5471" s="332" t="s">
        <v>196</v>
      </c>
      <c r="H5471" s="333"/>
      <c r="I5471" s="333"/>
      <c r="J5471" s="350">
        <v>0.1</v>
      </c>
      <c r="K5471" s="335"/>
      <c r="L5471" s="330">
        <f>J5471*L5470</f>
        <v>8212.8000000000011</v>
      </c>
    </row>
    <row r="5472" spans="6:12" ht="15" customHeight="1" thickBot="1">
      <c r="F5472" s="340" t="s">
        <v>197</v>
      </c>
      <c r="G5472" s="341" t="s">
        <v>198</v>
      </c>
      <c r="H5472" s="318"/>
      <c r="I5472" s="318"/>
      <c r="J5472" s="342"/>
      <c r="K5472" s="320">
        <v>0</v>
      </c>
      <c r="L5472" s="321">
        <f>ROUNDDOWN(L5470+L5471,0)</f>
        <v>90340</v>
      </c>
    </row>
    <row r="5473" spans="5:13" ht="15" customHeight="1">
      <c r="F5473" s="298"/>
      <c r="G5473" s="298"/>
      <c r="J5473" s="343"/>
    </row>
    <row r="5474" spans="5:13" ht="15" customHeight="1" thickBot="1">
      <c r="E5474" s="356" t="s">
        <v>1036</v>
      </c>
      <c r="F5474" s="295" t="s">
        <v>1037</v>
      </c>
      <c r="J5474" s="343"/>
      <c r="M5474" s="299">
        <f>L5490</f>
        <v>101922</v>
      </c>
    </row>
    <row r="5475" spans="5:13" ht="15" customHeight="1" thickBot="1">
      <c r="F5475" s="340" t="s">
        <v>136</v>
      </c>
      <c r="G5475" s="341" t="s">
        <v>162</v>
      </c>
      <c r="H5475" s="352" t="s">
        <v>163</v>
      </c>
      <c r="I5475" s="352" t="s">
        <v>138</v>
      </c>
      <c r="J5475" s="353" t="s">
        <v>164</v>
      </c>
      <c r="K5475" s="341" t="s">
        <v>165</v>
      </c>
      <c r="L5475" s="354" t="s">
        <v>166</v>
      </c>
    </row>
    <row r="5476" spans="5:13" ht="15" customHeight="1">
      <c r="F5476" s="300" t="s">
        <v>167</v>
      </c>
      <c r="G5476" s="301" t="s">
        <v>168</v>
      </c>
      <c r="H5476" s="302"/>
      <c r="I5476" s="302"/>
      <c r="J5476" s="351"/>
      <c r="K5476" s="328"/>
      <c r="L5476" s="310"/>
    </row>
    <row r="5477" spans="5:13" ht="15" customHeight="1">
      <c r="F5477" s="306"/>
      <c r="G5477" s="301" t="s">
        <v>169</v>
      </c>
      <c r="H5477" s="307" t="s">
        <v>170</v>
      </c>
      <c r="I5477" s="307" t="s">
        <v>171</v>
      </c>
      <c r="J5477" s="308">
        <v>0.14000000000000001</v>
      </c>
      <c r="K5477" s="309">
        <f>VLOOKUP(G5477,Upah,8,FALSE)</f>
        <v>125000</v>
      </c>
      <c r="L5477" s="310">
        <f>J5477*K5477</f>
        <v>17500</v>
      </c>
    </row>
    <row r="5478" spans="5:13" ht="15" customHeight="1">
      <c r="F5478" s="306"/>
      <c r="G5478" s="301" t="s">
        <v>172</v>
      </c>
      <c r="H5478" s="307" t="s">
        <v>173</v>
      </c>
      <c r="I5478" s="307" t="s">
        <v>171</v>
      </c>
      <c r="J5478" s="308">
        <v>7.0000000000000007E-2</v>
      </c>
      <c r="K5478" s="309">
        <f>VLOOKUP(G5478,Upah,8,FALSE)</f>
        <v>150000</v>
      </c>
      <c r="L5478" s="310">
        <f>J5478*K5478</f>
        <v>10500.000000000002</v>
      </c>
    </row>
    <row r="5479" spans="5:13" ht="15" customHeight="1">
      <c r="F5479" s="306"/>
      <c r="G5479" s="301" t="s">
        <v>232</v>
      </c>
      <c r="H5479" s="307" t="s">
        <v>175</v>
      </c>
      <c r="I5479" s="307" t="s">
        <v>171</v>
      </c>
      <c r="J5479" s="308">
        <v>7.0000000000000001E-3</v>
      </c>
      <c r="K5479" s="309">
        <f>VLOOKUP(G5479,Upah,8,FALSE)</f>
        <v>165000</v>
      </c>
      <c r="L5479" s="310">
        <f>J5479*K5479</f>
        <v>1155</v>
      </c>
    </row>
    <row r="5480" spans="5:13" ht="15" customHeight="1" thickBot="1">
      <c r="F5480" s="306"/>
      <c r="G5480" s="301" t="s">
        <v>176</v>
      </c>
      <c r="H5480" s="307" t="s">
        <v>177</v>
      </c>
      <c r="I5480" s="307" t="s">
        <v>171</v>
      </c>
      <c r="J5480" s="308">
        <v>7.0000000000000001E-3</v>
      </c>
      <c r="K5480" s="309">
        <f>VLOOKUP(G5480,Upah,8,FALSE)</f>
        <v>170000</v>
      </c>
      <c r="L5480" s="310">
        <f>J5480*K5480</f>
        <v>1190</v>
      </c>
    </row>
    <row r="5481" spans="5:13" ht="15" customHeight="1" thickBot="1">
      <c r="F5481" s="316"/>
      <c r="G5481" s="317"/>
      <c r="H5481" s="318"/>
      <c r="I5481" s="318"/>
      <c r="J5481" s="319" t="s">
        <v>178</v>
      </c>
      <c r="K5481" s="320"/>
      <c r="L5481" s="321">
        <f>SUM(L5477:L5480)</f>
        <v>30345</v>
      </c>
    </row>
    <row r="5482" spans="5:13" ht="15" customHeight="1">
      <c r="F5482" s="300" t="s">
        <v>179</v>
      </c>
      <c r="G5482" s="301" t="s">
        <v>180</v>
      </c>
      <c r="H5482" s="302"/>
      <c r="I5482" s="302"/>
      <c r="J5482" s="351"/>
      <c r="K5482" s="328"/>
      <c r="L5482" s="310"/>
    </row>
    <row r="5483" spans="5:13" ht="15" customHeight="1">
      <c r="F5483" s="306"/>
      <c r="G5483" s="301" t="s">
        <v>1014</v>
      </c>
      <c r="H5483" s="302"/>
      <c r="I5483" s="307" t="s">
        <v>202</v>
      </c>
      <c r="J5483" s="308">
        <v>0.46</v>
      </c>
      <c r="K5483" s="328">
        <f>VLOOKUP(G5483,Bahan,6,FALSE)</f>
        <v>131610</v>
      </c>
      <c r="L5483" s="310">
        <f>J5483*K5483</f>
        <v>60540.600000000006</v>
      </c>
    </row>
    <row r="5484" spans="5:13" ht="15" customHeight="1" thickBot="1">
      <c r="F5484" s="306"/>
      <c r="G5484" s="301" t="s">
        <v>1015</v>
      </c>
      <c r="H5484" s="302"/>
      <c r="I5484" s="307" t="s">
        <v>45</v>
      </c>
      <c r="J5484" s="308">
        <v>0.12</v>
      </c>
      <c r="K5484" s="328">
        <f>VLOOKUP(G5484,Bahan,6,FALSE)</f>
        <v>14760</v>
      </c>
      <c r="L5484" s="310">
        <f>J5484*K5484</f>
        <v>1771.2</v>
      </c>
    </row>
    <row r="5485" spans="5:13" ht="15" customHeight="1" thickBot="1">
      <c r="F5485" s="316"/>
      <c r="G5485" s="317"/>
      <c r="H5485" s="318"/>
      <c r="I5485" s="318"/>
      <c r="J5485" s="319" t="s">
        <v>189</v>
      </c>
      <c r="K5485" s="320"/>
      <c r="L5485" s="321">
        <f>SUM(L5483:L5484)</f>
        <v>62311.8</v>
      </c>
    </row>
    <row r="5486" spans="5:13" ht="15" customHeight="1" thickBot="1">
      <c r="F5486" s="300" t="s">
        <v>190</v>
      </c>
      <c r="G5486" s="301" t="s">
        <v>191</v>
      </c>
      <c r="H5486" s="302"/>
      <c r="I5486" s="302"/>
      <c r="J5486" s="351"/>
      <c r="K5486" s="328">
        <v>0</v>
      </c>
      <c r="L5486" s="310">
        <f>J5486*K5486</f>
        <v>0</v>
      </c>
    </row>
    <row r="5487" spans="5:13" ht="15" customHeight="1" thickBot="1">
      <c r="F5487" s="316"/>
      <c r="G5487" s="317"/>
      <c r="H5487" s="318"/>
      <c r="I5487" s="318"/>
      <c r="J5487" s="319" t="s">
        <v>192</v>
      </c>
      <c r="K5487" s="320"/>
      <c r="L5487" s="321">
        <f>L5486</f>
        <v>0</v>
      </c>
    </row>
    <row r="5488" spans="5:13" ht="15" customHeight="1">
      <c r="F5488" s="344" t="s">
        <v>193</v>
      </c>
      <c r="G5488" s="345" t="s">
        <v>194</v>
      </c>
      <c r="H5488" s="346"/>
      <c r="I5488" s="346"/>
      <c r="J5488" s="347"/>
      <c r="K5488" s="348">
        <v>0</v>
      </c>
      <c r="L5488" s="310">
        <f>SUM(L5477:L5487)/2</f>
        <v>92656.8</v>
      </c>
    </row>
    <row r="5489" spans="5:13" ht="15" customHeight="1" thickBot="1">
      <c r="F5489" s="331" t="s">
        <v>195</v>
      </c>
      <c r="G5489" s="332" t="s">
        <v>196</v>
      </c>
      <c r="H5489" s="333"/>
      <c r="I5489" s="333"/>
      <c r="J5489" s="350">
        <v>0.1</v>
      </c>
      <c r="K5489" s="335"/>
      <c r="L5489" s="330">
        <f>J5489*L5488</f>
        <v>9265.68</v>
      </c>
    </row>
    <row r="5490" spans="5:13" ht="15" customHeight="1" thickBot="1">
      <c r="F5490" s="340" t="s">
        <v>197</v>
      </c>
      <c r="G5490" s="341" t="s">
        <v>198</v>
      </c>
      <c r="H5490" s="318"/>
      <c r="I5490" s="318"/>
      <c r="J5490" s="342"/>
      <c r="K5490" s="320">
        <v>0</v>
      </c>
      <c r="L5490" s="321">
        <f>ROUNDDOWN(L5488+L5489,0)</f>
        <v>101922</v>
      </c>
    </row>
    <row r="5491" spans="5:13" ht="15" customHeight="1">
      <c r="F5491" s="298"/>
      <c r="G5491" s="298"/>
      <c r="J5491" s="343"/>
    </row>
    <row r="5492" spans="5:13" ht="15" customHeight="1" thickBot="1">
      <c r="E5492" s="356" t="s">
        <v>1038</v>
      </c>
      <c r="F5492" s="295" t="s">
        <v>1039</v>
      </c>
      <c r="J5492" s="343"/>
      <c r="M5492" s="299">
        <f>L5508</f>
        <v>106265</v>
      </c>
    </row>
    <row r="5493" spans="5:13" ht="15" customHeight="1" thickBot="1">
      <c r="F5493" s="340" t="s">
        <v>136</v>
      </c>
      <c r="G5493" s="341" t="s">
        <v>162</v>
      </c>
      <c r="H5493" s="352" t="s">
        <v>163</v>
      </c>
      <c r="I5493" s="352" t="s">
        <v>138</v>
      </c>
      <c r="J5493" s="353" t="s">
        <v>164</v>
      </c>
      <c r="K5493" s="341" t="s">
        <v>165</v>
      </c>
      <c r="L5493" s="354" t="s">
        <v>166</v>
      </c>
    </row>
    <row r="5494" spans="5:13" ht="15" customHeight="1">
      <c r="F5494" s="300" t="s">
        <v>167</v>
      </c>
      <c r="G5494" s="301" t="s">
        <v>168</v>
      </c>
      <c r="H5494" s="302"/>
      <c r="I5494" s="302"/>
      <c r="J5494" s="351"/>
      <c r="K5494" s="328"/>
      <c r="L5494" s="310"/>
    </row>
    <row r="5495" spans="5:13" ht="15" customHeight="1">
      <c r="F5495" s="306"/>
      <c r="G5495" s="301" t="s">
        <v>169</v>
      </c>
      <c r="H5495" s="307" t="s">
        <v>170</v>
      </c>
      <c r="I5495" s="307" t="s">
        <v>171</v>
      </c>
      <c r="J5495" s="308">
        <v>0.14000000000000001</v>
      </c>
      <c r="K5495" s="309">
        <f>VLOOKUP(G5495,Upah,8,FALSE)</f>
        <v>125000</v>
      </c>
      <c r="L5495" s="310">
        <f>J5495*K5495</f>
        <v>17500</v>
      </c>
    </row>
    <row r="5496" spans="5:13" ht="15" customHeight="1">
      <c r="F5496" s="306"/>
      <c r="G5496" s="301" t="s">
        <v>172</v>
      </c>
      <c r="H5496" s="307" t="s">
        <v>173</v>
      </c>
      <c r="I5496" s="307" t="s">
        <v>171</v>
      </c>
      <c r="J5496" s="308">
        <v>7.0000000000000007E-2</v>
      </c>
      <c r="K5496" s="309">
        <f>VLOOKUP(G5496,Upah,8,FALSE)</f>
        <v>150000</v>
      </c>
      <c r="L5496" s="310">
        <f>J5496*K5496</f>
        <v>10500.000000000002</v>
      </c>
    </row>
    <row r="5497" spans="5:13" ht="15" customHeight="1">
      <c r="F5497" s="306"/>
      <c r="G5497" s="301" t="s">
        <v>232</v>
      </c>
      <c r="H5497" s="307" t="s">
        <v>175</v>
      </c>
      <c r="I5497" s="307" t="s">
        <v>171</v>
      </c>
      <c r="J5497" s="308">
        <v>7.0000000000000001E-3</v>
      </c>
      <c r="K5497" s="309">
        <f>VLOOKUP(G5497,Upah,8,FALSE)</f>
        <v>165000</v>
      </c>
      <c r="L5497" s="310">
        <f>J5497*K5497</f>
        <v>1155</v>
      </c>
    </row>
    <row r="5498" spans="5:13" ht="15" customHeight="1" thickBot="1">
      <c r="F5498" s="306"/>
      <c r="G5498" s="301" t="s">
        <v>176</v>
      </c>
      <c r="H5498" s="307" t="s">
        <v>177</v>
      </c>
      <c r="I5498" s="307" t="s">
        <v>171</v>
      </c>
      <c r="J5498" s="308">
        <v>7.0000000000000001E-3</v>
      </c>
      <c r="K5498" s="309">
        <f>VLOOKUP(G5498,Upah,8,FALSE)</f>
        <v>170000</v>
      </c>
      <c r="L5498" s="310">
        <f>J5498*K5498</f>
        <v>1190</v>
      </c>
    </row>
    <row r="5499" spans="5:13" ht="15" customHeight="1" thickBot="1">
      <c r="F5499" s="316"/>
      <c r="G5499" s="317"/>
      <c r="H5499" s="318"/>
      <c r="I5499" s="318"/>
      <c r="J5499" s="319" t="s">
        <v>178</v>
      </c>
      <c r="K5499" s="320"/>
      <c r="L5499" s="321">
        <f>SUM(L5495:L5498)</f>
        <v>30345</v>
      </c>
    </row>
    <row r="5500" spans="5:13" ht="15" customHeight="1">
      <c r="F5500" s="300" t="s">
        <v>179</v>
      </c>
      <c r="G5500" s="301" t="s">
        <v>180</v>
      </c>
      <c r="H5500" s="302"/>
      <c r="I5500" s="302"/>
      <c r="J5500" s="351"/>
      <c r="K5500" s="328"/>
      <c r="L5500" s="310"/>
    </row>
    <row r="5501" spans="5:13" ht="15" customHeight="1">
      <c r="F5501" s="306"/>
      <c r="G5501" s="301" t="s">
        <v>1014</v>
      </c>
      <c r="H5501" s="302"/>
      <c r="I5501" s="307" t="s">
        <v>202</v>
      </c>
      <c r="J5501" s="308">
        <v>0.49</v>
      </c>
      <c r="K5501" s="328">
        <f>VLOOKUP(G5501,Bahan,6,FALSE)</f>
        <v>131610</v>
      </c>
      <c r="L5501" s="310">
        <f>J5501*K5501</f>
        <v>64488.9</v>
      </c>
    </row>
    <row r="5502" spans="5:13" ht="15" customHeight="1" thickBot="1">
      <c r="F5502" s="306"/>
      <c r="G5502" s="301" t="s">
        <v>1015</v>
      </c>
      <c r="H5502" s="302"/>
      <c r="I5502" s="307" t="s">
        <v>45</v>
      </c>
      <c r="J5502" s="308">
        <v>0.12</v>
      </c>
      <c r="K5502" s="328">
        <f>VLOOKUP(G5502,Bahan,6,FALSE)</f>
        <v>14760</v>
      </c>
      <c r="L5502" s="310">
        <f>J5502*K5502</f>
        <v>1771.2</v>
      </c>
    </row>
    <row r="5503" spans="5:13" ht="15" customHeight="1" thickBot="1">
      <c r="F5503" s="316"/>
      <c r="G5503" s="317"/>
      <c r="H5503" s="318"/>
      <c r="I5503" s="318"/>
      <c r="J5503" s="319" t="s">
        <v>189</v>
      </c>
      <c r="K5503" s="320"/>
      <c r="L5503" s="321">
        <f>SUM(L5501:L5502)</f>
        <v>66260.100000000006</v>
      </c>
    </row>
    <row r="5504" spans="5:13" ht="15" customHeight="1" thickBot="1">
      <c r="F5504" s="300" t="s">
        <v>190</v>
      </c>
      <c r="G5504" s="301" t="s">
        <v>191</v>
      </c>
      <c r="H5504" s="302"/>
      <c r="I5504" s="302"/>
      <c r="J5504" s="351"/>
      <c r="K5504" s="328">
        <v>0</v>
      </c>
      <c r="L5504" s="310">
        <f>J5504*K5504</f>
        <v>0</v>
      </c>
    </row>
    <row r="5505" spans="5:13" ht="15" customHeight="1" thickBot="1">
      <c r="F5505" s="316"/>
      <c r="G5505" s="317"/>
      <c r="H5505" s="318"/>
      <c r="I5505" s="318"/>
      <c r="J5505" s="319" t="s">
        <v>192</v>
      </c>
      <c r="K5505" s="320"/>
      <c r="L5505" s="321">
        <f>L5504</f>
        <v>0</v>
      </c>
    </row>
    <row r="5506" spans="5:13" ht="15" customHeight="1">
      <c r="F5506" s="344" t="s">
        <v>193</v>
      </c>
      <c r="G5506" s="345" t="s">
        <v>194</v>
      </c>
      <c r="H5506" s="346"/>
      <c r="I5506" s="346"/>
      <c r="J5506" s="347"/>
      <c r="K5506" s="348">
        <v>0</v>
      </c>
      <c r="L5506" s="310">
        <f>SUM(L5495:L5505)/2</f>
        <v>96605.1</v>
      </c>
    </row>
    <row r="5507" spans="5:13" ht="15" customHeight="1" thickBot="1">
      <c r="F5507" s="331" t="s">
        <v>195</v>
      </c>
      <c r="G5507" s="332" t="s">
        <v>196</v>
      </c>
      <c r="H5507" s="333"/>
      <c r="I5507" s="333"/>
      <c r="J5507" s="350">
        <v>0.1</v>
      </c>
      <c r="K5507" s="335"/>
      <c r="L5507" s="330">
        <f>J5507*L5506</f>
        <v>9660.51</v>
      </c>
    </row>
    <row r="5508" spans="5:13" ht="15" customHeight="1" thickBot="1">
      <c r="F5508" s="340" t="s">
        <v>197</v>
      </c>
      <c r="G5508" s="341" t="s">
        <v>198</v>
      </c>
      <c r="H5508" s="318"/>
      <c r="I5508" s="318"/>
      <c r="J5508" s="342"/>
      <c r="K5508" s="320">
        <v>0</v>
      </c>
      <c r="L5508" s="321">
        <f>ROUNDDOWN(L5506+L5507,0)</f>
        <v>106265</v>
      </c>
    </row>
    <row r="5509" spans="5:13" ht="15" customHeight="1">
      <c r="F5509" s="298"/>
      <c r="G5509" s="298"/>
      <c r="J5509" s="343"/>
    </row>
    <row r="5510" spans="5:13" ht="15" customHeight="1" thickBot="1">
      <c r="E5510" s="356" t="s">
        <v>1040</v>
      </c>
      <c r="F5510" s="295" t="s">
        <v>1041</v>
      </c>
      <c r="J5510" s="343"/>
      <c r="M5510" s="299">
        <f>L5526</f>
        <v>117847</v>
      </c>
    </row>
    <row r="5511" spans="5:13" ht="15" customHeight="1" thickBot="1">
      <c r="F5511" s="340" t="s">
        <v>136</v>
      </c>
      <c r="G5511" s="341" t="s">
        <v>162</v>
      </c>
      <c r="H5511" s="352" t="s">
        <v>163</v>
      </c>
      <c r="I5511" s="352" t="s">
        <v>138</v>
      </c>
      <c r="J5511" s="353" t="s">
        <v>164</v>
      </c>
      <c r="K5511" s="341" t="s">
        <v>165</v>
      </c>
      <c r="L5511" s="354" t="s">
        <v>166</v>
      </c>
    </row>
    <row r="5512" spans="5:13" ht="15" customHeight="1">
      <c r="F5512" s="300" t="s">
        <v>167</v>
      </c>
      <c r="G5512" s="301" t="s">
        <v>168</v>
      </c>
      <c r="H5512" s="302"/>
      <c r="I5512" s="302"/>
      <c r="J5512" s="351"/>
      <c r="K5512" s="328"/>
      <c r="L5512" s="310"/>
    </row>
    <row r="5513" spans="5:13" ht="15" customHeight="1">
      <c r="F5513" s="306"/>
      <c r="G5513" s="301" t="s">
        <v>169</v>
      </c>
      <c r="H5513" s="307" t="s">
        <v>170</v>
      </c>
      <c r="I5513" s="307" t="s">
        <v>171</v>
      </c>
      <c r="J5513" s="308">
        <v>0.14000000000000001</v>
      </c>
      <c r="K5513" s="309">
        <f>VLOOKUP(G5513,Upah,8,FALSE)</f>
        <v>125000</v>
      </c>
      <c r="L5513" s="310">
        <f>J5513*K5513</f>
        <v>17500</v>
      </c>
    </row>
    <row r="5514" spans="5:13" ht="15" customHeight="1">
      <c r="F5514" s="306"/>
      <c r="G5514" s="301" t="s">
        <v>172</v>
      </c>
      <c r="H5514" s="307" t="s">
        <v>173</v>
      </c>
      <c r="I5514" s="307" t="s">
        <v>171</v>
      </c>
      <c r="J5514" s="308">
        <v>7.0000000000000007E-2</v>
      </c>
      <c r="K5514" s="309">
        <f>VLOOKUP(G5514,Upah,8,FALSE)</f>
        <v>150000</v>
      </c>
      <c r="L5514" s="310">
        <f>J5514*K5514</f>
        <v>10500.000000000002</v>
      </c>
    </row>
    <row r="5515" spans="5:13" ht="15" customHeight="1">
      <c r="F5515" s="306"/>
      <c r="G5515" s="301" t="s">
        <v>232</v>
      </c>
      <c r="H5515" s="307" t="s">
        <v>175</v>
      </c>
      <c r="I5515" s="307" t="s">
        <v>171</v>
      </c>
      <c r="J5515" s="308">
        <v>7.0000000000000001E-3</v>
      </c>
      <c r="K5515" s="309">
        <f>VLOOKUP(G5515,Upah,8,FALSE)</f>
        <v>165000</v>
      </c>
      <c r="L5515" s="310">
        <f>J5515*K5515</f>
        <v>1155</v>
      </c>
    </row>
    <row r="5516" spans="5:13" ht="15" customHeight="1" thickBot="1">
      <c r="F5516" s="306"/>
      <c r="G5516" s="301" t="s">
        <v>176</v>
      </c>
      <c r="H5516" s="307" t="s">
        <v>177</v>
      </c>
      <c r="I5516" s="307" t="s">
        <v>171</v>
      </c>
      <c r="J5516" s="308">
        <v>7.0000000000000001E-3</v>
      </c>
      <c r="K5516" s="309">
        <f>VLOOKUP(G5516,Upah,8,FALSE)</f>
        <v>170000</v>
      </c>
      <c r="L5516" s="310">
        <f>J5516*K5516</f>
        <v>1190</v>
      </c>
    </row>
    <row r="5517" spans="5:13" ht="15" customHeight="1" thickBot="1">
      <c r="F5517" s="316"/>
      <c r="G5517" s="317"/>
      <c r="H5517" s="318"/>
      <c r="I5517" s="318"/>
      <c r="J5517" s="319" t="s">
        <v>178</v>
      </c>
      <c r="K5517" s="320"/>
      <c r="L5517" s="321">
        <f>SUM(L5513:L5516)</f>
        <v>30345</v>
      </c>
    </row>
    <row r="5518" spans="5:13" ht="15" customHeight="1">
      <c r="F5518" s="300" t="s">
        <v>179</v>
      </c>
      <c r="G5518" s="301" t="s">
        <v>180</v>
      </c>
      <c r="H5518" s="302"/>
      <c r="I5518" s="302"/>
      <c r="J5518" s="351"/>
      <c r="K5518" s="328"/>
      <c r="L5518" s="310"/>
    </row>
    <row r="5519" spans="5:13" ht="15" customHeight="1">
      <c r="F5519" s="306"/>
      <c r="G5519" s="301" t="s">
        <v>1014</v>
      </c>
      <c r="H5519" s="302"/>
      <c r="I5519" s="307" t="s">
        <v>202</v>
      </c>
      <c r="J5519" s="308">
        <v>0.56999999999999995</v>
      </c>
      <c r="K5519" s="328">
        <f>VLOOKUP(G5519,Bahan,6,FALSE)</f>
        <v>131610</v>
      </c>
      <c r="L5519" s="310">
        <f>J5519*K5519</f>
        <v>75017.7</v>
      </c>
    </row>
    <row r="5520" spans="5:13" ht="15" customHeight="1" thickBot="1">
      <c r="F5520" s="306"/>
      <c r="G5520" s="301" t="s">
        <v>1015</v>
      </c>
      <c r="H5520" s="302"/>
      <c r="I5520" s="307" t="s">
        <v>45</v>
      </c>
      <c r="J5520" s="308">
        <v>0.12</v>
      </c>
      <c r="K5520" s="328">
        <f>VLOOKUP(G5520,Bahan,6,FALSE)</f>
        <v>14760</v>
      </c>
      <c r="L5520" s="310">
        <f>J5520*K5520</f>
        <v>1771.2</v>
      </c>
    </row>
    <row r="5521" spans="5:13" ht="15" customHeight="1" thickBot="1">
      <c r="F5521" s="316"/>
      <c r="G5521" s="317"/>
      <c r="H5521" s="318"/>
      <c r="I5521" s="318"/>
      <c r="J5521" s="319" t="s">
        <v>189</v>
      </c>
      <c r="K5521" s="320"/>
      <c r="L5521" s="321">
        <f>SUM(L5519:L5520)</f>
        <v>76788.899999999994</v>
      </c>
    </row>
    <row r="5522" spans="5:13" ht="15" customHeight="1" thickBot="1">
      <c r="F5522" s="300" t="s">
        <v>190</v>
      </c>
      <c r="G5522" s="301" t="s">
        <v>191</v>
      </c>
      <c r="H5522" s="302"/>
      <c r="I5522" s="302"/>
      <c r="J5522" s="351"/>
      <c r="K5522" s="328">
        <v>0</v>
      </c>
      <c r="L5522" s="310">
        <f>J5522*K5522</f>
        <v>0</v>
      </c>
    </row>
    <row r="5523" spans="5:13" ht="15" customHeight="1" thickBot="1">
      <c r="F5523" s="316"/>
      <c r="G5523" s="317"/>
      <c r="H5523" s="318"/>
      <c r="I5523" s="318"/>
      <c r="J5523" s="319" t="s">
        <v>192</v>
      </c>
      <c r="K5523" s="320"/>
      <c r="L5523" s="321">
        <f>L5522</f>
        <v>0</v>
      </c>
    </row>
    <row r="5524" spans="5:13" ht="15" customHeight="1">
      <c r="F5524" s="344" t="s">
        <v>193</v>
      </c>
      <c r="G5524" s="345" t="s">
        <v>194</v>
      </c>
      <c r="H5524" s="346"/>
      <c r="I5524" s="346"/>
      <c r="J5524" s="347"/>
      <c r="K5524" s="348">
        <v>0</v>
      </c>
      <c r="L5524" s="310">
        <f>SUM(L5513:L5523)/2</f>
        <v>107133.90000000001</v>
      </c>
    </row>
    <row r="5525" spans="5:13" ht="15" customHeight="1" thickBot="1">
      <c r="F5525" s="331" t="s">
        <v>195</v>
      </c>
      <c r="G5525" s="332" t="s">
        <v>196</v>
      </c>
      <c r="H5525" s="333"/>
      <c r="I5525" s="333"/>
      <c r="J5525" s="350">
        <v>0.1</v>
      </c>
      <c r="K5525" s="335"/>
      <c r="L5525" s="330">
        <f>J5525*L5524</f>
        <v>10713.390000000001</v>
      </c>
    </row>
    <row r="5526" spans="5:13" ht="15" customHeight="1" thickBot="1">
      <c r="F5526" s="340" t="s">
        <v>197</v>
      </c>
      <c r="G5526" s="341" t="s">
        <v>198</v>
      </c>
      <c r="H5526" s="318"/>
      <c r="I5526" s="318"/>
      <c r="J5526" s="342"/>
      <c r="K5526" s="320">
        <v>0</v>
      </c>
      <c r="L5526" s="321">
        <f>ROUNDDOWN(L5524+L5525,0)</f>
        <v>117847</v>
      </c>
    </row>
    <row r="5527" spans="5:13" ht="15" customHeight="1">
      <c r="F5527" s="298"/>
      <c r="G5527" s="298"/>
      <c r="J5527" s="343"/>
    </row>
    <row r="5528" spans="5:13" ht="15" customHeight="1" thickBot="1">
      <c r="E5528" s="356" t="s">
        <v>1042</v>
      </c>
      <c r="F5528" s="295" t="s">
        <v>1043</v>
      </c>
      <c r="J5528" s="343"/>
      <c r="M5528" s="299">
        <f>L5544</f>
        <v>92359</v>
      </c>
    </row>
    <row r="5529" spans="5:13" ht="15" customHeight="1" thickBot="1">
      <c r="F5529" s="340" t="s">
        <v>136</v>
      </c>
      <c r="G5529" s="341" t="s">
        <v>162</v>
      </c>
      <c r="H5529" s="352" t="s">
        <v>163</v>
      </c>
      <c r="I5529" s="352" t="s">
        <v>138</v>
      </c>
      <c r="J5529" s="353" t="s">
        <v>164</v>
      </c>
      <c r="K5529" s="341" t="s">
        <v>165</v>
      </c>
      <c r="L5529" s="354" t="s">
        <v>166</v>
      </c>
    </row>
    <row r="5530" spans="5:13" ht="15" customHeight="1">
      <c r="F5530" s="300" t="s">
        <v>167</v>
      </c>
      <c r="G5530" s="301" t="s">
        <v>168</v>
      </c>
      <c r="H5530" s="302"/>
      <c r="I5530" s="302"/>
      <c r="J5530" s="351"/>
      <c r="K5530" s="328"/>
      <c r="L5530" s="310"/>
    </row>
    <row r="5531" spans="5:13" ht="15" customHeight="1">
      <c r="F5531" s="306"/>
      <c r="G5531" s="301" t="s">
        <v>169</v>
      </c>
      <c r="H5531" s="307" t="s">
        <v>170</v>
      </c>
      <c r="I5531" s="307" t="s">
        <v>171</v>
      </c>
      <c r="J5531" s="308">
        <v>8.4000000000000005E-2</v>
      </c>
      <c r="K5531" s="309">
        <f>VLOOKUP(G5531,Upah,8,FALSE)</f>
        <v>125000</v>
      </c>
      <c r="L5531" s="310">
        <f>J5531*K5531</f>
        <v>10500</v>
      </c>
    </row>
    <row r="5532" spans="5:13" ht="15" customHeight="1">
      <c r="F5532" s="306"/>
      <c r="G5532" s="301" t="s">
        <v>172</v>
      </c>
      <c r="H5532" s="307" t="s">
        <v>173</v>
      </c>
      <c r="I5532" s="307" t="s">
        <v>171</v>
      </c>
      <c r="J5532" s="308">
        <v>0.125</v>
      </c>
      <c r="K5532" s="309">
        <f>VLOOKUP(G5532,Upah,8,FALSE)</f>
        <v>150000</v>
      </c>
      <c r="L5532" s="310">
        <f>J5532*K5532</f>
        <v>18750</v>
      </c>
    </row>
    <row r="5533" spans="5:13" ht="15" customHeight="1">
      <c r="F5533" s="306"/>
      <c r="G5533" s="301" t="s">
        <v>232</v>
      </c>
      <c r="H5533" s="307" t="s">
        <v>175</v>
      </c>
      <c r="I5533" s="307" t="s">
        <v>171</v>
      </c>
      <c r="J5533" s="308">
        <v>1.2999999999999999E-2</v>
      </c>
      <c r="K5533" s="309">
        <f>VLOOKUP(G5533,Upah,8,FALSE)</f>
        <v>165000</v>
      </c>
      <c r="L5533" s="310">
        <f>J5533*K5533</f>
        <v>2145</v>
      </c>
    </row>
    <row r="5534" spans="5:13" ht="15" customHeight="1" thickBot="1">
      <c r="F5534" s="306"/>
      <c r="G5534" s="301" t="s">
        <v>176</v>
      </c>
      <c r="H5534" s="307" t="s">
        <v>177</v>
      </c>
      <c r="I5534" s="307" t="s">
        <v>171</v>
      </c>
      <c r="J5534" s="308">
        <v>4.0000000000000001E-3</v>
      </c>
      <c r="K5534" s="309">
        <f>VLOOKUP(G5534,Upah,8,FALSE)</f>
        <v>170000</v>
      </c>
      <c r="L5534" s="310">
        <f>J5534*K5534</f>
        <v>680</v>
      </c>
    </row>
    <row r="5535" spans="5:13" ht="15" customHeight="1" thickBot="1">
      <c r="F5535" s="316"/>
      <c r="G5535" s="317"/>
      <c r="H5535" s="318"/>
      <c r="I5535" s="318"/>
      <c r="J5535" s="319" t="s">
        <v>178</v>
      </c>
      <c r="K5535" s="320"/>
      <c r="L5535" s="321">
        <f>SUM(L5531:L5534)</f>
        <v>32075</v>
      </c>
    </row>
    <row r="5536" spans="5:13" ht="15" customHeight="1">
      <c r="F5536" s="300" t="s">
        <v>179</v>
      </c>
      <c r="G5536" s="301" t="s">
        <v>180</v>
      </c>
      <c r="H5536" s="302"/>
      <c r="I5536" s="302"/>
      <c r="J5536" s="351"/>
      <c r="K5536" s="328"/>
      <c r="L5536" s="310"/>
    </row>
    <row r="5537" spans="5:13" ht="15" customHeight="1">
      <c r="F5537" s="306"/>
      <c r="G5537" s="301" t="s">
        <v>1044</v>
      </c>
      <c r="H5537" s="302"/>
      <c r="I5537" s="307" t="s">
        <v>202</v>
      </c>
      <c r="J5537" s="308">
        <v>2.4</v>
      </c>
      <c r="K5537" s="328">
        <f>VLOOKUP(G5537,Bahan,6,FALSE)</f>
        <v>19520</v>
      </c>
      <c r="L5537" s="310">
        <f>J5537*K5537</f>
        <v>46848</v>
      </c>
    </row>
    <row r="5538" spans="5:13" ht="15" customHeight="1" thickBot="1">
      <c r="F5538" s="306"/>
      <c r="G5538" s="301" t="s">
        <v>586</v>
      </c>
      <c r="H5538" s="302"/>
      <c r="I5538" s="307" t="s">
        <v>221</v>
      </c>
      <c r="J5538" s="308">
        <v>6</v>
      </c>
      <c r="K5538" s="328">
        <f>VLOOKUP(G5538,Bahan,6,FALSE)</f>
        <v>840</v>
      </c>
      <c r="L5538" s="310">
        <f>J5538*K5538</f>
        <v>5040</v>
      </c>
    </row>
    <row r="5539" spans="5:13" ht="15" customHeight="1" thickBot="1">
      <c r="F5539" s="316"/>
      <c r="G5539" s="317"/>
      <c r="H5539" s="318"/>
      <c r="I5539" s="318"/>
      <c r="J5539" s="319" t="s">
        <v>189</v>
      </c>
      <c r="K5539" s="320"/>
      <c r="L5539" s="321">
        <f>SUM(L5537:L5538)</f>
        <v>51888</v>
      </c>
    </row>
    <row r="5540" spans="5:13" ht="15" customHeight="1" thickBot="1">
      <c r="F5540" s="300" t="s">
        <v>190</v>
      </c>
      <c r="G5540" s="301" t="s">
        <v>191</v>
      </c>
      <c r="H5540" s="302"/>
      <c r="I5540" s="302"/>
      <c r="J5540" s="351"/>
      <c r="K5540" s="328">
        <v>0</v>
      </c>
      <c r="L5540" s="310">
        <f>J5540*K5540</f>
        <v>0</v>
      </c>
    </row>
    <row r="5541" spans="5:13" ht="15" customHeight="1" thickBot="1">
      <c r="F5541" s="316"/>
      <c r="G5541" s="317"/>
      <c r="H5541" s="318"/>
      <c r="I5541" s="318"/>
      <c r="J5541" s="319" t="s">
        <v>192</v>
      </c>
      <c r="K5541" s="320"/>
      <c r="L5541" s="321">
        <f>L5540</f>
        <v>0</v>
      </c>
    </row>
    <row r="5542" spans="5:13" ht="15" customHeight="1">
      <c r="F5542" s="344" t="s">
        <v>193</v>
      </c>
      <c r="G5542" s="345" t="s">
        <v>194</v>
      </c>
      <c r="H5542" s="346"/>
      <c r="I5542" s="346"/>
      <c r="J5542" s="347"/>
      <c r="K5542" s="348">
        <v>0</v>
      </c>
      <c r="L5542" s="310">
        <f>SUM(L5531:L5541)/2</f>
        <v>83963</v>
      </c>
    </row>
    <row r="5543" spans="5:13" ht="15" customHeight="1" thickBot="1">
      <c r="F5543" s="331" t="s">
        <v>195</v>
      </c>
      <c r="G5543" s="332" t="s">
        <v>196</v>
      </c>
      <c r="H5543" s="333"/>
      <c r="I5543" s="333"/>
      <c r="J5543" s="350">
        <v>0.1</v>
      </c>
      <c r="K5543" s="335"/>
      <c r="L5543" s="330">
        <f>J5543*L5542</f>
        <v>8396.3000000000011</v>
      </c>
    </row>
    <row r="5544" spans="5:13" ht="15" customHeight="1" thickBot="1">
      <c r="F5544" s="340" t="s">
        <v>197</v>
      </c>
      <c r="G5544" s="341" t="s">
        <v>198</v>
      </c>
      <c r="H5544" s="318"/>
      <c r="I5544" s="318"/>
      <c r="J5544" s="342"/>
      <c r="K5544" s="320">
        <v>0</v>
      </c>
      <c r="L5544" s="321">
        <f>ROUNDDOWN(L5542+L5543,0)</f>
        <v>92359</v>
      </c>
    </row>
    <row r="5545" spans="5:13" ht="15" customHeight="1">
      <c r="F5545" s="298"/>
      <c r="G5545" s="298"/>
      <c r="J5545" s="343"/>
    </row>
    <row r="5546" spans="5:13" ht="15" customHeight="1" thickBot="1">
      <c r="E5546" s="356" t="s">
        <v>1045</v>
      </c>
      <c r="F5546" s="295" t="s">
        <v>1046</v>
      </c>
      <c r="J5546" s="343"/>
      <c r="M5546" s="299">
        <f>L5562</f>
        <v>85917</v>
      </c>
    </row>
    <row r="5547" spans="5:13" ht="15" customHeight="1" thickBot="1">
      <c r="F5547" s="340" t="s">
        <v>136</v>
      </c>
      <c r="G5547" s="341" t="s">
        <v>162</v>
      </c>
      <c r="H5547" s="352" t="s">
        <v>163</v>
      </c>
      <c r="I5547" s="352" t="s">
        <v>138</v>
      </c>
      <c r="J5547" s="353" t="s">
        <v>164</v>
      </c>
      <c r="K5547" s="341" t="s">
        <v>165</v>
      </c>
      <c r="L5547" s="354" t="s">
        <v>166</v>
      </c>
    </row>
    <row r="5548" spans="5:13" ht="15" customHeight="1">
      <c r="F5548" s="300" t="s">
        <v>167</v>
      </c>
      <c r="G5548" s="301" t="s">
        <v>168</v>
      </c>
      <c r="H5548" s="302"/>
      <c r="I5548" s="302"/>
      <c r="J5548" s="351"/>
      <c r="K5548" s="328"/>
      <c r="L5548" s="310"/>
    </row>
    <row r="5549" spans="5:13" ht="15" customHeight="1">
      <c r="F5549" s="306"/>
      <c r="G5549" s="301" t="s">
        <v>169</v>
      </c>
      <c r="H5549" s="307" t="s">
        <v>170</v>
      </c>
      <c r="I5549" s="307" t="s">
        <v>171</v>
      </c>
      <c r="J5549" s="308">
        <v>8.4000000000000005E-2</v>
      </c>
      <c r="K5549" s="309">
        <f>VLOOKUP(G5549,Upah,8,FALSE)</f>
        <v>125000</v>
      </c>
      <c r="L5549" s="310">
        <f>J5549*K5549</f>
        <v>10500</v>
      </c>
    </row>
    <row r="5550" spans="5:13" ht="15" customHeight="1">
      <c r="F5550" s="306"/>
      <c r="G5550" s="301" t="s">
        <v>172</v>
      </c>
      <c r="H5550" s="307" t="s">
        <v>173</v>
      </c>
      <c r="I5550" s="307" t="s">
        <v>171</v>
      </c>
      <c r="J5550" s="308">
        <v>0.125</v>
      </c>
      <c r="K5550" s="309">
        <f>VLOOKUP(G5550,Upah,8,FALSE)</f>
        <v>150000</v>
      </c>
      <c r="L5550" s="310">
        <f>J5550*K5550</f>
        <v>18750</v>
      </c>
    </row>
    <row r="5551" spans="5:13" ht="15" customHeight="1">
      <c r="F5551" s="306"/>
      <c r="G5551" s="301" t="s">
        <v>232</v>
      </c>
      <c r="H5551" s="307" t="s">
        <v>175</v>
      </c>
      <c r="I5551" s="307" t="s">
        <v>171</v>
      </c>
      <c r="J5551" s="308">
        <v>1.2999999999999999E-2</v>
      </c>
      <c r="K5551" s="309">
        <f>VLOOKUP(G5551,Upah,8,FALSE)</f>
        <v>165000</v>
      </c>
      <c r="L5551" s="310">
        <f>J5551*K5551</f>
        <v>2145</v>
      </c>
    </row>
    <row r="5552" spans="5:13" ht="15" customHeight="1" thickBot="1">
      <c r="F5552" s="306"/>
      <c r="G5552" s="301" t="s">
        <v>176</v>
      </c>
      <c r="H5552" s="307" t="s">
        <v>177</v>
      </c>
      <c r="I5552" s="307" t="s">
        <v>171</v>
      </c>
      <c r="J5552" s="308">
        <v>4.0000000000000001E-3</v>
      </c>
      <c r="K5552" s="309">
        <f>VLOOKUP(G5552,Upah,8,FALSE)</f>
        <v>170000</v>
      </c>
      <c r="L5552" s="310">
        <f>J5552*K5552</f>
        <v>680</v>
      </c>
    </row>
    <row r="5553" spans="5:13" ht="15" customHeight="1" thickBot="1">
      <c r="F5553" s="316"/>
      <c r="G5553" s="317"/>
      <c r="H5553" s="318"/>
      <c r="I5553" s="318"/>
      <c r="J5553" s="319" t="s">
        <v>178</v>
      </c>
      <c r="K5553" s="320"/>
      <c r="L5553" s="321">
        <f>SUM(L5549:L5552)</f>
        <v>32075</v>
      </c>
    </row>
    <row r="5554" spans="5:13" ht="15" customHeight="1">
      <c r="F5554" s="300" t="s">
        <v>179</v>
      </c>
      <c r="G5554" s="301" t="s">
        <v>180</v>
      </c>
      <c r="H5554" s="302"/>
      <c r="I5554" s="302"/>
      <c r="J5554" s="351"/>
      <c r="K5554" s="328"/>
      <c r="L5554" s="310"/>
    </row>
    <row r="5555" spans="5:13" ht="15" customHeight="1">
      <c r="F5555" s="306"/>
      <c r="G5555" s="301" t="s">
        <v>1044</v>
      </c>
      <c r="H5555" s="302"/>
      <c r="I5555" s="307" t="s">
        <v>202</v>
      </c>
      <c r="J5555" s="308">
        <v>2.1</v>
      </c>
      <c r="K5555" s="328">
        <f>VLOOKUP(G5555,Bahan,6,FALSE)</f>
        <v>19520</v>
      </c>
      <c r="L5555" s="310">
        <f>J5555*K5555</f>
        <v>40992</v>
      </c>
    </row>
    <row r="5556" spans="5:13" ht="15" customHeight="1" thickBot="1">
      <c r="F5556" s="306"/>
      <c r="G5556" s="301" t="s">
        <v>586</v>
      </c>
      <c r="H5556" s="302"/>
      <c r="I5556" s="307" t="s">
        <v>221</v>
      </c>
      <c r="J5556" s="308">
        <v>6</v>
      </c>
      <c r="K5556" s="328">
        <f>VLOOKUP(G5556,Bahan,6,FALSE)</f>
        <v>840</v>
      </c>
      <c r="L5556" s="310">
        <f>J5556*K5556</f>
        <v>5040</v>
      </c>
    </row>
    <row r="5557" spans="5:13" ht="15" customHeight="1" thickBot="1">
      <c r="F5557" s="316"/>
      <c r="G5557" s="317"/>
      <c r="H5557" s="318"/>
      <c r="I5557" s="318"/>
      <c r="J5557" s="319" t="s">
        <v>189</v>
      </c>
      <c r="K5557" s="320"/>
      <c r="L5557" s="321">
        <f>SUM(L5555:L5556)</f>
        <v>46032</v>
      </c>
    </row>
    <row r="5558" spans="5:13" ht="15" customHeight="1" thickBot="1">
      <c r="F5558" s="300" t="s">
        <v>190</v>
      </c>
      <c r="G5558" s="301" t="s">
        <v>191</v>
      </c>
      <c r="H5558" s="302"/>
      <c r="I5558" s="302"/>
      <c r="J5558" s="351"/>
      <c r="K5558" s="328">
        <v>0</v>
      </c>
      <c r="L5558" s="310">
        <f>J5558*K5558</f>
        <v>0</v>
      </c>
    </row>
    <row r="5559" spans="5:13" ht="15" customHeight="1" thickBot="1">
      <c r="F5559" s="316"/>
      <c r="G5559" s="317"/>
      <c r="H5559" s="318"/>
      <c r="I5559" s="318"/>
      <c r="J5559" s="319" t="s">
        <v>192</v>
      </c>
      <c r="K5559" s="320"/>
      <c r="L5559" s="321">
        <f>L5558</f>
        <v>0</v>
      </c>
    </row>
    <row r="5560" spans="5:13" ht="15" customHeight="1">
      <c r="F5560" s="344" t="s">
        <v>193</v>
      </c>
      <c r="G5560" s="345" t="s">
        <v>194</v>
      </c>
      <c r="H5560" s="346"/>
      <c r="I5560" s="346"/>
      <c r="J5560" s="347"/>
      <c r="K5560" s="348">
        <v>0</v>
      </c>
      <c r="L5560" s="310">
        <f>SUM(L5549:L5559)/2</f>
        <v>78107</v>
      </c>
    </row>
    <row r="5561" spans="5:13" ht="15" customHeight="1" thickBot="1">
      <c r="F5561" s="331" t="s">
        <v>195</v>
      </c>
      <c r="G5561" s="332" t="s">
        <v>196</v>
      </c>
      <c r="H5561" s="333"/>
      <c r="I5561" s="333"/>
      <c r="J5561" s="350">
        <v>0.1</v>
      </c>
      <c r="K5561" s="335"/>
      <c r="L5561" s="330">
        <f>J5561*L5560</f>
        <v>7810.7000000000007</v>
      </c>
    </row>
    <row r="5562" spans="5:13" ht="15" customHeight="1" thickBot="1">
      <c r="F5562" s="340" t="s">
        <v>197</v>
      </c>
      <c r="G5562" s="341" t="s">
        <v>198</v>
      </c>
      <c r="H5562" s="318"/>
      <c r="I5562" s="318"/>
      <c r="J5562" s="342"/>
      <c r="K5562" s="320">
        <v>0</v>
      </c>
      <c r="L5562" s="321">
        <f>ROUNDDOWN(L5560+L5561,0)</f>
        <v>85917</v>
      </c>
    </row>
    <row r="5563" spans="5:13" ht="15" customHeight="1">
      <c r="F5563" s="298"/>
      <c r="G5563" s="298"/>
      <c r="J5563" s="343"/>
    </row>
    <row r="5564" spans="5:13" ht="15" customHeight="1" thickBot="1">
      <c r="E5564" s="356" t="s">
        <v>1047</v>
      </c>
      <c r="F5564" s="295" t="s">
        <v>1048</v>
      </c>
      <c r="J5564" s="343"/>
      <c r="M5564" s="299">
        <f>L5580</f>
        <v>84844</v>
      </c>
    </row>
    <row r="5565" spans="5:13" ht="15" customHeight="1" thickBot="1">
      <c r="F5565" s="340" t="s">
        <v>136</v>
      </c>
      <c r="G5565" s="341" t="s">
        <v>162</v>
      </c>
      <c r="H5565" s="352" t="s">
        <v>163</v>
      </c>
      <c r="I5565" s="352" t="s">
        <v>138</v>
      </c>
      <c r="J5565" s="353" t="s">
        <v>164</v>
      </c>
      <c r="K5565" s="341" t="s">
        <v>165</v>
      </c>
      <c r="L5565" s="354" t="s">
        <v>166</v>
      </c>
    </row>
    <row r="5566" spans="5:13" ht="15" customHeight="1">
      <c r="F5566" s="300" t="s">
        <v>167</v>
      </c>
      <c r="G5566" s="301" t="s">
        <v>168</v>
      </c>
      <c r="H5566" s="302"/>
      <c r="I5566" s="302"/>
      <c r="J5566" s="351"/>
      <c r="K5566" s="328"/>
      <c r="L5566" s="310"/>
    </row>
    <row r="5567" spans="5:13" ht="15" customHeight="1">
      <c r="F5567" s="306"/>
      <c r="G5567" s="301" t="s">
        <v>169</v>
      </c>
      <c r="H5567" s="307" t="s">
        <v>170</v>
      </c>
      <c r="I5567" s="307" t="s">
        <v>171</v>
      </c>
      <c r="J5567" s="308">
        <v>8.4000000000000005E-2</v>
      </c>
      <c r="K5567" s="309">
        <f>VLOOKUP(G5567,Upah,8,FALSE)</f>
        <v>125000</v>
      </c>
      <c r="L5567" s="310">
        <f>J5567*K5567</f>
        <v>10500</v>
      </c>
    </row>
    <row r="5568" spans="5:13" ht="15" customHeight="1">
      <c r="F5568" s="306"/>
      <c r="G5568" s="301" t="s">
        <v>172</v>
      </c>
      <c r="H5568" s="307" t="s">
        <v>173</v>
      </c>
      <c r="I5568" s="307" t="s">
        <v>171</v>
      </c>
      <c r="J5568" s="308">
        <v>0.125</v>
      </c>
      <c r="K5568" s="309">
        <f>VLOOKUP(G5568,Upah,8,FALSE)</f>
        <v>150000</v>
      </c>
      <c r="L5568" s="310">
        <f>J5568*K5568</f>
        <v>18750</v>
      </c>
    </row>
    <row r="5569" spans="5:13" ht="15" customHeight="1">
      <c r="F5569" s="306"/>
      <c r="G5569" s="301" t="s">
        <v>232</v>
      </c>
      <c r="H5569" s="307" t="s">
        <v>175</v>
      </c>
      <c r="I5569" s="307" t="s">
        <v>171</v>
      </c>
      <c r="J5569" s="308">
        <v>1.2999999999999999E-2</v>
      </c>
      <c r="K5569" s="309">
        <f>VLOOKUP(G5569,Upah,8,FALSE)</f>
        <v>165000</v>
      </c>
      <c r="L5569" s="310">
        <f>J5569*K5569</f>
        <v>2145</v>
      </c>
    </row>
    <row r="5570" spans="5:13" ht="15" customHeight="1" thickBot="1">
      <c r="F5570" s="306"/>
      <c r="G5570" s="301" t="s">
        <v>176</v>
      </c>
      <c r="H5570" s="307" t="s">
        <v>177</v>
      </c>
      <c r="I5570" s="307" t="s">
        <v>171</v>
      </c>
      <c r="J5570" s="308">
        <v>4.0000000000000001E-3</v>
      </c>
      <c r="K5570" s="309">
        <f>VLOOKUP(G5570,Upah,8,FALSE)</f>
        <v>170000</v>
      </c>
      <c r="L5570" s="310">
        <f>J5570*K5570</f>
        <v>680</v>
      </c>
    </row>
    <row r="5571" spans="5:13" ht="15" customHeight="1" thickBot="1">
      <c r="F5571" s="316"/>
      <c r="G5571" s="317"/>
      <c r="H5571" s="318"/>
      <c r="I5571" s="318"/>
      <c r="J5571" s="319" t="s">
        <v>178</v>
      </c>
      <c r="K5571" s="320"/>
      <c r="L5571" s="321">
        <f>SUM(L5567:L5570)</f>
        <v>32075</v>
      </c>
    </row>
    <row r="5572" spans="5:13" ht="15" customHeight="1">
      <c r="F5572" s="300" t="s">
        <v>179</v>
      </c>
      <c r="G5572" s="301" t="s">
        <v>180</v>
      </c>
      <c r="H5572" s="302"/>
      <c r="I5572" s="302"/>
      <c r="J5572" s="351"/>
      <c r="K5572" s="328"/>
      <c r="L5572" s="310"/>
    </row>
    <row r="5573" spans="5:13" ht="15" customHeight="1">
      <c r="F5573" s="306"/>
      <c r="G5573" s="301" t="s">
        <v>1044</v>
      </c>
      <c r="H5573" s="302"/>
      <c r="I5573" s="307" t="s">
        <v>202</v>
      </c>
      <c r="J5573" s="308">
        <v>2.0499999999999998</v>
      </c>
      <c r="K5573" s="328">
        <f>VLOOKUP(G5573,Bahan,6,FALSE)</f>
        <v>19520</v>
      </c>
      <c r="L5573" s="310">
        <f>J5573*K5573</f>
        <v>40016</v>
      </c>
    </row>
    <row r="5574" spans="5:13" ht="15" customHeight="1" thickBot="1">
      <c r="F5574" s="306"/>
      <c r="G5574" s="301" t="s">
        <v>586</v>
      </c>
      <c r="H5574" s="302"/>
      <c r="I5574" s="307" t="s">
        <v>221</v>
      </c>
      <c r="J5574" s="308">
        <v>6</v>
      </c>
      <c r="K5574" s="328">
        <f>VLOOKUP(G5574,Bahan,6,FALSE)</f>
        <v>840</v>
      </c>
      <c r="L5574" s="310">
        <f>J5574*K5574</f>
        <v>5040</v>
      </c>
    </row>
    <row r="5575" spans="5:13" ht="15" customHeight="1" thickBot="1">
      <c r="F5575" s="316"/>
      <c r="G5575" s="317"/>
      <c r="H5575" s="318"/>
      <c r="I5575" s="318"/>
      <c r="J5575" s="319" t="s">
        <v>189</v>
      </c>
      <c r="K5575" s="320"/>
      <c r="L5575" s="321">
        <f>SUM(L5573:L5574)</f>
        <v>45056</v>
      </c>
    </row>
    <row r="5576" spans="5:13" ht="15" customHeight="1" thickBot="1">
      <c r="F5576" s="300" t="s">
        <v>190</v>
      </c>
      <c r="G5576" s="301" t="s">
        <v>191</v>
      </c>
      <c r="H5576" s="302"/>
      <c r="I5576" s="302"/>
      <c r="J5576" s="351"/>
      <c r="K5576" s="328">
        <v>0</v>
      </c>
      <c r="L5576" s="310">
        <f>J5576*K5576</f>
        <v>0</v>
      </c>
    </row>
    <row r="5577" spans="5:13" ht="15" customHeight="1" thickBot="1">
      <c r="F5577" s="316"/>
      <c r="G5577" s="317"/>
      <c r="H5577" s="318"/>
      <c r="I5577" s="318"/>
      <c r="J5577" s="319" t="s">
        <v>192</v>
      </c>
      <c r="K5577" s="320"/>
      <c r="L5577" s="321">
        <f>L5576</f>
        <v>0</v>
      </c>
    </row>
    <row r="5578" spans="5:13" ht="15" customHeight="1">
      <c r="F5578" s="344" t="s">
        <v>193</v>
      </c>
      <c r="G5578" s="345" t="s">
        <v>194</v>
      </c>
      <c r="H5578" s="346"/>
      <c r="I5578" s="346"/>
      <c r="J5578" s="347"/>
      <c r="K5578" s="348">
        <v>0</v>
      </c>
      <c r="L5578" s="310">
        <f>SUM(L5567:L5577)/2</f>
        <v>77131</v>
      </c>
    </row>
    <row r="5579" spans="5:13" ht="15" customHeight="1" thickBot="1">
      <c r="F5579" s="331" t="s">
        <v>195</v>
      </c>
      <c r="G5579" s="332" t="s">
        <v>196</v>
      </c>
      <c r="H5579" s="333"/>
      <c r="I5579" s="333"/>
      <c r="J5579" s="350">
        <v>0.1</v>
      </c>
      <c r="K5579" s="335"/>
      <c r="L5579" s="330">
        <f>J5579*L5578</f>
        <v>7713.1</v>
      </c>
    </row>
    <row r="5580" spans="5:13" ht="15" customHeight="1" thickBot="1">
      <c r="F5580" s="340" t="s">
        <v>197</v>
      </c>
      <c r="G5580" s="341" t="s">
        <v>198</v>
      </c>
      <c r="H5580" s="318"/>
      <c r="I5580" s="318"/>
      <c r="J5580" s="342"/>
      <c r="K5580" s="320">
        <v>0</v>
      </c>
      <c r="L5580" s="321">
        <f>ROUNDDOWN(L5578+L5579,0)</f>
        <v>84844</v>
      </c>
    </row>
    <row r="5581" spans="5:13" ht="15" customHeight="1">
      <c r="F5581" s="298"/>
      <c r="G5581" s="298"/>
      <c r="J5581" s="343"/>
    </row>
    <row r="5582" spans="5:13" ht="15" customHeight="1" thickBot="1">
      <c r="E5582" s="356" t="s">
        <v>1049</v>
      </c>
      <c r="F5582" s="295" t="s">
        <v>1050</v>
      </c>
      <c r="J5582" s="343"/>
      <c r="M5582" s="299">
        <f>L5598</f>
        <v>102180</v>
      </c>
    </row>
    <row r="5583" spans="5:13" ht="15" customHeight="1" thickBot="1">
      <c r="F5583" s="340" t="s">
        <v>136</v>
      </c>
      <c r="G5583" s="341" t="s">
        <v>162</v>
      </c>
      <c r="H5583" s="352" t="s">
        <v>163</v>
      </c>
      <c r="I5583" s="352" t="s">
        <v>138</v>
      </c>
      <c r="J5583" s="353" t="s">
        <v>164</v>
      </c>
      <c r="K5583" s="341" t="s">
        <v>165</v>
      </c>
      <c r="L5583" s="354" t="s">
        <v>166</v>
      </c>
    </row>
    <row r="5584" spans="5:13" ht="15" customHeight="1">
      <c r="F5584" s="300" t="s">
        <v>167</v>
      </c>
      <c r="G5584" s="301" t="s">
        <v>168</v>
      </c>
      <c r="H5584" s="302"/>
      <c r="I5584" s="302"/>
      <c r="J5584" s="351"/>
      <c r="K5584" s="328"/>
      <c r="L5584" s="310"/>
    </row>
    <row r="5585" spans="5:13" ht="15" customHeight="1">
      <c r="F5585" s="306"/>
      <c r="G5585" s="301" t="s">
        <v>169</v>
      </c>
      <c r="H5585" s="307" t="s">
        <v>170</v>
      </c>
      <c r="I5585" s="307" t="s">
        <v>171</v>
      </c>
      <c r="J5585" s="308">
        <v>8.4000000000000005E-2</v>
      </c>
      <c r="K5585" s="309">
        <f>VLOOKUP(G5585,Upah,8,FALSE)</f>
        <v>125000</v>
      </c>
      <c r="L5585" s="310">
        <f>J5585*K5585</f>
        <v>10500</v>
      </c>
    </row>
    <row r="5586" spans="5:13" ht="15" customHeight="1">
      <c r="F5586" s="306"/>
      <c r="G5586" s="301" t="s">
        <v>172</v>
      </c>
      <c r="H5586" s="307" t="s">
        <v>173</v>
      </c>
      <c r="I5586" s="307" t="s">
        <v>171</v>
      </c>
      <c r="J5586" s="308">
        <v>0.125</v>
      </c>
      <c r="K5586" s="309">
        <f>VLOOKUP(G5586,Upah,8,FALSE)</f>
        <v>150000</v>
      </c>
      <c r="L5586" s="310">
        <f>J5586*K5586</f>
        <v>18750</v>
      </c>
    </row>
    <row r="5587" spans="5:13" ht="15" customHeight="1">
      <c r="F5587" s="306"/>
      <c r="G5587" s="301" t="s">
        <v>232</v>
      </c>
      <c r="H5587" s="307" t="s">
        <v>175</v>
      </c>
      <c r="I5587" s="307" t="s">
        <v>171</v>
      </c>
      <c r="J5587" s="308">
        <v>1.2999999999999999E-2</v>
      </c>
      <c r="K5587" s="309">
        <f>VLOOKUP(G5587,Upah,8,FALSE)</f>
        <v>165000</v>
      </c>
      <c r="L5587" s="310">
        <f>J5587*K5587</f>
        <v>2145</v>
      </c>
    </row>
    <row r="5588" spans="5:13" ht="15" customHeight="1" thickBot="1">
      <c r="F5588" s="306"/>
      <c r="G5588" s="301" t="s">
        <v>176</v>
      </c>
      <c r="H5588" s="307" t="s">
        <v>177</v>
      </c>
      <c r="I5588" s="307" t="s">
        <v>171</v>
      </c>
      <c r="J5588" s="308">
        <v>4.0000000000000001E-3</v>
      </c>
      <c r="K5588" s="309">
        <f>VLOOKUP(G5588,Upah,8,FALSE)</f>
        <v>170000</v>
      </c>
      <c r="L5588" s="310">
        <f>J5588*K5588</f>
        <v>680</v>
      </c>
    </row>
    <row r="5589" spans="5:13" ht="15" customHeight="1" thickBot="1">
      <c r="F5589" s="316"/>
      <c r="G5589" s="317"/>
      <c r="H5589" s="318"/>
      <c r="I5589" s="318"/>
      <c r="J5589" s="319" t="s">
        <v>178</v>
      </c>
      <c r="K5589" s="320"/>
      <c r="L5589" s="321">
        <f>SUM(L5585:L5588)</f>
        <v>32075</v>
      </c>
    </row>
    <row r="5590" spans="5:13" ht="15" customHeight="1">
      <c r="F5590" s="300" t="s">
        <v>179</v>
      </c>
      <c r="G5590" s="301" t="s">
        <v>180</v>
      </c>
      <c r="H5590" s="302"/>
      <c r="I5590" s="302"/>
      <c r="J5590" s="351"/>
      <c r="K5590" s="328"/>
      <c r="L5590" s="310"/>
    </row>
    <row r="5591" spans="5:13" ht="15" customHeight="1">
      <c r="F5591" s="306"/>
      <c r="G5591" s="301" t="s">
        <v>1051</v>
      </c>
      <c r="H5591" s="302"/>
      <c r="I5591" s="307" t="s">
        <v>202</v>
      </c>
      <c r="J5591" s="308">
        <v>1.2</v>
      </c>
      <c r="K5591" s="328">
        <f>VLOOKUP(G5591,Bahan,6,FALSE)</f>
        <v>46480</v>
      </c>
      <c r="L5591" s="310">
        <f>J5591*K5591</f>
        <v>55776</v>
      </c>
    </row>
    <row r="5592" spans="5:13" ht="15" customHeight="1" thickBot="1">
      <c r="F5592" s="306"/>
      <c r="G5592" s="301" t="s">
        <v>586</v>
      </c>
      <c r="H5592" s="302"/>
      <c r="I5592" s="307" t="s">
        <v>221</v>
      </c>
      <c r="J5592" s="308">
        <v>6</v>
      </c>
      <c r="K5592" s="328">
        <f>VLOOKUP(G5592,Bahan,6,FALSE)</f>
        <v>840</v>
      </c>
      <c r="L5592" s="310">
        <f>J5592*K5592</f>
        <v>5040</v>
      </c>
    </row>
    <row r="5593" spans="5:13" ht="15" customHeight="1" thickBot="1">
      <c r="F5593" s="316"/>
      <c r="G5593" s="317"/>
      <c r="H5593" s="318"/>
      <c r="I5593" s="318"/>
      <c r="J5593" s="319" t="s">
        <v>189</v>
      </c>
      <c r="K5593" s="320"/>
      <c r="L5593" s="321">
        <f>SUM(L5591:L5592)</f>
        <v>60816</v>
      </c>
    </row>
    <row r="5594" spans="5:13" ht="15" customHeight="1" thickBot="1">
      <c r="F5594" s="300" t="s">
        <v>190</v>
      </c>
      <c r="G5594" s="301" t="s">
        <v>191</v>
      </c>
      <c r="H5594" s="302"/>
      <c r="I5594" s="302"/>
      <c r="J5594" s="351"/>
      <c r="K5594" s="328">
        <v>0</v>
      </c>
      <c r="L5594" s="310">
        <f>J5594*K5594</f>
        <v>0</v>
      </c>
    </row>
    <row r="5595" spans="5:13" ht="15" customHeight="1" thickBot="1">
      <c r="F5595" s="316"/>
      <c r="G5595" s="317"/>
      <c r="H5595" s="318"/>
      <c r="I5595" s="318"/>
      <c r="J5595" s="319" t="s">
        <v>192</v>
      </c>
      <c r="K5595" s="320"/>
      <c r="L5595" s="321">
        <f>L5594</f>
        <v>0</v>
      </c>
    </row>
    <row r="5596" spans="5:13" ht="15" customHeight="1">
      <c r="F5596" s="344" t="s">
        <v>193</v>
      </c>
      <c r="G5596" s="345" t="s">
        <v>194</v>
      </c>
      <c r="H5596" s="346"/>
      <c r="I5596" s="346"/>
      <c r="J5596" s="347"/>
      <c r="K5596" s="348">
        <v>0</v>
      </c>
      <c r="L5596" s="310">
        <f>SUM(L5585:L5595)/2</f>
        <v>92891</v>
      </c>
    </row>
    <row r="5597" spans="5:13" ht="15" customHeight="1" thickBot="1">
      <c r="F5597" s="331" t="s">
        <v>195</v>
      </c>
      <c r="G5597" s="332" t="s">
        <v>196</v>
      </c>
      <c r="H5597" s="333"/>
      <c r="I5597" s="333"/>
      <c r="J5597" s="350">
        <v>0.1</v>
      </c>
      <c r="K5597" s="335"/>
      <c r="L5597" s="330">
        <f>J5597*L5596</f>
        <v>9289.1</v>
      </c>
    </row>
    <row r="5598" spans="5:13" ht="15" customHeight="1" thickBot="1">
      <c r="F5598" s="340" t="s">
        <v>197</v>
      </c>
      <c r="G5598" s="341" t="s">
        <v>198</v>
      </c>
      <c r="H5598" s="318"/>
      <c r="I5598" s="318"/>
      <c r="J5598" s="342"/>
      <c r="K5598" s="320">
        <v>0</v>
      </c>
      <c r="L5598" s="321">
        <f>ROUNDDOWN(L5596+L5597,0)</f>
        <v>102180</v>
      </c>
    </row>
    <row r="5599" spans="5:13" ht="15" customHeight="1">
      <c r="F5599" s="298"/>
      <c r="G5599" s="298"/>
      <c r="J5599" s="343"/>
    </row>
    <row r="5600" spans="5:13" ht="15" customHeight="1" thickBot="1">
      <c r="E5600" s="356" t="s">
        <v>1052</v>
      </c>
      <c r="F5600" s="295" t="s">
        <v>1053</v>
      </c>
      <c r="J5600" s="343"/>
      <c r="M5600" s="299">
        <f>L5616</f>
        <v>102180</v>
      </c>
    </row>
    <row r="5601" spans="6:12" ht="15" customHeight="1" thickBot="1">
      <c r="F5601" s="340" t="s">
        <v>136</v>
      </c>
      <c r="G5601" s="341" t="s">
        <v>162</v>
      </c>
      <c r="H5601" s="352" t="s">
        <v>163</v>
      </c>
      <c r="I5601" s="352" t="s">
        <v>138</v>
      </c>
      <c r="J5601" s="353" t="s">
        <v>164</v>
      </c>
      <c r="K5601" s="341" t="s">
        <v>165</v>
      </c>
      <c r="L5601" s="354" t="s">
        <v>166</v>
      </c>
    </row>
    <row r="5602" spans="6:12" ht="15" customHeight="1">
      <c r="F5602" s="300" t="s">
        <v>167</v>
      </c>
      <c r="G5602" s="301" t="s">
        <v>168</v>
      </c>
      <c r="H5602" s="302"/>
      <c r="I5602" s="302"/>
      <c r="J5602" s="351"/>
      <c r="K5602" s="328"/>
      <c r="L5602" s="310"/>
    </row>
    <row r="5603" spans="6:12" ht="15" customHeight="1">
      <c r="F5603" s="306"/>
      <c r="G5603" s="301" t="s">
        <v>169</v>
      </c>
      <c r="H5603" s="307" t="s">
        <v>170</v>
      </c>
      <c r="I5603" s="307" t="s">
        <v>171</v>
      </c>
      <c r="J5603" s="308">
        <v>8.4000000000000005E-2</v>
      </c>
      <c r="K5603" s="309">
        <f>VLOOKUP(G5603,Upah,8,FALSE)</f>
        <v>125000</v>
      </c>
      <c r="L5603" s="310">
        <f>J5603*K5603</f>
        <v>10500</v>
      </c>
    </row>
    <row r="5604" spans="6:12" ht="15" customHeight="1">
      <c r="F5604" s="306"/>
      <c r="G5604" s="301" t="s">
        <v>172</v>
      </c>
      <c r="H5604" s="307" t="s">
        <v>173</v>
      </c>
      <c r="I5604" s="307" t="s">
        <v>171</v>
      </c>
      <c r="J5604" s="308">
        <v>0.125</v>
      </c>
      <c r="K5604" s="309">
        <f>VLOOKUP(G5604,Upah,8,FALSE)</f>
        <v>150000</v>
      </c>
      <c r="L5604" s="310">
        <f>J5604*K5604</f>
        <v>18750</v>
      </c>
    </row>
    <row r="5605" spans="6:12" ht="15" customHeight="1">
      <c r="F5605" s="306"/>
      <c r="G5605" s="301" t="s">
        <v>232</v>
      </c>
      <c r="H5605" s="307" t="s">
        <v>175</v>
      </c>
      <c r="I5605" s="307" t="s">
        <v>171</v>
      </c>
      <c r="J5605" s="308">
        <v>1.2999999999999999E-2</v>
      </c>
      <c r="K5605" s="309">
        <f>VLOOKUP(G5605,Upah,8,FALSE)</f>
        <v>165000</v>
      </c>
      <c r="L5605" s="310">
        <f>J5605*K5605</f>
        <v>2145</v>
      </c>
    </row>
    <row r="5606" spans="6:12" ht="15" customHeight="1" thickBot="1">
      <c r="F5606" s="306"/>
      <c r="G5606" s="301" t="s">
        <v>176</v>
      </c>
      <c r="H5606" s="307" t="s">
        <v>177</v>
      </c>
      <c r="I5606" s="307" t="s">
        <v>171</v>
      </c>
      <c r="J5606" s="308">
        <v>4.0000000000000001E-3</v>
      </c>
      <c r="K5606" s="309">
        <f>VLOOKUP(G5606,Upah,8,FALSE)</f>
        <v>170000</v>
      </c>
      <c r="L5606" s="310">
        <f>J5606*K5606</f>
        <v>680</v>
      </c>
    </row>
    <row r="5607" spans="6:12" ht="15" customHeight="1" thickBot="1">
      <c r="F5607" s="316"/>
      <c r="G5607" s="317"/>
      <c r="H5607" s="318"/>
      <c r="I5607" s="318"/>
      <c r="J5607" s="319" t="s">
        <v>178</v>
      </c>
      <c r="K5607" s="320"/>
      <c r="L5607" s="321">
        <f>SUM(L5603:L5606)</f>
        <v>32075</v>
      </c>
    </row>
    <row r="5608" spans="6:12" ht="15" customHeight="1">
      <c r="F5608" s="300" t="s">
        <v>179</v>
      </c>
      <c r="G5608" s="301" t="s">
        <v>180</v>
      </c>
      <c r="H5608" s="302"/>
      <c r="I5608" s="302"/>
      <c r="J5608" s="351"/>
      <c r="K5608" s="328"/>
      <c r="L5608" s="310"/>
    </row>
    <row r="5609" spans="6:12" ht="15" customHeight="1">
      <c r="F5609" s="306"/>
      <c r="G5609" s="301" t="s">
        <v>1051</v>
      </c>
      <c r="H5609" s="302"/>
      <c r="I5609" s="307" t="s">
        <v>202</v>
      </c>
      <c r="J5609" s="308">
        <v>1.2</v>
      </c>
      <c r="K5609" s="328">
        <f>VLOOKUP(G5609,Bahan,6,FALSE)</f>
        <v>46480</v>
      </c>
      <c r="L5609" s="310">
        <f>J5609*K5609</f>
        <v>55776</v>
      </c>
    </row>
    <row r="5610" spans="6:12" ht="15" customHeight="1" thickBot="1">
      <c r="F5610" s="306"/>
      <c r="G5610" s="301" t="s">
        <v>586</v>
      </c>
      <c r="H5610" s="302"/>
      <c r="I5610" s="307" t="s">
        <v>221</v>
      </c>
      <c r="J5610" s="308">
        <v>6</v>
      </c>
      <c r="K5610" s="328">
        <f>VLOOKUP(G5610,Bahan,6,FALSE)</f>
        <v>840</v>
      </c>
      <c r="L5610" s="310">
        <f>J5610*K5610</f>
        <v>5040</v>
      </c>
    </row>
    <row r="5611" spans="6:12" ht="15" customHeight="1" thickBot="1">
      <c r="F5611" s="316"/>
      <c r="G5611" s="317"/>
      <c r="H5611" s="318"/>
      <c r="I5611" s="318"/>
      <c r="J5611" s="319" t="s">
        <v>189</v>
      </c>
      <c r="K5611" s="320"/>
      <c r="L5611" s="321">
        <f>SUM(L5609:L5610)</f>
        <v>60816</v>
      </c>
    </row>
    <row r="5612" spans="6:12" ht="15" customHeight="1" thickBot="1">
      <c r="F5612" s="300" t="s">
        <v>190</v>
      </c>
      <c r="G5612" s="301" t="s">
        <v>191</v>
      </c>
      <c r="H5612" s="302"/>
      <c r="I5612" s="302"/>
      <c r="J5612" s="351"/>
      <c r="K5612" s="328">
        <v>0</v>
      </c>
      <c r="L5612" s="310">
        <f>J5612*K5612</f>
        <v>0</v>
      </c>
    </row>
    <row r="5613" spans="6:12" ht="15" customHeight="1" thickBot="1">
      <c r="F5613" s="316"/>
      <c r="G5613" s="317"/>
      <c r="H5613" s="318"/>
      <c r="I5613" s="318"/>
      <c r="J5613" s="319" t="s">
        <v>192</v>
      </c>
      <c r="K5613" s="320"/>
      <c r="L5613" s="321">
        <f>L5612</f>
        <v>0</v>
      </c>
    </row>
    <row r="5614" spans="6:12" ht="15" customHeight="1">
      <c r="F5614" s="344" t="s">
        <v>193</v>
      </c>
      <c r="G5614" s="345" t="s">
        <v>194</v>
      </c>
      <c r="H5614" s="346"/>
      <c r="I5614" s="346"/>
      <c r="J5614" s="347"/>
      <c r="K5614" s="348">
        <v>0</v>
      </c>
      <c r="L5614" s="310">
        <f>SUM(L5603:L5613)/2</f>
        <v>92891</v>
      </c>
    </row>
    <row r="5615" spans="6:12" ht="15" customHeight="1" thickBot="1">
      <c r="F5615" s="331" t="s">
        <v>195</v>
      </c>
      <c r="G5615" s="332" t="s">
        <v>196</v>
      </c>
      <c r="H5615" s="333"/>
      <c r="I5615" s="333"/>
      <c r="J5615" s="350">
        <v>0.1</v>
      </c>
      <c r="K5615" s="335"/>
      <c r="L5615" s="330">
        <f>J5615*L5614</f>
        <v>9289.1</v>
      </c>
    </row>
    <row r="5616" spans="6:12" ht="15" customHeight="1" thickBot="1">
      <c r="F5616" s="340" t="s">
        <v>197</v>
      </c>
      <c r="G5616" s="341" t="s">
        <v>198</v>
      </c>
      <c r="H5616" s="318"/>
      <c r="I5616" s="318"/>
      <c r="J5616" s="342"/>
      <c r="K5616" s="320">
        <v>0</v>
      </c>
      <c r="L5616" s="321">
        <f>ROUNDDOWN(L5614+L5615,0)</f>
        <v>102180</v>
      </c>
    </row>
    <row r="5617" spans="5:13" ht="15" customHeight="1">
      <c r="F5617" s="298"/>
      <c r="G5617" s="298"/>
      <c r="J5617" s="343"/>
    </row>
    <row r="5618" spans="5:13" ht="15" customHeight="1" thickBot="1">
      <c r="E5618" s="356" t="s">
        <v>1054</v>
      </c>
      <c r="F5618" s="295" t="s">
        <v>1055</v>
      </c>
      <c r="J5618" s="343"/>
      <c r="M5618" s="299">
        <f>L5634</f>
        <v>102180</v>
      </c>
    </row>
    <row r="5619" spans="5:13" ht="15" customHeight="1" thickBot="1">
      <c r="F5619" s="340" t="s">
        <v>136</v>
      </c>
      <c r="G5619" s="341" t="s">
        <v>162</v>
      </c>
      <c r="H5619" s="352" t="s">
        <v>163</v>
      </c>
      <c r="I5619" s="352" t="s">
        <v>138</v>
      </c>
      <c r="J5619" s="353" t="s">
        <v>164</v>
      </c>
      <c r="K5619" s="341" t="s">
        <v>165</v>
      </c>
      <c r="L5619" s="354" t="s">
        <v>166</v>
      </c>
    </row>
    <row r="5620" spans="5:13" ht="15" customHeight="1">
      <c r="F5620" s="300" t="s">
        <v>167</v>
      </c>
      <c r="G5620" s="301" t="s">
        <v>168</v>
      </c>
      <c r="H5620" s="302"/>
      <c r="I5620" s="302"/>
      <c r="J5620" s="351"/>
      <c r="K5620" s="328"/>
      <c r="L5620" s="310"/>
    </row>
    <row r="5621" spans="5:13" ht="15" customHeight="1">
      <c r="F5621" s="306"/>
      <c r="G5621" s="301" t="s">
        <v>169</v>
      </c>
      <c r="H5621" s="307" t="s">
        <v>170</v>
      </c>
      <c r="I5621" s="307" t="s">
        <v>171</v>
      </c>
      <c r="J5621" s="308">
        <v>8.4000000000000005E-2</v>
      </c>
      <c r="K5621" s="309">
        <f>VLOOKUP(G5621,Upah,8,FALSE)</f>
        <v>125000</v>
      </c>
      <c r="L5621" s="310">
        <f>J5621*K5621</f>
        <v>10500</v>
      </c>
    </row>
    <row r="5622" spans="5:13" ht="15" customHeight="1">
      <c r="F5622" s="306"/>
      <c r="G5622" s="301" t="s">
        <v>172</v>
      </c>
      <c r="H5622" s="307" t="s">
        <v>173</v>
      </c>
      <c r="I5622" s="307" t="s">
        <v>171</v>
      </c>
      <c r="J5622" s="308">
        <v>0.125</v>
      </c>
      <c r="K5622" s="309">
        <f>VLOOKUP(G5622,Upah,8,FALSE)</f>
        <v>150000</v>
      </c>
      <c r="L5622" s="310">
        <f>J5622*K5622</f>
        <v>18750</v>
      </c>
    </row>
    <row r="5623" spans="5:13" ht="15" customHeight="1">
      <c r="F5623" s="306"/>
      <c r="G5623" s="301" t="s">
        <v>232</v>
      </c>
      <c r="H5623" s="307" t="s">
        <v>175</v>
      </c>
      <c r="I5623" s="307" t="s">
        <v>171</v>
      </c>
      <c r="J5623" s="308">
        <v>1.2999999999999999E-2</v>
      </c>
      <c r="K5623" s="309">
        <f>VLOOKUP(G5623,Upah,8,FALSE)</f>
        <v>165000</v>
      </c>
      <c r="L5623" s="310">
        <f>J5623*K5623</f>
        <v>2145</v>
      </c>
    </row>
    <row r="5624" spans="5:13" ht="15" customHeight="1" thickBot="1">
      <c r="F5624" s="306"/>
      <c r="G5624" s="301" t="s">
        <v>176</v>
      </c>
      <c r="H5624" s="307" t="s">
        <v>177</v>
      </c>
      <c r="I5624" s="307" t="s">
        <v>171</v>
      </c>
      <c r="J5624" s="308">
        <v>4.0000000000000001E-3</v>
      </c>
      <c r="K5624" s="309">
        <f>VLOOKUP(G5624,Upah,8,FALSE)</f>
        <v>170000</v>
      </c>
      <c r="L5624" s="310">
        <f>J5624*K5624</f>
        <v>680</v>
      </c>
    </row>
    <row r="5625" spans="5:13" ht="15" customHeight="1" thickBot="1">
      <c r="F5625" s="316"/>
      <c r="G5625" s="317"/>
      <c r="H5625" s="318"/>
      <c r="I5625" s="318"/>
      <c r="J5625" s="319" t="s">
        <v>178</v>
      </c>
      <c r="K5625" s="320"/>
      <c r="L5625" s="321">
        <f>SUM(L5621:L5624)</f>
        <v>32075</v>
      </c>
    </row>
    <row r="5626" spans="5:13" ht="15" customHeight="1">
      <c r="F5626" s="300" t="s">
        <v>179</v>
      </c>
      <c r="G5626" s="301" t="s">
        <v>180</v>
      </c>
      <c r="H5626" s="302"/>
      <c r="I5626" s="302"/>
      <c r="J5626" s="351"/>
      <c r="K5626" s="328"/>
      <c r="L5626" s="310"/>
    </row>
    <row r="5627" spans="5:13" ht="15" customHeight="1">
      <c r="F5627" s="306"/>
      <c r="G5627" s="301" t="s">
        <v>1051</v>
      </c>
      <c r="H5627" s="302"/>
      <c r="I5627" s="307" t="s">
        <v>202</v>
      </c>
      <c r="J5627" s="308">
        <v>1.2</v>
      </c>
      <c r="K5627" s="328">
        <f>VLOOKUP(G5627,Bahan,6,FALSE)</f>
        <v>46480</v>
      </c>
      <c r="L5627" s="310">
        <f>J5627*K5627</f>
        <v>55776</v>
      </c>
    </row>
    <row r="5628" spans="5:13" ht="15" customHeight="1" thickBot="1">
      <c r="F5628" s="306"/>
      <c r="G5628" s="301" t="s">
        <v>586</v>
      </c>
      <c r="H5628" s="302"/>
      <c r="I5628" s="307" t="s">
        <v>221</v>
      </c>
      <c r="J5628" s="308">
        <v>6</v>
      </c>
      <c r="K5628" s="328">
        <f>VLOOKUP(G5628,Bahan,6,FALSE)</f>
        <v>840</v>
      </c>
      <c r="L5628" s="310">
        <f>J5628*K5628</f>
        <v>5040</v>
      </c>
    </row>
    <row r="5629" spans="5:13" ht="15" customHeight="1" thickBot="1">
      <c r="F5629" s="316"/>
      <c r="G5629" s="317"/>
      <c r="H5629" s="318"/>
      <c r="I5629" s="318"/>
      <c r="J5629" s="319" t="s">
        <v>189</v>
      </c>
      <c r="K5629" s="320"/>
      <c r="L5629" s="321">
        <f>SUM(L5627:L5628)</f>
        <v>60816</v>
      </c>
    </row>
    <row r="5630" spans="5:13" ht="15" customHeight="1" thickBot="1">
      <c r="F5630" s="300" t="s">
        <v>190</v>
      </c>
      <c r="G5630" s="301" t="s">
        <v>191</v>
      </c>
      <c r="H5630" s="302"/>
      <c r="I5630" s="302"/>
      <c r="J5630" s="351"/>
      <c r="K5630" s="328">
        <v>0</v>
      </c>
      <c r="L5630" s="310">
        <f>J5630*K5630</f>
        <v>0</v>
      </c>
    </row>
    <row r="5631" spans="5:13" ht="15" customHeight="1" thickBot="1">
      <c r="F5631" s="316"/>
      <c r="G5631" s="317"/>
      <c r="H5631" s="318"/>
      <c r="I5631" s="318"/>
      <c r="J5631" s="319" t="s">
        <v>192</v>
      </c>
      <c r="K5631" s="320"/>
      <c r="L5631" s="321">
        <f>L5630</f>
        <v>0</v>
      </c>
    </row>
    <row r="5632" spans="5:13" ht="15" customHeight="1">
      <c r="F5632" s="344" t="s">
        <v>193</v>
      </c>
      <c r="G5632" s="345" t="s">
        <v>194</v>
      </c>
      <c r="H5632" s="346"/>
      <c r="I5632" s="346"/>
      <c r="J5632" s="347"/>
      <c r="K5632" s="348">
        <v>0</v>
      </c>
      <c r="L5632" s="310">
        <f>SUM(L5621:L5631)/2</f>
        <v>92891</v>
      </c>
    </row>
    <row r="5633" spans="5:13" ht="15" customHeight="1" thickBot="1">
      <c r="F5633" s="331" t="s">
        <v>195</v>
      </c>
      <c r="G5633" s="332" t="s">
        <v>196</v>
      </c>
      <c r="H5633" s="333"/>
      <c r="I5633" s="333"/>
      <c r="J5633" s="350">
        <v>0.1</v>
      </c>
      <c r="K5633" s="335"/>
      <c r="L5633" s="330">
        <f>J5633*L5632</f>
        <v>9289.1</v>
      </c>
    </row>
    <row r="5634" spans="5:13" ht="15" customHeight="1" thickBot="1">
      <c r="F5634" s="340" t="s">
        <v>197</v>
      </c>
      <c r="G5634" s="341" t="s">
        <v>198</v>
      </c>
      <c r="H5634" s="318"/>
      <c r="I5634" s="318"/>
      <c r="J5634" s="342"/>
      <c r="K5634" s="320">
        <v>0</v>
      </c>
      <c r="L5634" s="321">
        <f>ROUNDDOWN(L5632+L5633,0)</f>
        <v>102180</v>
      </c>
    </row>
    <row r="5635" spans="5:13" ht="15" customHeight="1">
      <c r="F5635" s="298"/>
      <c r="G5635" s="298"/>
      <c r="J5635" s="343"/>
    </row>
    <row r="5636" spans="5:13" ht="15" customHeight="1" thickBot="1">
      <c r="E5636" s="356" t="s">
        <v>1056</v>
      </c>
      <c r="F5636" s="295" t="s">
        <v>1057</v>
      </c>
      <c r="J5636" s="343"/>
      <c r="M5636" s="299">
        <f>L5652</f>
        <v>103392</v>
      </c>
    </row>
    <row r="5637" spans="5:13" ht="15" customHeight="1" thickBot="1">
      <c r="F5637" s="340" t="s">
        <v>136</v>
      </c>
      <c r="G5637" s="341" t="s">
        <v>162</v>
      </c>
      <c r="H5637" s="352" t="s">
        <v>163</v>
      </c>
      <c r="I5637" s="352" t="s">
        <v>138</v>
      </c>
      <c r="J5637" s="353" t="s">
        <v>164</v>
      </c>
      <c r="K5637" s="341" t="s">
        <v>165</v>
      </c>
      <c r="L5637" s="354" t="s">
        <v>166</v>
      </c>
    </row>
    <row r="5638" spans="5:13" ht="15" customHeight="1">
      <c r="F5638" s="300" t="s">
        <v>167</v>
      </c>
      <c r="G5638" s="301" t="s">
        <v>168</v>
      </c>
      <c r="H5638" s="302"/>
      <c r="I5638" s="302"/>
      <c r="J5638" s="351"/>
      <c r="K5638" s="328"/>
      <c r="L5638" s="310"/>
    </row>
    <row r="5639" spans="5:13" ht="15" customHeight="1">
      <c r="F5639" s="306"/>
      <c r="G5639" s="301" t="s">
        <v>169</v>
      </c>
      <c r="H5639" s="307" t="s">
        <v>170</v>
      </c>
      <c r="I5639" s="307" t="s">
        <v>171</v>
      </c>
      <c r="J5639" s="308">
        <v>0.1</v>
      </c>
      <c r="K5639" s="309">
        <f>VLOOKUP(G5639,Upah,8,FALSE)</f>
        <v>125000</v>
      </c>
      <c r="L5639" s="310">
        <f>J5639*K5639</f>
        <v>12500</v>
      </c>
    </row>
    <row r="5640" spans="5:13" ht="15" customHeight="1">
      <c r="F5640" s="306"/>
      <c r="G5640" s="301" t="s">
        <v>172</v>
      </c>
      <c r="H5640" s="307" t="s">
        <v>173</v>
      </c>
      <c r="I5640" s="307" t="s">
        <v>171</v>
      </c>
      <c r="J5640" s="308">
        <v>0.15</v>
      </c>
      <c r="K5640" s="309">
        <f>VLOOKUP(G5640,Upah,8,FALSE)</f>
        <v>150000</v>
      </c>
      <c r="L5640" s="310">
        <f>J5640*K5640</f>
        <v>22500</v>
      </c>
    </row>
    <row r="5641" spans="5:13" ht="15" customHeight="1">
      <c r="F5641" s="306"/>
      <c r="G5641" s="301" t="s">
        <v>232</v>
      </c>
      <c r="H5641" s="307" t="s">
        <v>175</v>
      </c>
      <c r="I5641" s="307" t="s">
        <v>171</v>
      </c>
      <c r="J5641" s="308">
        <v>1.2999999999999999E-2</v>
      </c>
      <c r="K5641" s="309">
        <f>VLOOKUP(G5641,Upah,8,FALSE)</f>
        <v>165000</v>
      </c>
      <c r="L5641" s="310">
        <f>J5641*K5641</f>
        <v>2145</v>
      </c>
    </row>
    <row r="5642" spans="5:13" ht="15" customHeight="1" thickBot="1">
      <c r="F5642" s="306"/>
      <c r="G5642" s="301" t="s">
        <v>176</v>
      </c>
      <c r="H5642" s="307" t="s">
        <v>177</v>
      </c>
      <c r="I5642" s="307" t="s">
        <v>171</v>
      </c>
      <c r="J5642" s="308">
        <v>4.0000000000000001E-3</v>
      </c>
      <c r="K5642" s="309">
        <f>VLOOKUP(G5642,Upah,8,FALSE)</f>
        <v>170000</v>
      </c>
      <c r="L5642" s="310">
        <f>J5642*K5642</f>
        <v>680</v>
      </c>
    </row>
    <row r="5643" spans="5:13" ht="15" customHeight="1" thickBot="1">
      <c r="F5643" s="316"/>
      <c r="G5643" s="317"/>
      <c r="H5643" s="318"/>
      <c r="I5643" s="318"/>
      <c r="J5643" s="319" t="s">
        <v>178</v>
      </c>
      <c r="K5643" s="320"/>
      <c r="L5643" s="321">
        <f>SUM(L5639:L5642)</f>
        <v>37825</v>
      </c>
    </row>
    <row r="5644" spans="5:13" ht="15" customHeight="1">
      <c r="F5644" s="300" t="s">
        <v>179</v>
      </c>
      <c r="G5644" s="301" t="s">
        <v>180</v>
      </c>
      <c r="H5644" s="302"/>
      <c r="I5644" s="302"/>
      <c r="J5644" s="351"/>
      <c r="K5644" s="328"/>
      <c r="L5644" s="310"/>
    </row>
    <row r="5645" spans="5:13" ht="15" customHeight="1">
      <c r="F5645" s="306"/>
      <c r="G5645" s="301" t="s">
        <v>1051</v>
      </c>
      <c r="H5645" s="302"/>
      <c r="I5645" s="307" t="s">
        <v>202</v>
      </c>
      <c r="J5645" s="308">
        <v>1.1000000000000001</v>
      </c>
      <c r="K5645" s="328">
        <f>VLOOKUP(G5645,Bahan,6,FALSE)</f>
        <v>46480</v>
      </c>
      <c r="L5645" s="310">
        <f>J5645*K5645</f>
        <v>51128.000000000007</v>
      </c>
    </row>
    <row r="5646" spans="5:13" ht="15" customHeight="1" thickBot="1">
      <c r="F5646" s="306"/>
      <c r="G5646" s="301" t="s">
        <v>586</v>
      </c>
      <c r="H5646" s="302"/>
      <c r="I5646" s="307" t="s">
        <v>221</v>
      </c>
      <c r="J5646" s="308">
        <v>6</v>
      </c>
      <c r="K5646" s="328">
        <f>VLOOKUP(G5646,Bahan,6,FALSE)</f>
        <v>840</v>
      </c>
      <c r="L5646" s="310">
        <f>J5646*K5646</f>
        <v>5040</v>
      </c>
    </row>
    <row r="5647" spans="5:13" ht="15" customHeight="1" thickBot="1">
      <c r="F5647" s="316"/>
      <c r="G5647" s="317"/>
      <c r="H5647" s="318"/>
      <c r="I5647" s="318"/>
      <c r="J5647" s="319" t="s">
        <v>189</v>
      </c>
      <c r="K5647" s="320"/>
      <c r="L5647" s="321">
        <f>SUM(L5645:L5646)</f>
        <v>56168.000000000007</v>
      </c>
    </row>
    <row r="5648" spans="5:13" ht="15" customHeight="1" thickBot="1">
      <c r="F5648" s="300" t="s">
        <v>190</v>
      </c>
      <c r="G5648" s="301" t="s">
        <v>191</v>
      </c>
      <c r="H5648" s="302"/>
      <c r="I5648" s="302"/>
      <c r="J5648" s="351"/>
      <c r="K5648" s="328">
        <v>0</v>
      </c>
      <c r="L5648" s="310">
        <f>J5648*K5648</f>
        <v>0</v>
      </c>
    </row>
    <row r="5649" spans="5:13" ht="15" customHeight="1" thickBot="1">
      <c r="F5649" s="316"/>
      <c r="G5649" s="317"/>
      <c r="H5649" s="318"/>
      <c r="I5649" s="318"/>
      <c r="J5649" s="319" t="s">
        <v>192</v>
      </c>
      <c r="K5649" s="320"/>
      <c r="L5649" s="321">
        <f>L5648</f>
        <v>0</v>
      </c>
    </row>
    <row r="5650" spans="5:13" ht="15" customHeight="1">
      <c r="F5650" s="344" t="s">
        <v>193</v>
      </c>
      <c r="G5650" s="345" t="s">
        <v>194</v>
      </c>
      <c r="H5650" s="346"/>
      <c r="I5650" s="346"/>
      <c r="J5650" s="347"/>
      <c r="K5650" s="348">
        <v>0</v>
      </c>
      <c r="L5650" s="310">
        <f>SUM(L5639:L5649)/2</f>
        <v>93993</v>
      </c>
    </row>
    <row r="5651" spans="5:13" ht="15" customHeight="1" thickBot="1">
      <c r="F5651" s="331" t="s">
        <v>195</v>
      </c>
      <c r="G5651" s="332" t="s">
        <v>196</v>
      </c>
      <c r="H5651" s="333"/>
      <c r="I5651" s="333"/>
      <c r="J5651" s="350">
        <v>0.1</v>
      </c>
      <c r="K5651" s="335"/>
      <c r="L5651" s="330">
        <f>J5651*L5650</f>
        <v>9399.3000000000011</v>
      </c>
    </row>
    <row r="5652" spans="5:13" ht="15" customHeight="1" thickBot="1">
      <c r="F5652" s="340" t="s">
        <v>197</v>
      </c>
      <c r="G5652" s="341" t="s">
        <v>198</v>
      </c>
      <c r="H5652" s="318"/>
      <c r="I5652" s="318"/>
      <c r="J5652" s="342"/>
      <c r="K5652" s="320">
        <v>0</v>
      </c>
      <c r="L5652" s="321">
        <f>ROUNDDOWN(L5650+L5651,0)</f>
        <v>103392</v>
      </c>
    </row>
    <row r="5653" spans="5:13" ht="15" customHeight="1">
      <c r="F5653" s="298"/>
      <c r="G5653" s="298"/>
      <c r="J5653" s="343"/>
    </row>
    <row r="5654" spans="5:13" ht="15" customHeight="1" thickBot="1">
      <c r="E5654" s="356" t="s">
        <v>1058</v>
      </c>
      <c r="F5654" s="295" t="s">
        <v>1059</v>
      </c>
      <c r="J5654" s="343"/>
      <c r="M5654" s="299">
        <f>L5670</f>
        <v>97067</v>
      </c>
    </row>
    <row r="5655" spans="5:13" ht="15" customHeight="1" thickBot="1">
      <c r="F5655" s="340" t="s">
        <v>136</v>
      </c>
      <c r="G5655" s="341" t="s">
        <v>162</v>
      </c>
      <c r="H5655" s="352" t="s">
        <v>163</v>
      </c>
      <c r="I5655" s="352" t="s">
        <v>138</v>
      </c>
      <c r="J5655" s="353" t="s">
        <v>164</v>
      </c>
      <c r="K5655" s="341" t="s">
        <v>165</v>
      </c>
      <c r="L5655" s="354" t="s">
        <v>166</v>
      </c>
    </row>
    <row r="5656" spans="5:13" ht="15" customHeight="1">
      <c r="F5656" s="300" t="s">
        <v>167</v>
      </c>
      <c r="G5656" s="301" t="s">
        <v>168</v>
      </c>
      <c r="H5656" s="302"/>
      <c r="I5656" s="302"/>
      <c r="J5656" s="351"/>
      <c r="K5656" s="328"/>
      <c r="L5656" s="310"/>
    </row>
    <row r="5657" spans="5:13" ht="15" customHeight="1">
      <c r="F5657" s="306"/>
      <c r="G5657" s="301" t="s">
        <v>169</v>
      </c>
      <c r="H5657" s="307" t="s">
        <v>170</v>
      </c>
      <c r="I5657" s="307" t="s">
        <v>171</v>
      </c>
      <c r="J5657" s="308">
        <v>8.4000000000000005E-2</v>
      </c>
      <c r="K5657" s="309">
        <f>VLOOKUP(G5657,Upah,8,FALSE)</f>
        <v>125000</v>
      </c>
      <c r="L5657" s="310">
        <f>J5657*K5657</f>
        <v>10500</v>
      </c>
    </row>
    <row r="5658" spans="5:13" ht="15" customHeight="1">
      <c r="F5658" s="306"/>
      <c r="G5658" s="301" t="s">
        <v>172</v>
      </c>
      <c r="H5658" s="307" t="s">
        <v>173</v>
      </c>
      <c r="I5658" s="307" t="s">
        <v>171</v>
      </c>
      <c r="J5658" s="308">
        <v>0.125</v>
      </c>
      <c r="K5658" s="309">
        <f>VLOOKUP(G5658,Upah,8,FALSE)</f>
        <v>150000</v>
      </c>
      <c r="L5658" s="310">
        <f>J5658*K5658</f>
        <v>18750</v>
      </c>
    </row>
    <row r="5659" spans="5:13" ht="15" customHeight="1">
      <c r="F5659" s="306"/>
      <c r="G5659" s="301" t="s">
        <v>232</v>
      </c>
      <c r="H5659" s="307" t="s">
        <v>175</v>
      </c>
      <c r="I5659" s="307" t="s">
        <v>171</v>
      </c>
      <c r="J5659" s="308">
        <v>1.2999999999999999E-2</v>
      </c>
      <c r="K5659" s="309">
        <f>VLOOKUP(G5659,Upah,8,FALSE)</f>
        <v>165000</v>
      </c>
      <c r="L5659" s="310">
        <f>J5659*K5659</f>
        <v>2145</v>
      </c>
    </row>
    <row r="5660" spans="5:13" ht="15" customHeight="1" thickBot="1">
      <c r="F5660" s="306"/>
      <c r="G5660" s="301" t="s">
        <v>176</v>
      </c>
      <c r="H5660" s="307" t="s">
        <v>177</v>
      </c>
      <c r="I5660" s="307" t="s">
        <v>171</v>
      </c>
      <c r="J5660" s="308">
        <v>4.0000000000000001E-3</v>
      </c>
      <c r="K5660" s="309">
        <f>VLOOKUP(G5660,Upah,8,FALSE)</f>
        <v>170000</v>
      </c>
      <c r="L5660" s="310">
        <f>J5660*K5660</f>
        <v>680</v>
      </c>
    </row>
    <row r="5661" spans="5:13" ht="15" customHeight="1" thickBot="1">
      <c r="F5661" s="316"/>
      <c r="G5661" s="317"/>
      <c r="H5661" s="318"/>
      <c r="I5661" s="318"/>
      <c r="J5661" s="319" t="s">
        <v>178</v>
      </c>
      <c r="K5661" s="320"/>
      <c r="L5661" s="321">
        <f>SUM(L5657:L5660)</f>
        <v>32075</v>
      </c>
    </row>
    <row r="5662" spans="5:13" ht="15" customHeight="1">
      <c r="F5662" s="300" t="s">
        <v>179</v>
      </c>
      <c r="G5662" s="301" t="s">
        <v>180</v>
      </c>
      <c r="H5662" s="302"/>
      <c r="I5662" s="302"/>
      <c r="J5662" s="351"/>
      <c r="K5662" s="328"/>
      <c r="L5662" s="310"/>
    </row>
    <row r="5663" spans="5:13" ht="15" customHeight="1">
      <c r="F5663" s="306"/>
      <c r="G5663" s="301" t="s">
        <v>1051</v>
      </c>
      <c r="H5663" s="302"/>
      <c r="I5663" s="307" t="s">
        <v>202</v>
      </c>
      <c r="J5663" s="308">
        <v>1.1000000000000001</v>
      </c>
      <c r="K5663" s="328">
        <f>VLOOKUP(G5663,Bahan,6,FALSE)</f>
        <v>46480</v>
      </c>
      <c r="L5663" s="310">
        <f>J5663*K5663</f>
        <v>51128.000000000007</v>
      </c>
    </row>
    <row r="5664" spans="5:13" ht="15" customHeight="1" thickBot="1">
      <c r="F5664" s="306"/>
      <c r="G5664" s="301" t="s">
        <v>586</v>
      </c>
      <c r="H5664" s="302"/>
      <c r="I5664" s="307" t="s">
        <v>221</v>
      </c>
      <c r="J5664" s="308">
        <v>6</v>
      </c>
      <c r="K5664" s="328">
        <f>VLOOKUP(G5664,Bahan,6,FALSE)</f>
        <v>840</v>
      </c>
      <c r="L5664" s="310">
        <f>J5664*K5664</f>
        <v>5040</v>
      </c>
    </row>
    <row r="5665" spans="5:13" ht="15" customHeight="1" thickBot="1">
      <c r="F5665" s="316"/>
      <c r="G5665" s="317"/>
      <c r="H5665" s="318"/>
      <c r="I5665" s="318"/>
      <c r="J5665" s="319" t="s">
        <v>189</v>
      </c>
      <c r="K5665" s="320"/>
      <c r="L5665" s="321">
        <f>SUM(L5663:L5664)</f>
        <v>56168.000000000007</v>
      </c>
    </row>
    <row r="5666" spans="5:13" ht="15" customHeight="1" thickBot="1">
      <c r="F5666" s="300" t="s">
        <v>190</v>
      </c>
      <c r="G5666" s="301" t="s">
        <v>191</v>
      </c>
      <c r="H5666" s="302"/>
      <c r="I5666" s="302"/>
      <c r="J5666" s="351"/>
      <c r="K5666" s="328">
        <v>0</v>
      </c>
      <c r="L5666" s="310">
        <f>J5666*K5666</f>
        <v>0</v>
      </c>
    </row>
    <row r="5667" spans="5:13" ht="15" customHeight="1" thickBot="1">
      <c r="F5667" s="316"/>
      <c r="G5667" s="317"/>
      <c r="H5667" s="318"/>
      <c r="I5667" s="318"/>
      <c r="J5667" s="319" t="s">
        <v>192</v>
      </c>
      <c r="K5667" s="320"/>
      <c r="L5667" s="321">
        <f>L5666</f>
        <v>0</v>
      </c>
    </row>
    <row r="5668" spans="5:13" ht="15" customHeight="1">
      <c r="F5668" s="344" t="s">
        <v>193</v>
      </c>
      <c r="G5668" s="345" t="s">
        <v>194</v>
      </c>
      <c r="H5668" s="346"/>
      <c r="I5668" s="346"/>
      <c r="J5668" s="347"/>
      <c r="K5668" s="348">
        <v>0</v>
      </c>
      <c r="L5668" s="310">
        <f>SUM(L5657:L5667)/2</f>
        <v>88243</v>
      </c>
    </row>
    <row r="5669" spans="5:13" ht="15" customHeight="1" thickBot="1">
      <c r="F5669" s="331" t="s">
        <v>195</v>
      </c>
      <c r="G5669" s="332" t="s">
        <v>196</v>
      </c>
      <c r="H5669" s="333"/>
      <c r="I5669" s="333"/>
      <c r="J5669" s="350">
        <v>0.1</v>
      </c>
      <c r="K5669" s="335"/>
      <c r="L5669" s="330">
        <f>J5669*L5668</f>
        <v>8824.3000000000011</v>
      </c>
    </row>
    <row r="5670" spans="5:13" ht="15" customHeight="1" thickBot="1">
      <c r="F5670" s="340" t="s">
        <v>197</v>
      </c>
      <c r="G5670" s="341" t="s">
        <v>198</v>
      </c>
      <c r="H5670" s="318"/>
      <c r="I5670" s="318"/>
      <c r="J5670" s="342"/>
      <c r="K5670" s="320">
        <v>0</v>
      </c>
      <c r="L5670" s="321">
        <f>ROUNDDOWN(L5668+L5669,0)</f>
        <v>97067</v>
      </c>
    </row>
    <row r="5671" spans="5:13" ht="15" customHeight="1">
      <c r="F5671" s="298"/>
      <c r="G5671" s="298"/>
      <c r="J5671" s="343"/>
    </row>
    <row r="5672" spans="5:13" ht="15" customHeight="1" thickBot="1">
      <c r="E5672" s="356" t="s">
        <v>1060</v>
      </c>
      <c r="F5672" s="295" t="s">
        <v>1061</v>
      </c>
      <c r="J5672" s="343"/>
      <c r="M5672" s="299">
        <f>L5688</f>
        <v>83940</v>
      </c>
    </row>
    <row r="5673" spans="5:13" ht="15" customHeight="1" thickBot="1">
      <c r="F5673" s="340" t="s">
        <v>136</v>
      </c>
      <c r="G5673" s="341" t="s">
        <v>162</v>
      </c>
      <c r="H5673" s="352" t="s">
        <v>163</v>
      </c>
      <c r="I5673" s="352" t="s">
        <v>138</v>
      </c>
      <c r="J5673" s="353" t="s">
        <v>164</v>
      </c>
      <c r="K5673" s="341" t="s">
        <v>165</v>
      </c>
      <c r="L5673" s="354" t="s">
        <v>166</v>
      </c>
    </row>
    <row r="5674" spans="5:13" ht="15" customHeight="1">
      <c r="F5674" s="300" t="s">
        <v>167</v>
      </c>
      <c r="G5674" s="301" t="s">
        <v>168</v>
      </c>
      <c r="H5674" s="302"/>
      <c r="I5674" s="302"/>
      <c r="J5674" s="351"/>
      <c r="K5674" s="328"/>
      <c r="L5674" s="310"/>
    </row>
    <row r="5675" spans="5:13" ht="15" customHeight="1">
      <c r="F5675" s="306"/>
      <c r="G5675" s="301" t="s">
        <v>169</v>
      </c>
      <c r="H5675" s="307" t="s">
        <v>170</v>
      </c>
      <c r="I5675" s="307" t="s">
        <v>171</v>
      </c>
      <c r="J5675" s="308">
        <v>0.2</v>
      </c>
      <c r="K5675" s="309">
        <f>VLOOKUP(G5675,Upah,8,FALSE)</f>
        <v>125000</v>
      </c>
      <c r="L5675" s="310">
        <f>J5675*K5675</f>
        <v>25000</v>
      </c>
    </row>
    <row r="5676" spans="5:13" ht="15" customHeight="1">
      <c r="F5676" s="306"/>
      <c r="G5676" s="301" t="s">
        <v>172</v>
      </c>
      <c r="H5676" s="307" t="s">
        <v>173</v>
      </c>
      <c r="I5676" s="307" t="s">
        <v>171</v>
      </c>
      <c r="J5676" s="308">
        <v>0.1</v>
      </c>
      <c r="K5676" s="309">
        <f>VLOOKUP(G5676,Upah,8,FALSE)</f>
        <v>150000</v>
      </c>
      <c r="L5676" s="310">
        <f>J5676*K5676</f>
        <v>15000</v>
      </c>
    </row>
    <row r="5677" spans="5:13" ht="15" customHeight="1">
      <c r="F5677" s="306"/>
      <c r="G5677" s="301" t="s">
        <v>232</v>
      </c>
      <c r="H5677" s="307" t="s">
        <v>175</v>
      </c>
      <c r="I5677" s="307" t="s">
        <v>171</v>
      </c>
      <c r="J5677" s="308">
        <v>0.01</v>
      </c>
      <c r="K5677" s="309">
        <f>VLOOKUP(G5677,Upah,8,FALSE)</f>
        <v>165000</v>
      </c>
      <c r="L5677" s="310">
        <f>J5677*K5677</f>
        <v>1650</v>
      </c>
    </row>
    <row r="5678" spans="5:13" ht="15" customHeight="1" thickBot="1">
      <c r="F5678" s="306"/>
      <c r="G5678" s="301" t="s">
        <v>176</v>
      </c>
      <c r="H5678" s="307" t="s">
        <v>177</v>
      </c>
      <c r="I5678" s="307" t="s">
        <v>171</v>
      </c>
      <c r="J5678" s="308">
        <v>0.01</v>
      </c>
      <c r="K5678" s="309">
        <f>VLOOKUP(G5678,Upah,8,FALSE)</f>
        <v>170000</v>
      </c>
      <c r="L5678" s="310">
        <f>J5678*K5678</f>
        <v>1700</v>
      </c>
    </row>
    <row r="5679" spans="5:13" ht="15" customHeight="1" thickBot="1">
      <c r="F5679" s="316"/>
      <c r="G5679" s="317"/>
      <c r="H5679" s="318"/>
      <c r="I5679" s="318"/>
      <c r="J5679" s="319" t="s">
        <v>178</v>
      </c>
      <c r="K5679" s="320"/>
      <c r="L5679" s="321">
        <f>SUM(L5675:L5678)</f>
        <v>43350</v>
      </c>
    </row>
    <row r="5680" spans="5:13" ht="15" customHeight="1">
      <c r="F5680" s="300" t="s">
        <v>179</v>
      </c>
      <c r="G5680" s="301" t="s">
        <v>180</v>
      </c>
      <c r="H5680" s="302"/>
      <c r="I5680" s="302"/>
      <c r="J5680" s="351"/>
      <c r="K5680" s="328"/>
      <c r="L5680" s="310"/>
    </row>
    <row r="5681" spans="5:13" ht="15" customHeight="1">
      <c r="F5681" s="306"/>
      <c r="G5681" s="301" t="s">
        <v>1062</v>
      </c>
      <c r="H5681" s="302"/>
      <c r="I5681" s="307" t="s">
        <v>221</v>
      </c>
      <c r="J5681" s="308">
        <v>11</v>
      </c>
      <c r="K5681" s="328">
        <f>VLOOKUP(G5681,Bahan,6,FALSE)</f>
        <v>2920</v>
      </c>
      <c r="L5681" s="310">
        <f>J5681*K5681</f>
        <v>32120</v>
      </c>
    </row>
    <row r="5682" spans="5:13" ht="15" customHeight="1" thickBot="1">
      <c r="F5682" s="306"/>
      <c r="G5682" s="301" t="s">
        <v>415</v>
      </c>
      <c r="H5682" s="302"/>
      <c r="I5682" s="307" t="s">
        <v>45</v>
      </c>
      <c r="J5682" s="308">
        <v>0.03</v>
      </c>
      <c r="K5682" s="328">
        <f>VLOOKUP(G5682,Bahan,6,FALSE)</f>
        <v>27970</v>
      </c>
      <c r="L5682" s="310">
        <f>J5682*K5682</f>
        <v>839.1</v>
      </c>
    </row>
    <row r="5683" spans="5:13" ht="15" customHeight="1" thickBot="1">
      <c r="F5683" s="316"/>
      <c r="G5683" s="317"/>
      <c r="H5683" s="318"/>
      <c r="I5683" s="318"/>
      <c r="J5683" s="319" t="s">
        <v>189</v>
      </c>
      <c r="K5683" s="320"/>
      <c r="L5683" s="321">
        <f>SUM(L5681:L5682)</f>
        <v>32959.1</v>
      </c>
    </row>
    <row r="5684" spans="5:13" ht="15" customHeight="1" thickBot="1">
      <c r="F5684" s="300" t="s">
        <v>190</v>
      </c>
      <c r="G5684" s="301" t="s">
        <v>191</v>
      </c>
      <c r="H5684" s="302"/>
      <c r="I5684" s="302"/>
      <c r="J5684" s="351"/>
      <c r="K5684" s="328">
        <v>0</v>
      </c>
      <c r="L5684" s="310">
        <f>J5684*K5684</f>
        <v>0</v>
      </c>
    </row>
    <row r="5685" spans="5:13" ht="15" customHeight="1" thickBot="1">
      <c r="F5685" s="316"/>
      <c r="G5685" s="317"/>
      <c r="H5685" s="318"/>
      <c r="I5685" s="318"/>
      <c r="J5685" s="319" t="s">
        <v>192</v>
      </c>
      <c r="K5685" s="320"/>
      <c r="L5685" s="321">
        <f>L5684</f>
        <v>0</v>
      </c>
    </row>
    <row r="5686" spans="5:13" ht="15" customHeight="1">
      <c r="F5686" s="344" t="s">
        <v>193</v>
      </c>
      <c r="G5686" s="345" t="s">
        <v>194</v>
      </c>
      <c r="H5686" s="346"/>
      <c r="I5686" s="346"/>
      <c r="J5686" s="347"/>
      <c r="K5686" s="348">
        <v>0</v>
      </c>
      <c r="L5686" s="310">
        <f>SUM(L5675:L5685)/2</f>
        <v>76309.100000000006</v>
      </c>
    </row>
    <row r="5687" spans="5:13" ht="15" customHeight="1" thickBot="1">
      <c r="F5687" s="331" t="s">
        <v>195</v>
      </c>
      <c r="G5687" s="332" t="s">
        <v>196</v>
      </c>
      <c r="H5687" s="333"/>
      <c r="I5687" s="333"/>
      <c r="J5687" s="350">
        <v>0.1</v>
      </c>
      <c r="K5687" s="335"/>
      <c r="L5687" s="330">
        <f>J5687*L5686</f>
        <v>7630.9100000000008</v>
      </c>
    </row>
    <row r="5688" spans="5:13" ht="15" customHeight="1" thickBot="1">
      <c r="F5688" s="340" t="s">
        <v>197</v>
      </c>
      <c r="G5688" s="341" t="s">
        <v>198</v>
      </c>
      <c r="H5688" s="318"/>
      <c r="I5688" s="318"/>
      <c r="J5688" s="342"/>
      <c r="K5688" s="320">
        <v>0</v>
      </c>
      <c r="L5688" s="321">
        <f>ROUNDDOWN(L5686+L5687,0)</f>
        <v>83940</v>
      </c>
    </row>
    <row r="5689" spans="5:13" ht="15" customHeight="1">
      <c r="F5689" s="298"/>
      <c r="G5689" s="298"/>
      <c r="J5689" s="343"/>
    </row>
    <row r="5690" spans="5:13" ht="15" customHeight="1" thickBot="1">
      <c r="E5690" s="356" t="s">
        <v>1063</v>
      </c>
      <c r="F5690" s="295" t="s">
        <v>1064</v>
      </c>
      <c r="J5690" s="343"/>
      <c r="M5690" s="299">
        <f>L5708</f>
        <v>160927</v>
      </c>
    </row>
    <row r="5691" spans="5:13" ht="15" customHeight="1" thickBot="1">
      <c r="F5691" s="340" t="s">
        <v>136</v>
      </c>
      <c r="G5691" s="341" t="s">
        <v>162</v>
      </c>
      <c r="H5691" s="352" t="s">
        <v>163</v>
      </c>
      <c r="I5691" s="352" t="s">
        <v>138</v>
      </c>
      <c r="J5691" s="353" t="s">
        <v>164</v>
      </c>
      <c r="K5691" s="341" t="s">
        <v>165</v>
      </c>
      <c r="L5691" s="354" t="s">
        <v>166</v>
      </c>
    </row>
    <row r="5692" spans="5:13" ht="15" customHeight="1">
      <c r="F5692" s="300" t="s">
        <v>167</v>
      </c>
      <c r="G5692" s="301" t="s">
        <v>168</v>
      </c>
      <c r="H5692" s="302"/>
      <c r="I5692" s="302"/>
      <c r="J5692" s="351"/>
      <c r="K5692" s="328"/>
      <c r="L5692" s="310"/>
    </row>
    <row r="5693" spans="5:13" ht="15" customHeight="1">
      <c r="F5693" s="306"/>
      <c r="G5693" s="301" t="s">
        <v>169</v>
      </c>
      <c r="H5693" s="307" t="s">
        <v>170</v>
      </c>
      <c r="I5693" s="307" t="s">
        <v>171</v>
      </c>
      <c r="J5693" s="308">
        <v>0.2</v>
      </c>
      <c r="K5693" s="309">
        <f>VLOOKUP(G5693,Upah,8,FALSE)</f>
        <v>125000</v>
      </c>
      <c r="L5693" s="310">
        <f>J5693*K5693</f>
        <v>25000</v>
      </c>
    </row>
    <row r="5694" spans="5:13" ht="15" customHeight="1">
      <c r="F5694" s="306"/>
      <c r="G5694" s="301" t="s">
        <v>172</v>
      </c>
      <c r="H5694" s="307" t="s">
        <v>173</v>
      </c>
      <c r="I5694" s="307" t="s">
        <v>171</v>
      </c>
      <c r="J5694" s="308">
        <v>0.3</v>
      </c>
      <c r="K5694" s="309">
        <f>VLOOKUP(G5694,Upah,8,FALSE)</f>
        <v>150000</v>
      </c>
      <c r="L5694" s="310">
        <f>J5694*K5694</f>
        <v>45000</v>
      </c>
    </row>
    <row r="5695" spans="5:13" ht="15" customHeight="1">
      <c r="F5695" s="306"/>
      <c r="G5695" s="301" t="s">
        <v>232</v>
      </c>
      <c r="H5695" s="307" t="s">
        <v>175</v>
      </c>
      <c r="I5695" s="307" t="s">
        <v>171</v>
      </c>
      <c r="J5695" s="308">
        <v>3.0000000000000001E-3</v>
      </c>
      <c r="K5695" s="309">
        <f>VLOOKUP(G5695,Upah,8,FALSE)</f>
        <v>165000</v>
      </c>
      <c r="L5695" s="310">
        <f>J5695*K5695</f>
        <v>495</v>
      </c>
    </row>
    <row r="5696" spans="5:13" ht="15" customHeight="1" thickBot="1">
      <c r="F5696" s="306"/>
      <c r="G5696" s="301" t="s">
        <v>176</v>
      </c>
      <c r="H5696" s="307" t="s">
        <v>177</v>
      </c>
      <c r="I5696" s="307" t="s">
        <v>171</v>
      </c>
      <c r="J5696" s="308">
        <v>0.01</v>
      </c>
      <c r="K5696" s="309">
        <f>VLOOKUP(G5696,Upah,8,FALSE)</f>
        <v>170000</v>
      </c>
      <c r="L5696" s="310">
        <f>J5696*K5696</f>
        <v>1700</v>
      </c>
    </row>
    <row r="5697" spans="5:13" ht="15" customHeight="1" thickBot="1">
      <c r="F5697" s="316"/>
      <c r="G5697" s="317"/>
      <c r="H5697" s="318"/>
      <c r="I5697" s="318"/>
      <c r="J5697" s="319" t="s">
        <v>178</v>
      </c>
      <c r="K5697" s="320"/>
      <c r="L5697" s="321">
        <f>SUM(L5693:L5696)</f>
        <v>72195</v>
      </c>
    </row>
    <row r="5698" spans="5:13" ht="15" customHeight="1">
      <c r="F5698" s="300" t="s">
        <v>179</v>
      </c>
      <c r="G5698" s="301" t="s">
        <v>180</v>
      </c>
      <c r="H5698" s="302"/>
      <c r="I5698" s="302"/>
      <c r="J5698" s="351"/>
      <c r="K5698" s="328"/>
      <c r="L5698" s="310"/>
    </row>
    <row r="5699" spans="5:13" ht="15" customHeight="1">
      <c r="F5699" s="306"/>
      <c r="G5699" s="301" t="s">
        <v>1065</v>
      </c>
      <c r="H5699" s="302"/>
      <c r="I5699" s="307" t="s">
        <v>221</v>
      </c>
      <c r="J5699" s="308">
        <v>6.9</v>
      </c>
      <c r="K5699" s="328">
        <f>VLOOKUP(G5699,Bahan,6,FALSE)</f>
        <v>3060</v>
      </c>
      <c r="L5699" s="310">
        <f>J5699*K5699</f>
        <v>21114</v>
      </c>
    </row>
    <row r="5700" spans="5:13" ht="15" customHeight="1">
      <c r="F5700" s="306"/>
      <c r="G5700" s="301" t="s">
        <v>1066</v>
      </c>
      <c r="H5700" s="302"/>
      <c r="I5700" s="307" t="s">
        <v>202</v>
      </c>
      <c r="J5700" s="308">
        <v>0.35</v>
      </c>
      <c r="K5700" s="328">
        <f>VLOOKUP(G5700,Bahan,6,FALSE)</f>
        <v>86000</v>
      </c>
      <c r="L5700" s="310">
        <f>J5700*K5700</f>
        <v>30099.999999999996</v>
      </c>
    </row>
    <row r="5701" spans="5:13" ht="15" customHeight="1">
      <c r="F5701" s="306"/>
      <c r="G5701" s="301" t="s">
        <v>186</v>
      </c>
      <c r="H5701" s="302"/>
      <c r="I5701" s="307" t="s">
        <v>45</v>
      </c>
      <c r="J5701" s="308">
        <v>0.03</v>
      </c>
      <c r="K5701" s="328">
        <f>VLOOKUP(G5701,Bahan,6,FALSE)</f>
        <v>27970</v>
      </c>
      <c r="L5701" s="310">
        <f>J5701*K5701</f>
        <v>839.1</v>
      </c>
    </row>
    <row r="5702" spans="5:13" ht="15" customHeight="1" thickBot="1">
      <c r="F5702" s="306"/>
      <c r="G5702" s="301" t="s">
        <v>1067</v>
      </c>
      <c r="H5702" s="302"/>
      <c r="I5702" s="307" t="s">
        <v>221</v>
      </c>
      <c r="J5702" s="308">
        <v>0.5</v>
      </c>
      <c r="K5702" s="328">
        <f>VLOOKUP(G5702,Bahan,6,FALSE)</f>
        <v>44100</v>
      </c>
      <c r="L5702" s="310">
        <f>J5702*K5702</f>
        <v>22050</v>
      </c>
    </row>
    <row r="5703" spans="5:13" ht="15" customHeight="1" thickBot="1">
      <c r="F5703" s="316"/>
      <c r="G5703" s="317"/>
      <c r="H5703" s="318"/>
      <c r="I5703" s="318"/>
      <c r="J5703" s="319" t="s">
        <v>189</v>
      </c>
      <c r="K5703" s="320"/>
      <c r="L5703" s="321">
        <f>SUM(L5699:L5702)</f>
        <v>74103.100000000006</v>
      </c>
    </row>
    <row r="5704" spans="5:13" ht="15" customHeight="1" thickBot="1">
      <c r="F5704" s="300" t="s">
        <v>190</v>
      </c>
      <c r="G5704" s="301" t="s">
        <v>191</v>
      </c>
      <c r="H5704" s="302"/>
      <c r="I5704" s="302"/>
      <c r="J5704" s="351"/>
      <c r="K5704" s="328">
        <v>0</v>
      </c>
      <c r="L5704" s="310">
        <f>J5704*K5704</f>
        <v>0</v>
      </c>
    </row>
    <row r="5705" spans="5:13" ht="15" customHeight="1" thickBot="1">
      <c r="F5705" s="316"/>
      <c r="G5705" s="317"/>
      <c r="H5705" s="318"/>
      <c r="I5705" s="318"/>
      <c r="J5705" s="319" t="s">
        <v>192</v>
      </c>
      <c r="K5705" s="320"/>
      <c r="L5705" s="321">
        <f>L5704</f>
        <v>0</v>
      </c>
    </row>
    <row r="5706" spans="5:13" ht="15" customHeight="1">
      <c r="F5706" s="344" t="s">
        <v>193</v>
      </c>
      <c r="G5706" s="345" t="s">
        <v>194</v>
      </c>
      <c r="H5706" s="346"/>
      <c r="I5706" s="346"/>
      <c r="J5706" s="347"/>
      <c r="K5706" s="348">
        <v>0</v>
      </c>
      <c r="L5706" s="310">
        <f>SUM(L5693:L5705)/2</f>
        <v>146298.1</v>
      </c>
    </row>
    <row r="5707" spans="5:13" ht="15" customHeight="1" thickBot="1">
      <c r="F5707" s="331" t="s">
        <v>195</v>
      </c>
      <c r="G5707" s="332" t="s">
        <v>196</v>
      </c>
      <c r="H5707" s="333"/>
      <c r="I5707" s="333"/>
      <c r="J5707" s="350">
        <v>0.1</v>
      </c>
      <c r="K5707" s="335"/>
      <c r="L5707" s="330">
        <f>J5707*L5706</f>
        <v>14629.810000000001</v>
      </c>
    </row>
    <row r="5708" spans="5:13" ht="15" customHeight="1" thickBot="1">
      <c r="F5708" s="340" t="s">
        <v>197</v>
      </c>
      <c r="G5708" s="341" t="s">
        <v>198</v>
      </c>
      <c r="H5708" s="318"/>
      <c r="I5708" s="318"/>
      <c r="J5708" s="342"/>
      <c r="K5708" s="320">
        <v>0</v>
      </c>
      <c r="L5708" s="321">
        <f>ROUNDDOWN(L5706+L5707,0)</f>
        <v>160927</v>
      </c>
    </row>
    <row r="5709" spans="5:13" ht="15" customHeight="1">
      <c r="F5709" s="298"/>
      <c r="G5709" s="298"/>
      <c r="J5709" s="343"/>
    </row>
    <row r="5710" spans="5:13" ht="15" customHeight="1" thickBot="1">
      <c r="E5710" s="387" t="s">
        <v>1068</v>
      </c>
      <c r="F5710" s="295" t="s">
        <v>1069</v>
      </c>
      <c r="G5710" s="298"/>
      <c r="J5710" s="343"/>
      <c r="M5710" s="299">
        <f>L5726</f>
        <v>114665</v>
      </c>
    </row>
    <row r="5711" spans="5:13" ht="15" customHeight="1" thickBot="1">
      <c r="F5711" s="340" t="s">
        <v>136</v>
      </c>
      <c r="G5711" s="341" t="s">
        <v>162</v>
      </c>
      <c r="H5711" s="352" t="s">
        <v>163</v>
      </c>
      <c r="I5711" s="352" t="s">
        <v>138</v>
      </c>
      <c r="J5711" s="353" t="s">
        <v>164</v>
      </c>
      <c r="K5711" s="341" t="s">
        <v>165</v>
      </c>
      <c r="L5711" s="354" t="s">
        <v>166</v>
      </c>
    </row>
    <row r="5712" spans="5:13" ht="15" customHeight="1">
      <c r="F5712" s="300" t="s">
        <v>167</v>
      </c>
      <c r="G5712" s="301" t="s">
        <v>168</v>
      </c>
      <c r="H5712" s="302"/>
      <c r="I5712" s="302"/>
      <c r="J5712" s="351"/>
      <c r="K5712" s="328"/>
      <c r="L5712" s="310"/>
    </row>
    <row r="5713" spans="5:13" ht="15" customHeight="1">
      <c r="F5713" s="306"/>
      <c r="G5713" s="301" t="s">
        <v>169</v>
      </c>
      <c r="H5713" s="307" t="s">
        <v>170</v>
      </c>
      <c r="I5713" s="307" t="s">
        <v>171</v>
      </c>
      <c r="J5713" s="308">
        <v>0.2</v>
      </c>
      <c r="K5713" s="309">
        <f>VLOOKUP(G5713,Upah,8,FALSE)</f>
        <v>125000</v>
      </c>
      <c r="L5713" s="310">
        <f>J5713*K5713</f>
        <v>25000</v>
      </c>
    </row>
    <row r="5714" spans="5:13" ht="15" customHeight="1">
      <c r="F5714" s="306"/>
      <c r="G5714" s="301" t="s">
        <v>172</v>
      </c>
      <c r="H5714" s="307" t="s">
        <v>173</v>
      </c>
      <c r="I5714" s="307" t="s">
        <v>171</v>
      </c>
      <c r="J5714" s="308">
        <v>0.1</v>
      </c>
      <c r="K5714" s="309">
        <f>VLOOKUP(G5714,Upah,8,FALSE)</f>
        <v>150000</v>
      </c>
      <c r="L5714" s="310">
        <f>J5714*K5714</f>
        <v>15000</v>
      </c>
    </row>
    <row r="5715" spans="5:13" ht="15" customHeight="1">
      <c r="F5715" s="306"/>
      <c r="G5715" s="301" t="s">
        <v>232</v>
      </c>
      <c r="H5715" s="307" t="s">
        <v>175</v>
      </c>
      <c r="I5715" s="307" t="s">
        <v>171</v>
      </c>
      <c r="J5715" s="308">
        <v>0.01</v>
      </c>
      <c r="K5715" s="309">
        <f>VLOOKUP(G5715,Upah,8,FALSE)</f>
        <v>165000</v>
      </c>
      <c r="L5715" s="310">
        <f>J5715*K5715</f>
        <v>1650</v>
      </c>
    </row>
    <row r="5716" spans="5:13" ht="15" customHeight="1" thickBot="1">
      <c r="F5716" s="306"/>
      <c r="G5716" s="301" t="s">
        <v>176</v>
      </c>
      <c r="H5716" s="307" t="s">
        <v>177</v>
      </c>
      <c r="I5716" s="307" t="s">
        <v>171</v>
      </c>
      <c r="J5716" s="308">
        <v>1E-3</v>
      </c>
      <c r="K5716" s="309">
        <f>VLOOKUP(G5716,Upah,8,FALSE)</f>
        <v>170000</v>
      </c>
      <c r="L5716" s="310">
        <f>J5716*K5716</f>
        <v>170</v>
      </c>
    </row>
    <row r="5717" spans="5:13" ht="15" customHeight="1" thickBot="1">
      <c r="F5717" s="316"/>
      <c r="G5717" s="317"/>
      <c r="H5717" s="318"/>
      <c r="I5717" s="318"/>
      <c r="J5717" s="319" t="s">
        <v>178</v>
      </c>
      <c r="K5717" s="320"/>
      <c r="L5717" s="321">
        <f>SUM(L5713:L5716)</f>
        <v>41820</v>
      </c>
    </row>
    <row r="5718" spans="5:13" ht="15" customHeight="1">
      <c r="F5718" s="300" t="s">
        <v>179</v>
      </c>
      <c r="G5718" s="301" t="s">
        <v>180</v>
      </c>
      <c r="H5718" s="302"/>
      <c r="I5718" s="302"/>
      <c r="J5718" s="351"/>
      <c r="K5718" s="328"/>
      <c r="L5718" s="310"/>
    </row>
    <row r="5719" spans="5:13" ht="15" customHeight="1">
      <c r="F5719" s="306"/>
      <c r="G5719" s="301" t="s">
        <v>1070</v>
      </c>
      <c r="H5719" s="302"/>
      <c r="I5719" s="307" t="s">
        <v>221</v>
      </c>
      <c r="J5719" s="308">
        <v>1.3</v>
      </c>
      <c r="K5719" s="328">
        <f>VLOOKUP(G5719,Bahan,6,FALSE)</f>
        <v>43750</v>
      </c>
      <c r="L5719" s="310">
        <f>J5719*K5719</f>
        <v>56875</v>
      </c>
    </row>
    <row r="5720" spans="5:13" ht="15" customHeight="1" thickBot="1">
      <c r="F5720" s="306"/>
      <c r="G5720" s="301" t="s">
        <v>1071</v>
      </c>
      <c r="H5720" s="302"/>
      <c r="I5720" s="307" t="s">
        <v>45</v>
      </c>
      <c r="J5720" s="308">
        <v>0.2</v>
      </c>
      <c r="K5720" s="328">
        <f>VLOOKUP(G5720,Bahan,6,FALSE)</f>
        <v>27730</v>
      </c>
      <c r="L5720" s="310">
        <f>J5720*K5720</f>
        <v>5546</v>
      </c>
    </row>
    <row r="5721" spans="5:13" ht="15" customHeight="1" thickBot="1">
      <c r="F5721" s="316"/>
      <c r="G5721" s="317"/>
      <c r="H5721" s="318"/>
      <c r="I5721" s="318"/>
      <c r="J5721" s="319" t="s">
        <v>189</v>
      </c>
      <c r="K5721" s="320"/>
      <c r="L5721" s="321">
        <f>SUM(L5719:L5720)</f>
        <v>62421</v>
      </c>
    </row>
    <row r="5722" spans="5:13" ht="15" customHeight="1" thickBot="1">
      <c r="F5722" s="300" t="s">
        <v>190</v>
      </c>
      <c r="G5722" s="301" t="s">
        <v>191</v>
      </c>
      <c r="H5722" s="302"/>
      <c r="I5722" s="302"/>
      <c r="J5722" s="351"/>
      <c r="K5722" s="328">
        <v>0</v>
      </c>
      <c r="L5722" s="310">
        <f>J5722*K5722</f>
        <v>0</v>
      </c>
    </row>
    <row r="5723" spans="5:13" ht="15" customHeight="1" thickBot="1">
      <c r="F5723" s="316"/>
      <c r="G5723" s="317"/>
      <c r="H5723" s="318"/>
      <c r="I5723" s="318"/>
      <c r="J5723" s="319" t="s">
        <v>192</v>
      </c>
      <c r="K5723" s="320"/>
      <c r="L5723" s="321">
        <f>L5722</f>
        <v>0</v>
      </c>
    </row>
    <row r="5724" spans="5:13" ht="15" customHeight="1">
      <c r="F5724" s="344" t="s">
        <v>193</v>
      </c>
      <c r="G5724" s="345" t="s">
        <v>194</v>
      </c>
      <c r="H5724" s="346"/>
      <c r="I5724" s="346"/>
      <c r="J5724" s="347"/>
      <c r="K5724" s="348">
        <v>0</v>
      </c>
      <c r="L5724" s="310">
        <f>SUM(L5713:L5723)/2</f>
        <v>104241</v>
      </c>
    </row>
    <row r="5725" spans="5:13" ht="15" customHeight="1" thickBot="1">
      <c r="F5725" s="331" t="s">
        <v>195</v>
      </c>
      <c r="G5725" s="332" t="s">
        <v>196</v>
      </c>
      <c r="H5725" s="333"/>
      <c r="I5725" s="333"/>
      <c r="J5725" s="350">
        <v>0.1</v>
      </c>
      <c r="K5725" s="335"/>
      <c r="L5725" s="330">
        <f>J5725*L5724</f>
        <v>10424.1</v>
      </c>
    </row>
    <row r="5726" spans="5:13" ht="15" customHeight="1" thickBot="1">
      <c r="F5726" s="340" t="s">
        <v>197</v>
      </c>
      <c r="G5726" s="341" t="s">
        <v>198</v>
      </c>
      <c r="H5726" s="318"/>
      <c r="I5726" s="318"/>
      <c r="J5726" s="342"/>
      <c r="K5726" s="320">
        <v>0</v>
      </c>
      <c r="L5726" s="321">
        <f>ROUNDDOWN(L5724+L5725,0)</f>
        <v>114665</v>
      </c>
    </row>
    <row r="5727" spans="5:13" ht="15" customHeight="1">
      <c r="F5727" s="298"/>
      <c r="G5727" s="298"/>
      <c r="J5727" s="343"/>
      <c r="K5727" s="355"/>
      <c r="L5727" s="299"/>
    </row>
    <row r="5728" spans="5:13" ht="15" customHeight="1" thickBot="1">
      <c r="E5728" s="387" t="s">
        <v>1072</v>
      </c>
      <c r="F5728" s="295" t="s">
        <v>1073</v>
      </c>
      <c r="G5728" s="298"/>
      <c r="J5728" s="343"/>
      <c r="M5728" s="299">
        <f>L5744</f>
        <v>148352</v>
      </c>
    </row>
    <row r="5729" spans="6:12" ht="15" customHeight="1" thickBot="1">
      <c r="F5729" s="340" t="s">
        <v>136</v>
      </c>
      <c r="G5729" s="341" t="s">
        <v>162</v>
      </c>
      <c r="H5729" s="352" t="s">
        <v>163</v>
      </c>
      <c r="I5729" s="352" t="s">
        <v>138</v>
      </c>
      <c r="J5729" s="353" t="s">
        <v>164</v>
      </c>
      <c r="K5729" s="341" t="s">
        <v>165</v>
      </c>
      <c r="L5729" s="354" t="s">
        <v>166</v>
      </c>
    </row>
    <row r="5730" spans="6:12" ht="15" customHeight="1">
      <c r="F5730" s="300" t="s">
        <v>167</v>
      </c>
      <c r="G5730" s="301" t="s">
        <v>168</v>
      </c>
      <c r="H5730" s="302"/>
      <c r="I5730" s="302"/>
      <c r="J5730" s="351"/>
      <c r="K5730" s="328"/>
      <c r="L5730" s="310"/>
    </row>
    <row r="5731" spans="6:12" ht="15" customHeight="1">
      <c r="F5731" s="306"/>
      <c r="G5731" s="301" t="s">
        <v>169</v>
      </c>
      <c r="H5731" s="307" t="s">
        <v>170</v>
      </c>
      <c r="I5731" s="307" t="s">
        <v>171</v>
      </c>
      <c r="J5731" s="308">
        <v>0.2</v>
      </c>
      <c r="K5731" s="309">
        <f>VLOOKUP(G5731,Upah,8,FALSE)</f>
        <v>125000</v>
      </c>
      <c r="L5731" s="310">
        <f>J5731*K5731</f>
        <v>25000</v>
      </c>
    </row>
    <row r="5732" spans="6:12" ht="15" customHeight="1">
      <c r="F5732" s="306"/>
      <c r="G5732" s="301" t="s">
        <v>172</v>
      </c>
      <c r="H5732" s="307" t="s">
        <v>173</v>
      </c>
      <c r="I5732" s="307" t="s">
        <v>171</v>
      </c>
      <c r="J5732" s="308">
        <v>0.1</v>
      </c>
      <c r="K5732" s="309">
        <f>VLOOKUP(G5732,Upah,8,FALSE)</f>
        <v>150000</v>
      </c>
      <c r="L5732" s="310">
        <f>J5732*K5732</f>
        <v>15000</v>
      </c>
    </row>
    <row r="5733" spans="6:12" ht="15" customHeight="1">
      <c r="F5733" s="306"/>
      <c r="G5733" s="301" t="s">
        <v>232</v>
      </c>
      <c r="H5733" s="307" t="s">
        <v>175</v>
      </c>
      <c r="I5733" s="307" t="s">
        <v>171</v>
      </c>
      <c r="J5733" s="308">
        <v>0.01</v>
      </c>
      <c r="K5733" s="309">
        <f>VLOOKUP(G5733,Upah,8,FALSE)</f>
        <v>165000</v>
      </c>
      <c r="L5733" s="310">
        <f>J5733*K5733</f>
        <v>1650</v>
      </c>
    </row>
    <row r="5734" spans="6:12" ht="15" customHeight="1" thickBot="1">
      <c r="F5734" s="306"/>
      <c r="G5734" s="301" t="s">
        <v>176</v>
      </c>
      <c r="H5734" s="307" t="s">
        <v>177</v>
      </c>
      <c r="I5734" s="307" t="s">
        <v>171</v>
      </c>
      <c r="J5734" s="308">
        <v>1E-3</v>
      </c>
      <c r="K5734" s="309">
        <f>VLOOKUP(G5734,Upah,8,FALSE)</f>
        <v>170000</v>
      </c>
      <c r="L5734" s="310">
        <f>J5734*K5734</f>
        <v>170</v>
      </c>
    </row>
    <row r="5735" spans="6:12" ht="15" customHeight="1" thickBot="1">
      <c r="F5735" s="316"/>
      <c r="G5735" s="317"/>
      <c r="H5735" s="318"/>
      <c r="I5735" s="318"/>
      <c r="J5735" s="319" t="s">
        <v>178</v>
      </c>
      <c r="K5735" s="320"/>
      <c r="L5735" s="321">
        <f>SUM(L5731:L5734)</f>
        <v>41820</v>
      </c>
    </row>
    <row r="5736" spans="6:12" ht="15" customHeight="1">
      <c r="F5736" s="300" t="s">
        <v>179</v>
      </c>
      <c r="G5736" s="301" t="s">
        <v>180</v>
      </c>
      <c r="H5736" s="302"/>
      <c r="I5736" s="302"/>
      <c r="J5736" s="351"/>
      <c r="K5736" s="328"/>
      <c r="L5736" s="310"/>
    </row>
    <row r="5737" spans="6:12" ht="15" customHeight="1">
      <c r="F5737" s="306"/>
      <c r="G5737" s="301" t="s">
        <v>1070</v>
      </c>
      <c r="H5737" s="302"/>
      <c r="I5737" s="307" t="s">
        <v>221</v>
      </c>
      <c r="J5737" s="308">
        <v>2</v>
      </c>
      <c r="K5737" s="328">
        <f>VLOOKUP(G5737,Bahan,6,FALSE)</f>
        <v>43750</v>
      </c>
      <c r="L5737" s="310">
        <f>J5737*K5737</f>
        <v>87500</v>
      </c>
    </row>
    <row r="5738" spans="6:12" ht="15" customHeight="1" thickBot="1">
      <c r="F5738" s="306"/>
      <c r="G5738" s="301" t="s">
        <v>1071</v>
      </c>
      <c r="H5738" s="302"/>
      <c r="I5738" s="307" t="s">
        <v>45</v>
      </c>
      <c r="J5738" s="308">
        <v>0.2</v>
      </c>
      <c r="K5738" s="328">
        <f>VLOOKUP(G5738,Bahan,6,FALSE)</f>
        <v>27730</v>
      </c>
      <c r="L5738" s="310">
        <f>J5738*K5738</f>
        <v>5546</v>
      </c>
    </row>
    <row r="5739" spans="6:12" ht="15" customHeight="1" thickBot="1">
      <c r="F5739" s="316"/>
      <c r="G5739" s="317"/>
      <c r="H5739" s="318"/>
      <c r="I5739" s="318"/>
      <c r="J5739" s="319" t="s">
        <v>189</v>
      </c>
      <c r="K5739" s="320"/>
      <c r="L5739" s="321">
        <f>SUM(L5737:L5738)</f>
        <v>93046</v>
      </c>
    </row>
    <row r="5740" spans="6:12" ht="15" customHeight="1" thickBot="1">
      <c r="F5740" s="300" t="s">
        <v>190</v>
      </c>
      <c r="G5740" s="301" t="s">
        <v>191</v>
      </c>
      <c r="H5740" s="302"/>
      <c r="I5740" s="302"/>
      <c r="J5740" s="351"/>
      <c r="K5740" s="328">
        <v>0</v>
      </c>
      <c r="L5740" s="310">
        <f>J5740*K5740</f>
        <v>0</v>
      </c>
    </row>
    <row r="5741" spans="6:12" ht="15" customHeight="1" thickBot="1">
      <c r="F5741" s="316"/>
      <c r="G5741" s="317"/>
      <c r="H5741" s="318"/>
      <c r="I5741" s="318"/>
      <c r="J5741" s="319" t="s">
        <v>192</v>
      </c>
      <c r="K5741" s="320"/>
      <c r="L5741" s="321">
        <f>L5740</f>
        <v>0</v>
      </c>
    </row>
    <row r="5742" spans="6:12" ht="15" customHeight="1">
      <c r="F5742" s="344" t="s">
        <v>193</v>
      </c>
      <c r="G5742" s="345" t="s">
        <v>194</v>
      </c>
      <c r="H5742" s="346"/>
      <c r="I5742" s="346"/>
      <c r="J5742" s="347"/>
      <c r="K5742" s="348">
        <v>0</v>
      </c>
      <c r="L5742" s="310">
        <f>SUM(L5731:L5741)/2</f>
        <v>134866</v>
      </c>
    </row>
    <row r="5743" spans="6:12" ht="15" customHeight="1" thickBot="1">
      <c r="F5743" s="331" t="s">
        <v>195</v>
      </c>
      <c r="G5743" s="332" t="s">
        <v>196</v>
      </c>
      <c r="H5743" s="333"/>
      <c r="I5743" s="333"/>
      <c r="J5743" s="350">
        <v>0.1</v>
      </c>
      <c r="K5743" s="335"/>
      <c r="L5743" s="330">
        <f>J5743*L5742</f>
        <v>13486.6</v>
      </c>
    </row>
    <row r="5744" spans="6:12" ht="15" customHeight="1" thickBot="1">
      <c r="F5744" s="340" t="s">
        <v>197</v>
      </c>
      <c r="G5744" s="341" t="s">
        <v>198</v>
      </c>
      <c r="H5744" s="318"/>
      <c r="I5744" s="318"/>
      <c r="J5744" s="342"/>
      <c r="K5744" s="320">
        <v>0</v>
      </c>
      <c r="L5744" s="321">
        <f>ROUNDDOWN(L5742+L5743,0)</f>
        <v>148352</v>
      </c>
    </row>
    <row r="5745" spans="5:13" ht="15" customHeight="1">
      <c r="F5745" s="298"/>
      <c r="G5745" s="298"/>
      <c r="J5745" s="343"/>
      <c r="K5745" s="355"/>
      <c r="L5745" s="299"/>
    </row>
    <row r="5746" spans="5:13" ht="15" customHeight="1">
      <c r="F5746" s="298"/>
      <c r="G5746" s="298"/>
      <c r="J5746" s="343"/>
      <c r="K5746" s="355"/>
      <c r="L5746" s="299"/>
    </row>
    <row r="5747" spans="5:13" ht="15" customHeight="1">
      <c r="F5747" s="298"/>
      <c r="G5747" s="298"/>
      <c r="J5747" s="343"/>
    </row>
    <row r="5748" spans="5:13" ht="15" customHeight="1" thickBot="1">
      <c r="E5748" s="356" t="s">
        <v>1074</v>
      </c>
      <c r="F5748" s="295" t="s">
        <v>1075</v>
      </c>
      <c r="J5748" s="343"/>
      <c r="M5748" s="299">
        <f>L5764</f>
        <v>472261</v>
      </c>
    </row>
    <row r="5749" spans="5:13" ht="15" customHeight="1" thickBot="1">
      <c r="F5749" s="340" t="s">
        <v>136</v>
      </c>
      <c r="G5749" s="341" t="s">
        <v>162</v>
      </c>
      <c r="H5749" s="352" t="s">
        <v>163</v>
      </c>
      <c r="I5749" s="352" t="s">
        <v>138</v>
      </c>
      <c r="J5749" s="353" t="s">
        <v>164</v>
      </c>
      <c r="K5749" s="341" t="s">
        <v>165</v>
      </c>
      <c r="L5749" s="354" t="s">
        <v>166</v>
      </c>
    </row>
    <row r="5750" spans="5:13" ht="15" customHeight="1">
      <c r="F5750" s="300" t="s">
        <v>167</v>
      </c>
      <c r="G5750" s="301" t="s">
        <v>168</v>
      </c>
      <c r="H5750" s="302"/>
      <c r="I5750" s="302"/>
      <c r="J5750" s="351"/>
      <c r="K5750" s="328"/>
      <c r="L5750" s="310"/>
    </row>
    <row r="5751" spans="5:13" ht="15" customHeight="1">
      <c r="F5751" s="306"/>
      <c r="G5751" s="301" t="s">
        <v>169</v>
      </c>
      <c r="H5751" s="307" t="s">
        <v>170</v>
      </c>
      <c r="I5751" s="307" t="s">
        <v>171</v>
      </c>
      <c r="J5751" s="308">
        <v>0.16600000000000001</v>
      </c>
      <c r="K5751" s="309">
        <f>VLOOKUP(G5751,Upah,8,FALSE)</f>
        <v>125000</v>
      </c>
      <c r="L5751" s="310">
        <f>J5751*K5751</f>
        <v>20750</v>
      </c>
    </row>
    <row r="5752" spans="5:13" ht="15" customHeight="1">
      <c r="F5752" s="306"/>
      <c r="G5752" s="301" t="s">
        <v>172</v>
      </c>
      <c r="H5752" s="307" t="s">
        <v>173</v>
      </c>
      <c r="I5752" s="307" t="s">
        <v>171</v>
      </c>
      <c r="J5752" s="308">
        <v>0.25</v>
      </c>
      <c r="K5752" s="309">
        <f>VLOOKUP(G5752,Upah,8,FALSE)</f>
        <v>150000</v>
      </c>
      <c r="L5752" s="310">
        <f>J5752*K5752</f>
        <v>37500</v>
      </c>
    </row>
    <row r="5753" spans="5:13" ht="15" customHeight="1">
      <c r="F5753" s="306"/>
      <c r="G5753" s="301" t="s">
        <v>232</v>
      </c>
      <c r="H5753" s="307" t="s">
        <v>175</v>
      </c>
      <c r="I5753" s="307" t="s">
        <v>171</v>
      </c>
      <c r="J5753" s="308">
        <v>2.5000000000000001E-2</v>
      </c>
      <c r="K5753" s="309">
        <f>VLOOKUP(G5753,Upah,8,FALSE)</f>
        <v>165000</v>
      </c>
      <c r="L5753" s="310">
        <f>J5753*K5753</f>
        <v>4125</v>
      </c>
    </row>
    <row r="5754" spans="5:13" ht="15" customHeight="1" thickBot="1">
      <c r="F5754" s="306"/>
      <c r="G5754" s="301" t="s">
        <v>176</v>
      </c>
      <c r="H5754" s="307" t="s">
        <v>177</v>
      </c>
      <c r="I5754" s="307" t="s">
        <v>171</v>
      </c>
      <c r="J5754" s="308">
        <v>8.0000000000000002E-3</v>
      </c>
      <c r="K5754" s="309">
        <f>VLOOKUP(G5754,Upah,8,FALSE)</f>
        <v>170000</v>
      </c>
      <c r="L5754" s="310">
        <f>J5754*K5754</f>
        <v>1360</v>
      </c>
    </row>
    <row r="5755" spans="5:13" ht="15" customHeight="1" thickBot="1">
      <c r="F5755" s="316"/>
      <c r="G5755" s="317"/>
      <c r="H5755" s="318"/>
      <c r="I5755" s="318"/>
      <c r="J5755" s="319" t="s">
        <v>178</v>
      </c>
      <c r="K5755" s="320"/>
      <c r="L5755" s="321">
        <f>SUM(L5751:L5754)</f>
        <v>63735</v>
      </c>
    </row>
    <row r="5756" spans="5:13" ht="15" customHeight="1">
      <c r="F5756" s="300" t="s">
        <v>179</v>
      </c>
      <c r="G5756" s="301" t="s">
        <v>180</v>
      </c>
      <c r="H5756" s="302"/>
      <c r="I5756" s="302"/>
      <c r="J5756" s="351"/>
      <c r="K5756" s="328"/>
      <c r="L5756" s="310"/>
    </row>
    <row r="5757" spans="5:13" ht="15" customHeight="1">
      <c r="F5757" s="306"/>
      <c r="G5757" s="301" t="s">
        <v>1076</v>
      </c>
      <c r="H5757" s="302"/>
      <c r="I5757" s="307" t="s">
        <v>221</v>
      </c>
      <c r="J5757" s="308">
        <v>30</v>
      </c>
      <c r="K5757" s="328">
        <f>VLOOKUP(G5757,Bahan,6,FALSE)</f>
        <v>12000</v>
      </c>
      <c r="L5757" s="310">
        <f>J5757*K5757</f>
        <v>360000</v>
      </c>
    </row>
    <row r="5758" spans="5:13" ht="15" customHeight="1" thickBot="1">
      <c r="F5758" s="306"/>
      <c r="G5758" s="301" t="s">
        <v>415</v>
      </c>
      <c r="H5758" s="302"/>
      <c r="I5758" s="307" t="s">
        <v>45</v>
      </c>
      <c r="J5758" s="308">
        <v>0.2</v>
      </c>
      <c r="K5758" s="328">
        <f>VLOOKUP(G5758,Bahan,6,FALSE)</f>
        <v>27970</v>
      </c>
      <c r="L5758" s="310">
        <f>J5758*K5758</f>
        <v>5594</v>
      </c>
    </row>
    <row r="5759" spans="5:13" ht="15" customHeight="1" thickBot="1">
      <c r="F5759" s="316"/>
      <c r="G5759" s="317"/>
      <c r="H5759" s="318"/>
      <c r="I5759" s="318"/>
      <c r="J5759" s="319" t="s">
        <v>189</v>
      </c>
      <c r="K5759" s="320"/>
      <c r="L5759" s="321">
        <f>SUM(L5757:L5758)</f>
        <v>365594</v>
      </c>
    </row>
    <row r="5760" spans="5:13" ht="15" customHeight="1" thickBot="1">
      <c r="F5760" s="300" t="s">
        <v>190</v>
      </c>
      <c r="G5760" s="301" t="s">
        <v>191</v>
      </c>
      <c r="H5760" s="302"/>
      <c r="I5760" s="302"/>
      <c r="J5760" s="351"/>
      <c r="K5760" s="328">
        <v>0</v>
      </c>
      <c r="L5760" s="310">
        <f>J5760*K5760</f>
        <v>0</v>
      </c>
    </row>
    <row r="5761" spans="5:13" ht="15" customHeight="1" thickBot="1">
      <c r="F5761" s="316"/>
      <c r="G5761" s="317"/>
      <c r="H5761" s="318"/>
      <c r="I5761" s="318"/>
      <c r="J5761" s="319" t="s">
        <v>192</v>
      </c>
      <c r="K5761" s="320"/>
      <c r="L5761" s="321">
        <f>L5760</f>
        <v>0</v>
      </c>
    </row>
    <row r="5762" spans="5:13" ht="15" customHeight="1">
      <c r="F5762" s="344" t="s">
        <v>193</v>
      </c>
      <c r="G5762" s="345" t="s">
        <v>194</v>
      </c>
      <c r="H5762" s="346"/>
      <c r="I5762" s="346"/>
      <c r="J5762" s="347"/>
      <c r="K5762" s="348">
        <v>0</v>
      </c>
      <c r="L5762" s="310">
        <f>SUM(L5751:L5761)/2</f>
        <v>429329</v>
      </c>
    </row>
    <row r="5763" spans="5:13" ht="15" customHeight="1" thickBot="1">
      <c r="F5763" s="331" t="s">
        <v>195</v>
      </c>
      <c r="G5763" s="332" t="s">
        <v>196</v>
      </c>
      <c r="H5763" s="333"/>
      <c r="I5763" s="333"/>
      <c r="J5763" s="350">
        <v>0.1</v>
      </c>
      <c r="K5763" s="335"/>
      <c r="L5763" s="330">
        <f>J5763*L5762</f>
        <v>42932.9</v>
      </c>
    </row>
    <row r="5764" spans="5:13" ht="15" customHeight="1" thickBot="1">
      <c r="F5764" s="340" t="s">
        <v>197</v>
      </c>
      <c r="G5764" s="341" t="s">
        <v>198</v>
      </c>
      <c r="H5764" s="318"/>
      <c r="I5764" s="318"/>
      <c r="J5764" s="342"/>
      <c r="K5764" s="320">
        <v>0</v>
      </c>
      <c r="L5764" s="321">
        <f>ROUNDDOWN(L5762+L5763,0)</f>
        <v>472261</v>
      </c>
    </row>
    <row r="5765" spans="5:13" ht="15" customHeight="1">
      <c r="F5765" s="298"/>
      <c r="G5765" s="298"/>
      <c r="J5765" s="343"/>
    </row>
    <row r="5766" spans="5:13" ht="15" customHeight="1" thickBot="1">
      <c r="E5766" s="356" t="s">
        <v>1077</v>
      </c>
      <c r="F5766" s="295" t="s">
        <v>1078</v>
      </c>
      <c r="J5766" s="343"/>
      <c r="M5766" s="299">
        <f>L5785</f>
        <v>203059</v>
      </c>
    </row>
    <row r="5767" spans="5:13" ht="15" customHeight="1" thickBot="1">
      <c r="F5767" s="340" t="s">
        <v>136</v>
      </c>
      <c r="G5767" s="341" t="s">
        <v>162</v>
      </c>
      <c r="H5767" s="352" t="s">
        <v>163</v>
      </c>
      <c r="I5767" s="352" t="s">
        <v>138</v>
      </c>
      <c r="J5767" s="353" t="s">
        <v>164</v>
      </c>
      <c r="K5767" s="341" t="s">
        <v>165</v>
      </c>
      <c r="L5767" s="354" t="s">
        <v>166</v>
      </c>
    </row>
    <row r="5768" spans="5:13" ht="15" customHeight="1">
      <c r="F5768" s="300" t="s">
        <v>167</v>
      </c>
      <c r="G5768" s="301" t="s">
        <v>168</v>
      </c>
      <c r="H5768" s="302"/>
      <c r="I5768" s="302"/>
      <c r="J5768" s="351"/>
      <c r="K5768" s="328"/>
      <c r="L5768" s="310"/>
    </row>
    <row r="5769" spans="5:13" ht="15" customHeight="1">
      <c r="F5769" s="306"/>
      <c r="G5769" s="301" t="s">
        <v>169</v>
      </c>
      <c r="H5769" s="307" t="s">
        <v>170</v>
      </c>
      <c r="I5769" s="307" t="s">
        <v>171</v>
      </c>
      <c r="J5769" s="308">
        <v>0.4</v>
      </c>
      <c r="K5769" s="309">
        <f>VLOOKUP(G5769,Upah,8,FALSE)</f>
        <v>125000</v>
      </c>
      <c r="L5769" s="310">
        <f>J5769*K5769</f>
        <v>50000</v>
      </c>
    </row>
    <row r="5770" spans="5:13" ht="15" customHeight="1">
      <c r="F5770" s="306"/>
      <c r="G5770" s="301" t="s">
        <v>172</v>
      </c>
      <c r="H5770" s="307" t="s">
        <v>173</v>
      </c>
      <c r="I5770" s="307" t="s">
        <v>171</v>
      </c>
      <c r="J5770" s="308">
        <v>0.2</v>
      </c>
      <c r="K5770" s="309">
        <f>VLOOKUP(G5770,Upah,8,FALSE)</f>
        <v>150000</v>
      </c>
      <c r="L5770" s="310">
        <f>J5770*K5770</f>
        <v>30000</v>
      </c>
    </row>
    <row r="5771" spans="5:13" ht="15" customHeight="1">
      <c r="F5771" s="306"/>
      <c r="G5771" s="301" t="s">
        <v>232</v>
      </c>
      <c r="H5771" s="307" t="s">
        <v>175</v>
      </c>
      <c r="I5771" s="307" t="s">
        <v>171</v>
      </c>
      <c r="J5771" s="308">
        <v>0.02</v>
      </c>
      <c r="K5771" s="309">
        <f>VLOOKUP(G5771,Upah,8,FALSE)</f>
        <v>165000</v>
      </c>
      <c r="L5771" s="310">
        <f>J5771*K5771</f>
        <v>3300</v>
      </c>
    </row>
    <row r="5772" spans="5:13" ht="15" customHeight="1" thickBot="1">
      <c r="F5772" s="306"/>
      <c r="G5772" s="301" t="s">
        <v>176</v>
      </c>
      <c r="H5772" s="307" t="s">
        <v>177</v>
      </c>
      <c r="I5772" s="307" t="s">
        <v>171</v>
      </c>
      <c r="J5772" s="308">
        <v>0.02</v>
      </c>
      <c r="K5772" s="309">
        <f>VLOOKUP(G5772,Upah,8,FALSE)</f>
        <v>170000</v>
      </c>
      <c r="L5772" s="310">
        <f>J5772*K5772</f>
        <v>3400</v>
      </c>
    </row>
    <row r="5773" spans="5:13" ht="15" customHeight="1" thickBot="1">
      <c r="F5773" s="316"/>
      <c r="G5773" s="317"/>
      <c r="H5773" s="318"/>
      <c r="I5773" s="318"/>
      <c r="J5773" s="319" t="s">
        <v>178</v>
      </c>
      <c r="K5773" s="320"/>
      <c r="L5773" s="321">
        <f>SUM(L5769:L5772)</f>
        <v>86700</v>
      </c>
    </row>
    <row r="5774" spans="5:13" ht="15" customHeight="1">
      <c r="F5774" s="300" t="s">
        <v>179</v>
      </c>
      <c r="G5774" s="301" t="s">
        <v>180</v>
      </c>
      <c r="H5774" s="302"/>
      <c r="I5774" s="302"/>
      <c r="J5774" s="351"/>
      <c r="K5774" s="328"/>
      <c r="L5774" s="310"/>
    </row>
    <row r="5775" spans="5:13" ht="15" customHeight="1">
      <c r="F5775" s="306"/>
      <c r="G5775" s="301" t="s">
        <v>1079</v>
      </c>
      <c r="H5775" s="302"/>
      <c r="I5775" s="307" t="s">
        <v>221</v>
      </c>
      <c r="J5775" s="308">
        <v>3.5</v>
      </c>
      <c r="K5775" s="328">
        <f>VLOOKUP(G5775,Bahan,6,FALSE)</f>
        <v>18750</v>
      </c>
      <c r="L5775" s="310">
        <f>J5775*K5775</f>
        <v>65625</v>
      </c>
    </row>
    <row r="5776" spans="5:13" ht="15" customHeight="1">
      <c r="F5776" s="306"/>
      <c r="G5776" s="301" t="s">
        <v>415</v>
      </c>
      <c r="H5776" s="302"/>
      <c r="I5776" s="307" t="s">
        <v>45</v>
      </c>
      <c r="J5776" s="308">
        <v>0.05</v>
      </c>
      <c r="K5776" s="328">
        <f>VLOOKUP(G5776,Bahan,6,FALSE)</f>
        <v>27970</v>
      </c>
      <c r="L5776" s="310">
        <f>J5776*K5776</f>
        <v>1398.5</v>
      </c>
    </row>
    <row r="5777" spans="5:13" ht="15" customHeight="1">
      <c r="F5777" s="306"/>
      <c r="G5777" s="301" t="s">
        <v>183</v>
      </c>
      <c r="H5777" s="302"/>
      <c r="I5777" s="307" t="s">
        <v>45</v>
      </c>
      <c r="J5777" s="308">
        <v>10.8</v>
      </c>
      <c r="K5777" s="328">
        <f>VLOOKUP(G5777,Bahan,6,FALSE)</f>
        <v>1880</v>
      </c>
      <c r="L5777" s="310">
        <f>J5777*K5777</f>
        <v>20304</v>
      </c>
    </row>
    <row r="5778" spans="5:13" ht="15" customHeight="1">
      <c r="F5778" s="306"/>
      <c r="G5778" s="301" t="s">
        <v>296</v>
      </c>
      <c r="H5778" s="302"/>
      <c r="I5778" s="307" t="s">
        <v>292</v>
      </c>
      <c r="J5778" s="308">
        <v>3.2000000000000001E-2</v>
      </c>
      <c r="K5778" s="328">
        <f>VLOOKUP(G5778,Bahan,6,FALSE)</f>
        <v>253510</v>
      </c>
      <c r="L5778" s="310">
        <f>J5778*K5778</f>
        <v>8112.3200000000006</v>
      </c>
    </row>
    <row r="5779" spans="5:13" ht="15" customHeight="1" thickBot="1">
      <c r="F5779" s="306"/>
      <c r="G5779" s="301" t="s">
        <v>840</v>
      </c>
      <c r="H5779" s="302"/>
      <c r="I5779" s="307" t="s">
        <v>45</v>
      </c>
      <c r="J5779" s="308">
        <v>1</v>
      </c>
      <c r="K5779" s="328">
        <f>VLOOKUP(G5779,Bahan,6,FALSE)</f>
        <v>2460</v>
      </c>
      <c r="L5779" s="310">
        <f>J5779*K5779</f>
        <v>2460</v>
      </c>
    </row>
    <row r="5780" spans="5:13" ht="15" customHeight="1" thickBot="1">
      <c r="F5780" s="316"/>
      <c r="G5780" s="317"/>
      <c r="H5780" s="318"/>
      <c r="I5780" s="318"/>
      <c r="J5780" s="319" t="s">
        <v>189</v>
      </c>
      <c r="K5780" s="320"/>
      <c r="L5780" s="321">
        <f>SUM(L5775:L5779)</f>
        <v>97899.82</v>
      </c>
    </row>
    <row r="5781" spans="5:13" ht="15" customHeight="1" thickBot="1">
      <c r="F5781" s="300" t="s">
        <v>190</v>
      </c>
      <c r="G5781" s="301" t="s">
        <v>191</v>
      </c>
      <c r="H5781" s="302"/>
      <c r="I5781" s="302"/>
      <c r="J5781" s="351"/>
      <c r="K5781" s="328">
        <v>0</v>
      </c>
      <c r="L5781" s="310">
        <f>J5781*K5781</f>
        <v>0</v>
      </c>
    </row>
    <row r="5782" spans="5:13" ht="15" customHeight="1" thickBot="1">
      <c r="F5782" s="316"/>
      <c r="G5782" s="317"/>
      <c r="H5782" s="318"/>
      <c r="I5782" s="318"/>
      <c r="J5782" s="319" t="s">
        <v>192</v>
      </c>
      <c r="K5782" s="320"/>
      <c r="L5782" s="321">
        <f>L5781</f>
        <v>0</v>
      </c>
    </row>
    <row r="5783" spans="5:13" ht="15" customHeight="1">
      <c r="F5783" s="344" t="s">
        <v>193</v>
      </c>
      <c r="G5783" s="345" t="s">
        <v>194</v>
      </c>
      <c r="H5783" s="346"/>
      <c r="I5783" s="346"/>
      <c r="J5783" s="347"/>
      <c r="K5783" s="348">
        <v>0</v>
      </c>
      <c r="L5783" s="310">
        <f>SUM(L5768:L5782)/2</f>
        <v>184599.82</v>
      </c>
    </row>
    <row r="5784" spans="5:13" ht="15" customHeight="1" thickBot="1">
      <c r="F5784" s="331" t="s">
        <v>195</v>
      </c>
      <c r="G5784" s="332" t="s">
        <v>196</v>
      </c>
      <c r="H5784" s="333"/>
      <c r="I5784" s="333"/>
      <c r="J5784" s="350">
        <v>0.1</v>
      </c>
      <c r="K5784" s="335"/>
      <c r="L5784" s="330">
        <f>J5784*L5783</f>
        <v>18459.982</v>
      </c>
    </row>
    <row r="5785" spans="5:13" ht="15" customHeight="1" thickBot="1">
      <c r="F5785" s="340" t="s">
        <v>197</v>
      </c>
      <c r="G5785" s="341" t="s">
        <v>198</v>
      </c>
      <c r="H5785" s="318"/>
      <c r="I5785" s="318"/>
      <c r="J5785" s="342"/>
      <c r="K5785" s="320">
        <v>0</v>
      </c>
      <c r="L5785" s="321">
        <f>ROUNDDOWN(L5783+L5784,0)</f>
        <v>203059</v>
      </c>
    </row>
    <row r="5786" spans="5:13" ht="15" customHeight="1">
      <c r="F5786" s="298"/>
      <c r="G5786" s="298"/>
      <c r="J5786" s="343"/>
    </row>
    <row r="5787" spans="5:13" ht="15" customHeight="1" thickBot="1">
      <c r="E5787" s="356" t="s">
        <v>1080</v>
      </c>
      <c r="F5787" s="295" t="s">
        <v>1081</v>
      </c>
      <c r="J5787" s="343"/>
      <c r="M5787" s="299">
        <f>L5804</f>
        <v>149579</v>
      </c>
    </row>
    <row r="5788" spans="5:13" ht="15" customHeight="1" thickBot="1">
      <c r="F5788" s="340" t="s">
        <v>136</v>
      </c>
      <c r="G5788" s="341" t="s">
        <v>162</v>
      </c>
      <c r="H5788" s="352" t="s">
        <v>163</v>
      </c>
      <c r="I5788" s="352" t="s">
        <v>138</v>
      </c>
      <c r="J5788" s="353" t="s">
        <v>164</v>
      </c>
      <c r="K5788" s="341" t="s">
        <v>165</v>
      </c>
      <c r="L5788" s="354" t="s">
        <v>166</v>
      </c>
    </row>
    <row r="5789" spans="5:13" ht="15" customHeight="1">
      <c r="F5789" s="300" t="s">
        <v>167</v>
      </c>
      <c r="G5789" s="301" t="s">
        <v>168</v>
      </c>
      <c r="H5789" s="302"/>
      <c r="I5789" s="302"/>
      <c r="J5789" s="351"/>
      <c r="K5789" s="328"/>
      <c r="L5789" s="310"/>
    </row>
    <row r="5790" spans="5:13" ht="15" customHeight="1">
      <c r="F5790" s="306"/>
      <c r="G5790" s="301" t="s">
        <v>169</v>
      </c>
      <c r="H5790" s="307" t="s">
        <v>170</v>
      </c>
      <c r="I5790" s="307" t="s">
        <v>171</v>
      </c>
      <c r="J5790" s="308">
        <v>0.125</v>
      </c>
      <c r="K5790" s="309">
        <f>VLOOKUP(G5790,Upah,8,FALSE)</f>
        <v>125000</v>
      </c>
      <c r="L5790" s="310">
        <f>J5790*K5790</f>
        <v>15625</v>
      </c>
    </row>
    <row r="5791" spans="5:13" ht="15" customHeight="1">
      <c r="F5791" s="306"/>
      <c r="G5791" s="301" t="s">
        <v>172</v>
      </c>
      <c r="H5791" s="307" t="s">
        <v>173</v>
      </c>
      <c r="I5791" s="307" t="s">
        <v>171</v>
      </c>
      <c r="J5791" s="308">
        <v>0.25</v>
      </c>
      <c r="K5791" s="309">
        <f>VLOOKUP(G5791,Upah,8,FALSE)</f>
        <v>150000</v>
      </c>
      <c r="L5791" s="310">
        <f>J5791*K5791</f>
        <v>37500</v>
      </c>
    </row>
    <row r="5792" spans="5:13" ht="15" customHeight="1">
      <c r="F5792" s="306"/>
      <c r="G5792" s="301" t="s">
        <v>232</v>
      </c>
      <c r="H5792" s="307" t="s">
        <v>175</v>
      </c>
      <c r="I5792" s="307" t="s">
        <v>171</v>
      </c>
      <c r="J5792" s="308">
        <v>2.5000000000000001E-2</v>
      </c>
      <c r="K5792" s="309">
        <f>VLOOKUP(G5792,Upah,8,FALSE)</f>
        <v>165000</v>
      </c>
      <c r="L5792" s="310">
        <f>J5792*K5792</f>
        <v>4125</v>
      </c>
    </row>
    <row r="5793" spans="5:13" ht="15" customHeight="1" thickBot="1">
      <c r="F5793" s="306"/>
      <c r="G5793" s="301" t="s">
        <v>176</v>
      </c>
      <c r="H5793" s="307" t="s">
        <v>177</v>
      </c>
      <c r="I5793" s="307" t="s">
        <v>171</v>
      </c>
      <c r="J5793" s="308">
        <v>6.0000000000000001E-3</v>
      </c>
      <c r="K5793" s="309">
        <f>VLOOKUP(G5793,Upah,8,FALSE)</f>
        <v>170000</v>
      </c>
      <c r="L5793" s="310">
        <f>J5793*K5793</f>
        <v>1020</v>
      </c>
    </row>
    <row r="5794" spans="5:13" ht="15" customHeight="1" thickBot="1">
      <c r="F5794" s="316"/>
      <c r="G5794" s="317"/>
      <c r="H5794" s="318"/>
      <c r="I5794" s="318"/>
      <c r="J5794" s="319" t="s">
        <v>178</v>
      </c>
      <c r="K5794" s="320"/>
      <c r="L5794" s="321">
        <f>SUM(L5790:L5793)</f>
        <v>58270</v>
      </c>
    </row>
    <row r="5795" spans="5:13" ht="15" customHeight="1">
      <c r="F5795" s="300" t="s">
        <v>179</v>
      </c>
      <c r="G5795" s="301" t="s">
        <v>180</v>
      </c>
      <c r="H5795" s="302"/>
      <c r="I5795" s="302"/>
      <c r="J5795" s="351"/>
      <c r="K5795" s="328"/>
      <c r="L5795" s="310"/>
    </row>
    <row r="5796" spans="5:13" ht="15" customHeight="1">
      <c r="F5796" s="306"/>
      <c r="G5796" s="301" t="s">
        <v>1082</v>
      </c>
      <c r="H5796" s="302"/>
      <c r="I5796" s="307" t="s">
        <v>221</v>
      </c>
      <c r="J5796" s="308">
        <v>2</v>
      </c>
      <c r="K5796" s="328">
        <f>VLOOKUP(G5796,Bahan,6,FALSE)</f>
        <v>30500</v>
      </c>
      <c r="L5796" s="310">
        <f>J5796*K5796</f>
        <v>61000</v>
      </c>
    </row>
    <row r="5797" spans="5:13" ht="15" customHeight="1">
      <c r="F5797" s="306"/>
      <c r="G5797" s="301" t="s">
        <v>415</v>
      </c>
      <c r="H5797" s="302"/>
      <c r="I5797" s="307" t="s">
        <v>45</v>
      </c>
      <c r="J5797" s="308">
        <v>0.05</v>
      </c>
      <c r="K5797" s="328">
        <f>VLOOKUP(G5797,Bahan,6,FALSE)</f>
        <v>27970</v>
      </c>
      <c r="L5797" s="310">
        <f>J5797*K5797</f>
        <v>1398.5</v>
      </c>
    </row>
    <row r="5798" spans="5:13" ht="15" customHeight="1" thickBot="1">
      <c r="F5798" s="306"/>
      <c r="G5798" s="301" t="s">
        <v>1083</v>
      </c>
      <c r="H5798" s="302"/>
      <c r="I5798" s="307" t="s">
        <v>292</v>
      </c>
      <c r="J5798" s="308">
        <v>3.5000000000000001E-3</v>
      </c>
      <c r="K5798" s="328">
        <f>VLOOKUP(G5798,Bahan,6,FALSE)</f>
        <v>4375000</v>
      </c>
      <c r="L5798" s="310">
        <f>J5798*K5798</f>
        <v>15312.5</v>
      </c>
    </row>
    <row r="5799" spans="5:13" ht="15" customHeight="1" thickBot="1">
      <c r="F5799" s="316"/>
      <c r="G5799" s="317"/>
      <c r="H5799" s="318"/>
      <c r="I5799" s="318"/>
      <c r="J5799" s="319" t="s">
        <v>189</v>
      </c>
      <c r="K5799" s="320"/>
      <c r="L5799" s="321">
        <f>SUM(L5796:L5798)</f>
        <v>77711</v>
      </c>
    </row>
    <row r="5800" spans="5:13" ht="15" customHeight="1" thickBot="1">
      <c r="F5800" s="300" t="s">
        <v>190</v>
      </c>
      <c r="G5800" s="301" t="s">
        <v>191</v>
      </c>
      <c r="H5800" s="302"/>
      <c r="I5800" s="302"/>
      <c r="J5800" s="351"/>
      <c r="K5800" s="328">
        <v>0</v>
      </c>
      <c r="L5800" s="310">
        <f>J5800*K5800</f>
        <v>0</v>
      </c>
    </row>
    <row r="5801" spans="5:13" ht="15" customHeight="1" thickBot="1">
      <c r="F5801" s="316"/>
      <c r="G5801" s="317"/>
      <c r="H5801" s="318"/>
      <c r="I5801" s="318"/>
      <c r="J5801" s="319" t="s">
        <v>192</v>
      </c>
      <c r="K5801" s="320"/>
      <c r="L5801" s="321">
        <f>L5800</f>
        <v>0</v>
      </c>
    </row>
    <row r="5802" spans="5:13" ht="15" customHeight="1">
      <c r="F5802" s="344" t="s">
        <v>193</v>
      </c>
      <c r="G5802" s="345" t="s">
        <v>194</v>
      </c>
      <c r="H5802" s="346"/>
      <c r="I5802" s="346"/>
      <c r="J5802" s="347"/>
      <c r="K5802" s="348">
        <v>0</v>
      </c>
      <c r="L5802" s="310">
        <f>SUM(L5790:L5801)/2</f>
        <v>135981</v>
      </c>
    </row>
    <row r="5803" spans="5:13" ht="15" customHeight="1" thickBot="1">
      <c r="F5803" s="331" t="s">
        <v>195</v>
      </c>
      <c r="G5803" s="332" t="s">
        <v>196</v>
      </c>
      <c r="H5803" s="333"/>
      <c r="I5803" s="333"/>
      <c r="J5803" s="350">
        <v>0.1</v>
      </c>
      <c r="K5803" s="335"/>
      <c r="L5803" s="330">
        <f>J5803*L5802</f>
        <v>13598.1</v>
      </c>
    </row>
    <row r="5804" spans="5:13" ht="15" customHeight="1" thickBot="1">
      <c r="F5804" s="340" t="s">
        <v>197</v>
      </c>
      <c r="G5804" s="341" t="s">
        <v>198</v>
      </c>
      <c r="H5804" s="318"/>
      <c r="I5804" s="318"/>
      <c r="J5804" s="342"/>
      <c r="K5804" s="320">
        <v>0</v>
      </c>
      <c r="L5804" s="321">
        <f>ROUNDDOWN(L5802+L5803,0)</f>
        <v>149579</v>
      </c>
    </row>
    <row r="5805" spans="5:13" ht="15" customHeight="1">
      <c r="F5805" s="298"/>
      <c r="G5805" s="298"/>
      <c r="J5805" s="343"/>
    </row>
    <row r="5806" spans="5:13" ht="15" customHeight="1" thickBot="1">
      <c r="E5806" s="356" t="s">
        <v>1084</v>
      </c>
      <c r="F5806" s="295" t="s">
        <v>1085</v>
      </c>
      <c r="J5806" s="343"/>
      <c r="M5806" s="299">
        <f>L5822</f>
        <v>177294</v>
      </c>
    </row>
    <row r="5807" spans="5:13" ht="15" customHeight="1" thickBot="1">
      <c r="F5807" s="340" t="s">
        <v>136</v>
      </c>
      <c r="G5807" s="341" t="s">
        <v>162</v>
      </c>
      <c r="H5807" s="352" t="s">
        <v>163</v>
      </c>
      <c r="I5807" s="352" t="s">
        <v>138</v>
      </c>
      <c r="J5807" s="353" t="s">
        <v>164</v>
      </c>
      <c r="K5807" s="341" t="s">
        <v>165</v>
      </c>
      <c r="L5807" s="354" t="s">
        <v>166</v>
      </c>
    </row>
    <row r="5808" spans="5:13" ht="15" customHeight="1">
      <c r="F5808" s="300" t="s">
        <v>167</v>
      </c>
      <c r="G5808" s="301" t="s">
        <v>168</v>
      </c>
      <c r="H5808" s="302"/>
      <c r="I5808" s="302"/>
      <c r="J5808" s="351"/>
      <c r="K5808" s="328"/>
      <c r="L5808" s="310"/>
    </row>
    <row r="5809" spans="5:13" ht="15" customHeight="1">
      <c r="F5809" s="306"/>
      <c r="G5809" s="301" t="s">
        <v>169</v>
      </c>
      <c r="H5809" s="307" t="s">
        <v>170</v>
      </c>
      <c r="I5809" s="307" t="s">
        <v>171</v>
      </c>
      <c r="J5809" s="308">
        <v>0.25</v>
      </c>
      <c r="K5809" s="309">
        <f>VLOOKUP(G5809,Upah,8,FALSE)</f>
        <v>125000</v>
      </c>
      <c r="L5809" s="310">
        <f>J5809*K5809</f>
        <v>31250</v>
      </c>
    </row>
    <row r="5810" spans="5:13" ht="15" customHeight="1">
      <c r="F5810" s="306"/>
      <c r="G5810" s="301" t="s">
        <v>172</v>
      </c>
      <c r="H5810" s="307" t="s">
        <v>173</v>
      </c>
      <c r="I5810" s="307" t="s">
        <v>171</v>
      </c>
      <c r="J5810" s="308">
        <v>0.15</v>
      </c>
      <c r="K5810" s="309">
        <f>VLOOKUP(G5810,Upah,8,FALSE)</f>
        <v>150000</v>
      </c>
      <c r="L5810" s="310">
        <f>J5810*K5810</f>
        <v>22500</v>
      </c>
    </row>
    <row r="5811" spans="5:13" ht="15" customHeight="1">
      <c r="F5811" s="306"/>
      <c r="G5811" s="301" t="s">
        <v>232</v>
      </c>
      <c r="H5811" s="307" t="s">
        <v>175</v>
      </c>
      <c r="I5811" s="307" t="s">
        <v>171</v>
      </c>
      <c r="J5811" s="308">
        <v>1.4999999999999999E-2</v>
      </c>
      <c r="K5811" s="309">
        <f>VLOOKUP(G5811,Upah,8,FALSE)</f>
        <v>165000</v>
      </c>
      <c r="L5811" s="310">
        <f>J5811*K5811</f>
        <v>2475</v>
      </c>
    </row>
    <row r="5812" spans="5:13" ht="15" customHeight="1" thickBot="1">
      <c r="F5812" s="306"/>
      <c r="G5812" s="301" t="s">
        <v>176</v>
      </c>
      <c r="H5812" s="307" t="s">
        <v>177</v>
      </c>
      <c r="I5812" s="307" t="s">
        <v>171</v>
      </c>
      <c r="J5812" s="308">
        <v>1.2999999999999999E-2</v>
      </c>
      <c r="K5812" s="309">
        <f>VLOOKUP(G5812,Upah,8,FALSE)</f>
        <v>170000</v>
      </c>
      <c r="L5812" s="310">
        <f>J5812*K5812</f>
        <v>2210</v>
      </c>
    </row>
    <row r="5813" spans="5:13" ht="15" customHeight="1" thickBot="1">
      <c r="F5813" s="316"/>
      <c r="G5813" s="317"/>
      <c r="H5813" s="318"/>
      <c r="I5813" s="318"/>
      <c r="J5813" s="319" t="s">
        <v>178</v>
      </c>
      <c r="K5813" s="320"/>
      <c r="L5813" s="321">
        <f>SUM(L5809:L5812)</f>
        <v>58435</v>
      </c>
    </row>
    <row r="5814" spans="5:13" ht="15" customHeight="1">
      <c r="F5814" s="300" t="s">
        <v>179</v>
      </c>
      <c r="G5814" s="301" t="s">
        <v>180</v>
      </c>
      <c r="H5814" s="302"/>
      <c r="I5814" s="302"/>
      <c r="J5814" s="351"/>
      <c r="K5814" s="328"/>
      <c r="L5814" s="310"/>
    </row>
    <row r="5815" spans="5:13" ht="15" customHeight="1">
      <c r="F5815" s="306"/>
      <c r="G5815" s="301" t="s">
        <v>1086</v>
      </c>
      <c r="H5815" s="302"/>
      <c r="I5815" s="307" t="s">
        <v>221</v>
      </c>
      <c r="J5815" s="308">
        <v>1.1000000000000001</v>
      </c>
      <c r="K5815" s="328">
        <f>VLOOKUP(G5815,Bahan,6,FALSE)</f>
        <v>92130</v>
      </c>
      <c r="L5815" s="310">
        <f>J5815*K5815</f>
        <v>101343.00000000001</v>
      </c>
    </row>
    <row r="5816" spans="5:13" ht="15" customHeight="1" thickBot="1">
      <c r="F5816" s="306"/>
      <c r="G5816" s="301" t="s">
        <v>415</v>
      </c>
      <c r="H5816" s="302"/>
      <c r="I5816" s="307" t="s">
        <v>45</v>
      </c>
      <c r="J5816" s="308">
        <v>0.05</v>
      </c>
      <c r="K5816" s="328">
        <f>VLOOKUP(G5816,Bahan,6,FALSE)</f>
        <v>27970</v>
      </c>
      <c r="L5816" s="310">
        <f>J5816*K5816</f>
        <v>1398.5</v>
      </c>
    </row>
    <row r="5817" spans="5:13" ht="15" customHeight="1" thickBot="1">
      <c r="F5817" s="316"/>
      <c r="G5817" s="317"/>
      <c r="H5817" s="318"/>
      <c r="I5817" s="318"/>
      <c r="J5817" s="319" t="s">
        <v>189</v>
      </c>
      <c r="K5817" s="320"/>
      <c r="L5817" s="321">
        <f>SUM(L5815:L5816)</f>
        <v>102741.50000000001</v>
      </c>
    </row>
    <row r="5818" spans="5:13" ht="15" customHeight="1" thickBot="1">
      <c r="F5818" s="300" t="s">
        <v>190</v>
      </c>
      <c r="G5818" s="301" t="s">
        <v>191</v>
      </c>
      <c r="H5818" s="302"/>
      <c r="I5818" s="302"/>
      <c r="J5818" s="351"/>
      <c r="K5818" s="328">
        <v>0</v>
      </c>
      <c r="L5818" s="310">
        <f>J5818*K5818</f>
        <v>0</v>
      </c>
    </row>
    <row r="5819" spans="5:13" ht="15" customHeight="1" thickBot="1">
      <c r="F5819" s="316"/>
      <c r="G5819" s="317"/>
      <c r="H5819" s="318"/>
      <c r="I5819" s="318"/>
      <c r="J5819" s="319" t="s">
        <v>192</v>
      </c>
      <c r="K5819" s="320"/>
      <c r="L5819" s="321">
        <f>L5818</f>
        <v>0</v>
      </c>
    </row>
    <row r="5820" spans="5:13" ht="15" customHeight="1">
      <c r="F5820" s="344" t="s">
        <v>193</v>
      </c>
      <c r="G5820" s="345" t="s">
        <v>194</v>
      </c>
      <c r="H5820" s="346"/>
      <c r="I5820" s="346"/>
      <c r="J5820" s="347"/>
      <c r="K5820" s="348">
        <v>0</v>
      </c>
      <c r="L5820" s="310">
        <f>SUM(L5809:L5819)/2</f>
        <v>161176.5</v>
      </c>
    </row>
    <row r="5821" spans="5:13" ht="15" customHeight="1" thickBot="1">
      <c r="F5821" s="331" t="s">
        <v>195</v>
      </c>
      <c r="G5821" s="332" t="s">
        <v>196</v>
      </c>
      <c r="H5821" s="333"/>
      <c r="I5821" s="333"/>
      <c r="J5821" s="350">
        <v>0.1</v>
      </c>
      <c r="K5821" s="335"/>
      <c r="L5821" s="330">
        <f>J5821*L5820</f>
        <v>16117.650000000001</v>
      </c>
    </row>
    <row r="5822" spans="5:13" ht="15" customHeight="1" thickBot="1">
      <c r="F5822" s="340" t="s">
        <v>197</v>
      </c>
      <c r="G5822" s="341" t="s">
        <v>198</v>
      </c>
      <c r="H5822" s="318"/>
      <c r="I5822" s="318"/>
      <c r="J5822" s="342"/>
      <c r="K5822" s="320">
        <v>0</v>
      </c>
      <c r="L5822" s="321">
        <f>ROUNDDOWN(L5820+L5821,0)</f>
        <v>177294</v>
      </c>
    </row>
    <row r="5823" spans="5:13" ht="15" customHeight="1">
      <c r="F5823" s="298"/>
      <c r="G5823" s="298"/>
      <c r="J5823" s="343"/>
    </row>
    <row r="5824" spans="5:13" ht="15" customHeight="1" thickBot="1">
      <c r="E5824" s="356" t="s">
        <v>1087</v>
      </c>
      <c r="F5824" s="295" t="s">
        <v>1088</v>
      </c>
      <c r="J5824" s="343"/>
      <c r="M5824" s="299">
        <f>L5841</f>
        <v>81693</v>
      </c>
    </row>
    <row r="5825" spans="6:12" ht="15" customHeight="1" thickBot="1">
      <c r="F5825" s="340" t="s">
        <v>136</v>
      </c>
      <c r="G5825" s="341" t="s">
        <v>162</v>
      </c>
      <c r="H5825" s="352" t="s">
        <v>163</v>
      </c>
      <c r="I5825" s="352" t="s">
        <v>138</v>
      </c>
      <c r="J5825" s="353" t="s">
        <v>164</v>
      </c>
      <c r="K5825" s="341" t="s">
        <v>165</v>
      </c>
      <c r="L5825" s="354" t="s">
        <v>166</v>
      </c>
    </row>
    <row r="5826" spans="6:12" ht="15" customHeight="1">
      <c r="F5826" s="300" t="s">
        <v>167</v>
      </c>
      <c r="G5826" s="301" t="s">
        <v>168</v>
      </c>
      <c r="H5826" s="302"/>
      <c r="I5826" s="302"/>
      <c r="J5826" s="351"/>
      <c r="K5826" s="328"/>
      <c r="L5826" s="310"/>
    </row>
    <row r="5827" spans="6:12" ht="15" customHeight="1">
      <c r="F5827" s="306"/>
      <c r="G5827" s="301" t="s">
        <v>169</v>
      </c>
      <c r="H5827" s="307" t="s">
        <v>170</v>
      </c>
      <c r="I5827" s="307" t="s">
        <v>171</v>
      </c>
      <c r="J5827" s="308">
        <v>0.125</v>
      </c>
      <c r="K5827" s="309">
        <f>VLOOKUP(G5827,Upah,8,FALSE)</f>
        <v>125000</v>
      </c>
      <c r="L5827" s="310">
        <f>J5827*K5827</f>
        <v>15625</v>
      </c>
    </row>
    <row r="5828" spans="6:12" ht="15" customHeight="1">
      <c r="F5828" s="306"/>
      <c r="G5828" s="301" t="s">
        <v>172</v>
      </c>
      <c r="H5828" s="307" t="s">
        <v>173</v>
      </c>
      <c r="I5828" s="307" t="s">
        <v>171</v>
      </c>
      <c r="J5828" s="308">
        <v>0.25</v>
      </c>
      <c r="K5828" s="309">
        <f>VLOOKUP(G5828,Upah,8,FALSE)</f>
        <v>150000</v>
      </c>
      <c r="L5828" s="310">
        <f>J5828*K5828</f>
        <v>37500</v>
      </c>
    </row>
    <row r="5829" spans="6:12" ht="15" customHeight="1">
      <c r="F5829" s="306"/>
      <c r="G5829" s="301" t="s">
        <v>232</v>
      </c>
      <c r="H5829" s="307" t="s">
        <v>175</v>
      </c>
      <c r="I5829" s="307" t="s">
        <v>171</v>
      </c>
      <c r="J5829" s="308">
        <v>2.5000000000000001E-2</v>
      </c>
      <c r="K5829" s="309">
        <f>VLOOKUP(G5829,Upah,8,FALSE)</f>
        <v>165000</v>
      </c>
      <c r="L5829" s="310">
        <f>J5829*K5829</f>
        <v>4125</v>
      </c>
    </row>
    <row r="5830" spans="6:12" ht="15" customHeight="1" thickBot="1">
      <c r="F5830" s="306"/>
      <c r="G5830" s="301" t="s">
        <v>176</v>
      </c>
      <c r="H5830" s="307" t="s">
        <v>177</v>
      </c>
      <c r="I5830" s="307" t="s">
        <v>171</v>
      </c>
      <c r="J5830" s="308">
        <v>6.0000000000000001E-3</v>
      </c>
      <c r="K5830" s="309">
        <f>VLOOKUP(G5830,Upah,8,FALSE)</f>
        <v>170000</v>
      </c>
      <c r="L5830" s="310">
        <f>J5830*K5830</f>
        <v>1020</v>
      </c>
    </row>
    <row r="5831" spans="6:12" ht="15" customHeight="1" thickBot="1">
      <c r="F5831" s="316"/>
      <c r="G5831" s="317"/>
      <c r="H5831" s="318"/>
      <c r="I5831" s="318"/>
      <c r="J5831" s="319" t="s">
        <v>178</v>
      </c>
      <c r="K5831" s="320"/>
      <c r="L5831" s="321">
        <f>SUM(L5827:L5830)</f>
        <v>58270</v>
      </c>
    </row>
    <row r="5832" spans="6:12" ht="15" customHeight="1">
      <c r="F5832" s="300" t="s">
        <v>179</v>
      </c>
      <c r="G5832" s="301" t="s">
        <v>180</v>
      </c>
      <c r="H5832" s="302"/>
      <c r="I5832" s="302"/>
      <c r="J5832" s="351"/>
      <c r="K5832" s="328"/>
      <c r="L5832" s="310"/>
    </row>
    <row r="5833" spans="6:12" ht="15" customHeight="1">
      <c r="F5833" s="306"/>
      <c r="G5833" s="301" t="s">
        <v>222</v>
      </c>
      <c r="H5833" s="302"/>
      <c r="I5833" s="307" t="s">
        <v>202</v>
      </c>
      <c r="J5833" s="308">
        <v>0.4</v>
      </c>
      <c r="K5833" s="328">
        <f>VLOOKUP(G5833,Bahan,6,FALSE)</f>
        <v>33000</v>
      </c>
      <c r="L5833" s="310">
        <f>J5833*K5833</f>
        <v>13200</v>
      </c>
    </row>
    <row r="5834" spans="6:12" ht="15" customHeight="1">
      <c r="F5834" s="306"/>
      <c r="G5834" s="301" t="s">
        <v>415</v>
      </c>
      <c r="H5834" s="302"/>
      <c r="I5834" s="307" t="s">
        <v>45</v>
      </c>
      <c r="J5834" s="308">
        <v>0.05</v>
      </c>
      <c r="K5834" s="328">
        <f>VLOOKUP(G5834,Bahan,6,FALSE)</f>
        <v>27970</v>
      </c>
      <c r="L5834" s="310">
        <f>J5834*K5834</f>
        <v>1398.5</v>
      </c>
    </row>
    <row r="5835" spans="6:12" ht="15" customHeight="1" thickBot="1">
      <c r="F5835" s="306"/>
      <c r="G5835" s="301" t="s">
        <v>415</v>
      </c>
      <c r="H5835" s="302"/>
      <c r="I5835" s="307" t="s">
        <v>45</v>
      </c>
      <c r="J5835" s="308">
        <v>0.05</v>
      </c>
      <c r="K5835" s="328">
        <f>VLOOKUP(G5835,Bahan,6,FALSE)</f>
        <v>27970</v>
      </c>
      <c r="L5835" s="310">
        <f>J5835*K5835</f>
        <v>1398.5</v>
      </c>
    </row>
    <row r="5836" spans="6:12" ht="15" customHeight="1" thickBot="1">
      <c r="F5836" s="316"/>
      <c r="G5836" s="317"/>
      <c r="H5836" s="318"/>
      <c r="I5836" s="318"/>
      <c r="J5836" s="319" t="s">
        <v>189</v>
      </c>
      <c r="K5836" s="320"/>
      <c r="L5836" s="321">
        <f>SUM(L5833:L5835)</f>
        <v>15997</v>
      </c>
    </row>
    <row r="5837" spans="6:12" ht="15" customHeight="1" thickBot="1">
      <c r="F5837" s="300" t="s">
        <v>190</v>
      </c>
      <c r="G5837" s="301" t="s">
        <v>191</v>
      </c>
      <c r="H5837" s="302"/>
      <c r="I5837" s="302"/>
      <c r="J5837" s="351"/>
      <c r="K5837" s="328">
        <v>0</v>
      </c>
      <c r="L5837" s="310">
        <f>J5837*K5837</f>
        <v>0</v>
      </c>
    </row>
    <row r="5838" spans="6:12" ht="15" customHeight="1" thickBot="1">
      <c r="F5838" s="316"/>
      <c r="G5838" s="317"/>
      <c r="H5838" s="318"/>
      <c r="I5838" s="318"/>
      <c r="J5838" s="319" t="s">
        <v>192</v>
      </c>
      <c r="K5838" s="320"/>
      <c r="L5838" s="321">
        <f>L5837</f>
        <v>0</v>
      </c>
    </row>
    <row r="5839" spans="6:12" ht="15" customHeight="1">
      <c r="F5839" s="344" t="s">
        <v>193</v>
      </c>
      <c r="G5839" s="345" t="s">
        <v>194</v>
      </c>
      <c r="H5839" s="346"/>
      <c r="I5839" s="346"/>
      <c r="J5839" s="347"/>
      <c r="K5839" s="348">
        <v>0</v>
      </c>
      <c r="L5839" s="310">
        <f>SUM(L5827:L5838)/2</f>
        <v>74267</v>
      </c>
    </row>
    <row r="5840" spans="6:12" ht="15" customHeight="1" thickBot="1">
      <c r="F5840" s="331" t="s">
        <v>195</v>
      </c>
      <c r="G5840" s="332" t="s">
        <v>196</v>
      </c>
      <c r="H5840" s="333"/>
      <c r="I5840" s="333"/>
      <c r="J5840" s="350">
        <v>0.1</v>
      </c>
      <c r="K5840" s="335"/>
      <c r="L5840" s="330">
        <f>J5840*L5839</f>
        <v>7426.7000000000007</v>
      </c>
    </row>
    <row r="5841" spans="5:13" ht="15" customHeight="1" thickBot="1">
      <c r="F5841" s="340" t="s">
        <v>197</v>
      </c>
      <c r="G5841" s="341" t="s">
        <v>198</v>
      </c>
      <c r="H5841" s="318"/>
      <c r="I5841" s="318"/>
      <c r="J5841" s="342"/>
      <c r="K5841" s="320">
        <v>0</v>
      </c>
      <c r="L5841" s="321">
        <f>ROUNDDOWN(L5839+L5840,0)</f>
        <v>81693</v>
      </c>
    </row>
    <row r="5842" spans="5:13" ht="15" customHeight="1">
      <c r="F5842" s="298"/>
      <c r="G5842" s="298"/>
      <c r="J5842" s="343"/>
    </row>
    <row r="5843" spans="5:13" ht="15" customHeight="1" thickBot="1">
      <c r="E5843" s="356" t="s">
        <v>1089</v>
      </c>
      <c r="F5843" s="295" t="s">
        <v>1090</v>
      </c>
      <c r="J5843" s="343"/>
      <c r="M5843" s="299">
        <f>L5860</f>
        <v>78121</v>
      </c>
    </row>
    <row r="5844" spans="5:13" ht="15" customHeight="1" thickBot="1">
      <c r="F5844" s="340" t="s">
        <v>136</v>
      </c>
      <c r="G5844" s="341" t="s">
        <v>162</v>
      </c>
      <c r="H5844" s="352" t="s">
        <v>163</v>
      </c>
      <c r="I5844" s="352" t="s">
        <v>138</v>
      </c>
      <c r="J5844" s="353" t="s">
        <v>164</v>
      </c>
      <c r="K5844" s="341" t="s">
        <v>165</v>
      </c>
      <c r="L5844" s="354" t="s">
        <v>166</v>
      </c>
    </row>
    <row r="5845" spans="5:13" ht="15" customHeight="1">
      <c r="F5845" s="300" t="s">
        <v>167</v>
      </c>
      <c r="G5845" s="301" t="s">
        <v>168</v>
      </c>
      <c r="H5845" s="302"/>
      <c r="I5845" s="302"/>
      <c r="J5845" s="351"/>
      <c r="K5845" s="328"/>
      <c r="L5845" s="310"/>
    </row>
    <row r="5846" spans="5:13" ht="15" customHeight="1">
      <c r="F5846" s="300" t="s">
        <v>167</v>
      </c>
      <c r="G5846" s="301" t="s">
        <v>168</v>
      </c>
      <c r="H5846" s="302"/>
      <c r="I5846" s="302"/>
      <c r="J5846" s="351"/>
      <c r="K5846" s="328">
        <v>0</v>
      </c>
      <c r="L5846" s="310">
        <f>J5846*K5846</f>
        <v>0</v>
      </c>
    </row>
    <row r="5847" spans="5:13" ht="15" customHeight="1">
      <c r="F5847" s="306"/>
      <c r="G5847" s="301" t="s">
        <v>169</v>
      </c>
      <c r="H5847" s="307" t="s">
        <v>170</v>
      </c>
      <c r="I5847" s="307" t="s">
        <v>171</v>
      </c>
      <c r="J5847" s="308">
        <v>0.12</v>
      </c>
      <c r="K5847" s="309">
        <f>VLOOKUP(G5847,Upah,8,FALSE)</f>
        <v>125000</v>
      </c>
      <c r="L5847" s="310">
        <f>J5847*K5847</f>
        <v>15000</v>
      </c>
    </row>
    <row r="5848" spans="5:13" ht="15" customHeight="1">
      <c r="F5848" s="306"/>
      <c r="G5848" s="301" t="s">
        <v>172</v>
      </c>
      <c r="H5848" s="307" t="s">
        <v>173</v>
      </c>
      <c r="I5848" s="307" t="s">
        <v>171</v>
      </c>
      <c r="J5848" s="308">
        <v>0.06</v>
      </c>
      <c r="K5848" s="309">
        <f>VLOOKUP(G5848,Upah,8,FALSE)</f>
        <v>150000</v>
      </c>
      <c r="L5848" s="310">
        <f>J5848*K5848</f>
        <v>9000</v>
      </c>
    </row>
    <row r="5849" spans="5:13" ht="15" customHeight="1">
      <c r="F5849" s="306"/>
      <c r="G5849" s="301" t="s">
        <v>232</v>
      </c>
      <c r="H5849" s="307" t="s">
        <v>175</v>
      </c>
      <c r="I5849" s="307" t="s">
        <v>171</v>
      </c>
      <c r="J5849" s="308">
        <v>6.0000000000000001E-3</v>
      </c>
      <c r="K5849" s="309">
        <f>VLOOKUP(G5849,Upah,8,FALSE)</f>
        <v>165000</v>
      </c>
      <c r="L5849" s="310">
        <f>J5849*K5849</f>
        <v>990</v>
      </c>
    </row>
    <row r="5850" spans="5:13" ht="15" customHeight="1" thickBot="1">
      <c r="F5850" s="306"/>
      <c r="G5850" s="301" t="s">
        <v>176</v>
      </c>
      <c r="H5850" s="307" t="s">
        <v>177</v>
      </c>
      <c r="I5850" s="307" t="s">
        <v>171</v>
      </c>
      <c r="J5850" s="308">
        <v>6.0000000000000001E-3</v>
      </c>
      <c r="K5850" s="309">
        <f>VLOOKUP(G5850,Upah,8,FALSE)</f>
        <v>170000</v>
      </c>
      <c r="L5850" s="310">
        <f>J5850*K5850</f>
        <v>1020</v>
      </c>
    </row>
    <row r="5851" spans="5:13" ht="15" customHeight="1" thickBot="1">
      <c r="F5851" s="316"/>
      <c r="G5851" s="317"/>
      <c r="H5851" s="318"/>
      <c r="I5851" s="318"/>
      <c r="J5851" s="319" t="s">
        <v>178</v>
      </c>
      <c r="K5851" s="320"/>
      <c r="L5851" s="321">
        <f>SUM(L5847:L5850)</f>
        <v>26010</v>
      </c>
    </row>
    <row r="5852" spans="5:13" ht="15" customHeight="1">
      <c r="F5852" s="300" t="s">
        <v>179</v>
      </c>
      <c r="G5852" s="301" t="s">
        <v>180</v>
      </c>
      <c r="H5852" s="302"/>
      <c r="I5852" s="302"/>
      <c r="J5852" s="351"/>
      <c r="K5852" s="328"/>
      <c r="L5852" s="310"/>
    </row>
    <row r="5853" spans="5:13" ht="15" customHeight="1">
      <c r="F5853" s="306"/>
      <c r="G5853" s="301" t="s">
        <v>201</v>
      </c>
      <c r="H5853" s="302"/>
      <c r="I5853" s="307" t="s">
        <v>202</v>
      </c>
      <c r="J5853" s="308">
        <v>0.7</v>
      </c>
      <c r="K5853" s="328">
        <f>VLOOKUP(G5853,Bahan,6,FALSE)</f>
        <v>63500</v>
      </c>
      <c r="L5853" s="310">
        <f>J5853*K5853</f>
        <v>44450</v>
      </c>
    </row>
    <row r="5854" spans="5:13" ht="15" customHeight="1" thickBot="1">
      <c r="F5854" s="306"/>
      <c r="G5854" s="301" t="s">
        <v>415</v>
      </c>
      <c r="H5854" s="302"/>
      <c r="I5854" s="307" t="s">
        <v>45</v>
      </c>
      <c r="J5854" s="308">
        <v>0.02</v>
      </c>
      <c r="K5854" s="328">
        <f>VLOOKUP(G5854,Bahan,6,FALSE)</f>
        <v>27970</v>
      </c>
      <c r="L5854" s="310">
        <f>J5854*K5854</f>
        <v>559.4</v>
      </c>
    </row>
    <row r="5855" spans="5:13" ht="15" customHeight="1" thickBot="1">
      <c r="F5855" s="316"/>
      <c r="G5855" s="317"/>
      <c r="H5855" s="318"/>
      <c r="I5855" s="318"/>
      <c r="J5855" s="319" t="s">
        <v>189</v>
      </c>
      <c r="K5855" s="320"/>
      <c r="L5855" s="321">
        <f>SUM(L5853:L5854)</f>
        <v>45009.4</v>
      </c>
    </row>
    <row r="5856" spans="5:13" ht="15" customHeight="1" thickBot="1">
      <c r="F5856" s="300" t="s">
        <v>190</v>
      </c>
      <c r="G5856" s="301" t="s">
        <v>191</v>
      </c>
      <c r="H5856" s="302"/>
      <c r="I5856" s="302"/>
      <c r="J5856" s="351"/>
      <c r="K5856" s="328">
        <v>0</v>
      </c>
      <c r="L5856" s="310">
        <f>J5856*K5856</f>
        <v>0</v>
      </c>
    </row>
    <row r="5857" spans="5:13" ht="15" customHeight="1" thickBot="1">
      <c r="F5857" s="316"/>
      <c r="G5857" s="317"/>
      <c r="H5857" s="318"/>
      <c r="I5857" s="318"/>
      <c r="J5857" s="319" t="s">
        <v>192</v>
      </c>
      <c r="K5857" s="320"/>
      <c r="L5857" s="321">
        <f>L5856</f>
        <v>0</v>
      </c>
    </row>
    <row r="5858" spans="5:13" ht="15" customHeight="1">
      <c r="F5858" s="344" t="s">
        <v>193</v>
      </c>
      <c r="G5858" s="345" t="s">
        <v>194</v>
      </c>
      <c r="H5858" s="346"/>
      <c r="I5858" s="346"/>
      <c r="J5858" s="347"/>
      <c r="K5858" s="348">
        <v>0</v>
      </c>
      <c r="L5858" s="310">
        <f>SUM(L5847:L5857)/2</f>
        <v>71019.399999999994</v>
      </c>
    </row>
    <row r="5859" spans="5:13" ht="15" customHeight="1" thickBot="1">
      <c r="F5859" s="331" t="s">
        <v>195</v>
      </c>
      <c r="G5859" s="332" t="s">
        <v>196</v>
      </c>
      <c r="H5859" s="333"/>
      <c r="I5859" s="333"/>
      <c r="J5859" s="350">
        <v>0.1</v>
      </c>
      <c r="K5859" s="335"/>
      <c r="L5859" s="330">
        <f>J5859*L5858</f>
        <v>7101.94</v>
      </c>
    </row>
    <row r="5860" spans="5:13" ht="15" customHeight="1" thickBot="1">
      <c r="F5860" s="340" t="s">
        <v>197</v>
      </c>
      <c r="G5860" s="341" t="s">
        <v>198</v>
      </c>
      <c r="H5860" s="318"/>
      <c r="I5860" s="318"/>
      <c r="J5860" s="342"/>
      <c r="K5860" s="320">
        <v>0</v>
      </c>
      <c r="L5860" s="321">
        <f>ROUNDDOWN(L5858+L5859,0)</f>
        <v>78121</v>
      </c>
    </row>
    <row r="5861" spans="5:13" ht="15" customHeight="1">
      <c r="F5861" s="298"/>
      <c r="G5861" s="298"/>
      <c r="J5861" s="343"/>
    </row>
    <row r="5862" spans="5:13" ht="15" customHeight="1" thickBot="1">
      <c r="E5862" s="356" t="s">
        <v>1091</v>
      </c>
      <c r="F5862" s="295" t="s">
        <v>1092</v>
      </c>
      <c r="J5862" s="343"/>
      <c r="M5862" s="299">
        <f>L5878</f>
        <v>46688</v>
      </c>
    </row>
    <row r="5863" spans="5:13" ht="15" customHeight="1" thickBot="1">
      <c r="F5863" s="340" t="s">
        <v>136</v>
      </c>
      <c r="G5863" s="341" t="s">
        <v>162</v>
      </c>
      <c r="H5863" s="352" t="s">
        <v>163</v>
      </c>
      <c r="I5863" s="352" t="s">
        <v>138</v>
      </c>
      <c r="J5863" s="353" t="s">
        <v>164</v>
      </c>
      <c r="K5863" s="341" t="s">
        <v>165</v>
      </c>
      <c r="L5863" s="354" t="s">
        <v>166</v>
      </c>
    </row>
    <row r="5864" spans="5:13" ht="15" customHeight="1">
      <c r="F5864" s="300" t="s">
        <v>167</v>
      </c>
      <c r="G5864" s="301" t="s">
        <v>168</v>
      </c>
      <c r="H5864" s="302"/>
      <c r="I5864" s="302"/>
      <c r="J5864" s="351"/>
      <c r="K5864" s="328"/>
      <c r="L5864" s="310"/>
    </row>
    <row r="5865" spans="5:13" ht="15" customHeight="1">
      <c r="F5865" s="306"/>
      <c r="G5865" s="301" t="s">
        <v>169</v>
      </c>
      <c r="H5865" s="307" t="s">
        <v>170</v>
      </c>
      <c r="I5865" s="307" t="s">
        <v>171</v>
      </c>
      <c r="J5865" s="308">
        <v>0.15</v>
      </c>
      <c r="K5865" s="309">
        <f>VLOOKUP(G5865,Upah,8,FALSE)</f>
        <v>125000</v>
      </c>
      <c r="L5865" s="310">
        <f>J5865*K5865</f>
        <v>18750</v>
      </c>
    </row>
    <row r="5866" spans="5:13" ht="15" customHeight="1">
      <c r="F5866" s="306"/>
      <c r="G5866" s="301" t="s">
        <v>172</v>
      </c>
      <c r="H5866" s="307" t="s">
        <v>173</v>
      </c>
      <c r="I5866" s="307" t="s">
        <v>171</v>
      </c>
      <c r="J5866" s="308">
        <v>7.0000000000000007E-2</v>
      </c>
      <c r="K5866" s="309">
        <f>VLOOKUP(G5866,Upah,8,FALSE)</f>
        <v>150000</v>
      </c>
      <c r="L5866" s="310">
        <f>J5866*K5866</f>
        <v>10500.000000000002</v>
      </c>
    </row>
    <row r="5867" spans="5:13" ht="15" customHeight="1">
      <c r="F5867" s="306"/>
      <c r="G5867" s="301" t="s">
        <v>232</v>
      </c>
      <c r="H5867" s="307" t="s">
        <v>175</v>
      </c>
      <c r="I5867" s="307" t="s">
        <v>171</v>
      </c>
      <c r="J5867" s="308">
        <v>7.0000000000000001E-3</v>
      </c>
      <c r="K5867" s="309">
        <f>VLOOKUP(G5867,Upah,8,FALSE)</f>
        <v>165000</v>
      </c>
      <c r="L5867" s="310">
        <f>J5867*K5867</f>
        <v>1155</v>
      </c>
    </row>
    <row r="5868" spans="5:13" ht="15" customHeight="1" thickBot="1">
      <c r="F5868" s="306"/>
      <c r="G5868" s="301" t="s">
        <v>176</v>
      </c>
      <c r="H5868" s="307" t="s">
        <v>177</v>
      </c>
      <c r="I5868" s="307" t="s">
        <v>171</v>
      </c>
      <c r="J5868" s="308">
        <v>6.0000000000000001E-3</v>
      </c>
      <c r="K5868" s="309">
        <f>VLOOKUP(G5868,Upah,8,FALSE)</f>
        <v>170000</v>
      </c>
      <c r="L5868" s="310">
        <f>J5868*K5868</f>
        <v>1020</v>
      </c>
    </row>
    <row r="5869" spans="5:13" ht="15" customHeight="1" thickBot="1">
      <c r="F5869" s="316"/>
      <c r="G5869" s="317"/>
      <c r="H5869" s="318"/>
      <c r="I5869" s="318"/>
      <c r="J5869" s="319" t="s">
        <v>178</v>
      </c>
      <c r="K5869" s="320"/>
      <c r="L5869" s="321">
        <f>SUM(L5865:L5868)</f>
        <v>31425</v>
      </c>
    </row>
    <row r="5870" spans="5:13" ht="15" customHeight="1">
      <c r="F5870" s="300" t="s">
        <v>179</v>
      </c>
      <c r="G5870" s="301" t="s">
        <v>180</v>
      </c>
      <c r="H5870" s="302"/>
      <c r="I5870" s="302"/>
      <c r="J5870" s="351"/>
      <c r="K5870" s="328"/>
      <c r="L5870" s="310"/>
    </row>
    <row r="5871" spans="5:13" ht="15" customHeight="1">
      <c r="F5871" s="306"/>
      <c r="G5871" s="301" t="s">
        <v>222</v>
      </c>
      <c r="H5871" s="302"/>
      <c r="I5871" s="307" t="s">
        <v>202</v>
      </c>
      <c r="J5871" s="308">
        <v>0.3</v>
      </c>
      <c r="K5871" s="328">
        <f>VLOOKUP(G5871,Bahan,6,FALSE)</f>
        <v>33000</v>
      </c>
      <c r="L5871" s="310">
        <f>J5871*K5871</f>
        <v>9900</v>
      </c>
    </row>
    <row r="5872" spans="5:13" ht="15" customHeight="1" thickBot="1">
      <c r="F5872" s="306"/>
      <c r="G5872" s="301" t="s">
        <v>415</v>
      </c>
      <c r="H5872" s="302"/>
      <c r="I5872" s="307" t="s">
        <v>45</v>
      </c>
      <c r="J5872" s="308">
        <v>0.04</v>
      </c>
      <c r="K5872" s="328">
        <f>VLOOKUP(G5872,Bahan,6,FALSE)</f>
        <v>27970</v>
      </c>
      <c r="L5872" s="310">
        <f>J5872*K5872</f>
        <v>1118.8</v>
      </c>
    </row>
    <row r="5873" spans="5:13" ht="15" customHeight="1" thickBot="1">
      <c r="F5873" s="316"/>
      <c r="G5873" s="317"/>
      <c r="H5873" s="318"/>
      <c r="I5873" s="318"/>
      <c r="J5873" s="319" t="s">
        <v>189</v>
      </c>
      <c r="K5873" s="320"/>
      <c r="L5873" s="321">
        <f>SUM(L5871:L5872)</f>
        <v>11018.8</v>
      </c>
    </row>
    <row r="5874" spans="5:13" ht="15" customHeight="1" thickBot="1">
      <c r="F5874" s="300" t="s">
        <v>190</v>
      </c>
      <c r="G5874" s="301" t="s">
        <v>191</v>
      </c>
      <c r="H5874" s="302"/>
      <c r="I5874" s="302"/>
      <c r="J5874" s="351"/>
      <c r="K5874" s="328">
        <v>0</v>
      </c>
      <c r="L5874" s="310">
        <f>J5874*K5874</f>
        <v>0</v>
      </c>
    </row>
    <row r="5875" spans="5:13" ht="15" customHeight="1" thickBot="1">
      <c r="F5875" s="316"/>
      <c r="G5875" s="317"/>
      <c r="H5875" s="318"/>
      <c r="I5875" s="318"/>
      <c r="J5875" s="319" t="s">
        <v>192</v>
      </c>
      <c r="K5875" s="320"/>
      <c r="L5875" s="321">
        <f>L5874</f>
        <v>0</v>
      </c>
    </row>
    <row r="5876" spans="5:13" ht="15" customHeight="1">
      <c r="F5876" s="344" t="s">
        <v>193</v>
      </c>
      <c r="G5876" s="345" t="s">
        <v>194</v>
      </c>
      <c r="H5876" s="346"/>
      <c r="I5876" s="346"/>
      <c r="J5876" s="347"/>
      <c r="K5876" s="348">
        <v>0</v>
      </c>
      <c r="L5876" s="310">
        <f>SUM(L5865:L5875)/2</f>
        <v>42443.8</v>
      </c>
    </row>
    <row r="5877" spans="5:13" ht="15" customHeight="1" thickBot="1">
      <c r="F5877" s="331" t="s">
        <v>195</v>
      </c>
      <c r="G5877" s="332" t="s">
        <v>196</v>
      </c>
      <c r="H5877" s="333"/>
      <c r="I5877" s="333"/>
      <c r="J5877" s="350">
        <v>0.1</v>
      </c>
      <c r="K5877" s="335"/>
      <c r="L5877" s="330">
        <f>J5877*L5876</f>
        <v>4244.38</v>
      </c>
    </row>
    <row r="5878" spans="5:13" ht="15" customHeight="1" thickBot="1">
      <c r="F5878" s="340" t="s">
        <v>197</v>
      </c>
      <c r="G5878" s="341" t="s">
        <v>198</v>
      </c>
      <c r="H5878" s="318"/>
      <c r="I5878" s="318"/>
      <c r="J5878" s="342"/>
      <c r="K5878" s="320">
        <v>0</v>
      </c>
      <c r="L5878" s="321">
        <f>ROUNDDOWN(L5876+L5877,0)</f>
        <v>46688</v>
      </c>
    </row>
    <row r="5879" spans="5:13" ht="15" customHeight="1">
      <c r="F5879" s="298"/>
      <c r="G5879" s="298"/>
      <c r="J5879" s="343"/>
    </row>
    <row r="5880" spans="5:13" ht="15" customHeight="1" thickBot="1">
      <c r="E5880" s="356" t="s">
        <v>1093</v>
      </c>
      <c r="F5880" s="295" t="s">
        <v>1094</v>
      </c>
      <c r="J5880" s="343"/>
      <c r="M5880" s="299">
        <f>L5896</f>
        <v>357942</v>
      </c>
    </row>
    <row r="5881" spans="5:13" ht="15" customHeight="1" thickBot="1">
      <c r="F5881" s="340" t="s">
        <v>136</v>
      </c>
      <c r="G5881" s="341" t="s">
        <v>162</v>
      </c>
      <c r="H5881" s="352" t="s">
        <v>163</v>
      </c>
      <c r="I5881" s="352" t="s">
        <v>138</v>
      </c>
      <c r="J5881" s="353" t="s">
        <v>164</v>
      </c>
      <c r="K5881" s="341" t="s">
        <v>165</v>
      </c>
      <c r="L5881" s="354" t="s">
        <v>166</v>
      </c>
    </row>
    <row r="5882" spans="5:13" ht="15" customHeight="1">
      <c r="F5882" s="300" t="s">
        <v>167</v>
      </c>
      <c r="G5882" s="301" t="s">
        <v>168</v>
      </c>
      <c r="H5882" s="302"/>
      <c r="I5882" s="302"/>
      <c r="J5882" s="351"/>
      <c r="K5882" s="328"/>
      <c r="L5882" s="310"/>
    </row>
    <row r="5883" spans="5:13" ht="15" customHeight="1">
      <c r="F5883" s="306"/>
      <c r="G5883" s="301" t="s">
        <v>169</v>
      </c>
      <c r="H5883" s="307" t="s">
        <v>170</v>
      </c>
      <c r="I5883" s="307" t="s">
        <v>171</v>
      </c>
      <c r="J5883" s="308">
        <v>0.15</v>
      </c>
      <c r="K5883" s="309">
        <f>VLOOKUP(G5883,Upah,8,FALSE)</f>
        <v>125000</v>
      </c>
      <c r="L5883" s="310">
        <f>J5883*K5883</f>
        <v>18750</v>
      </c>
    </row>
    <row r="5884" spans="5:13" ht="15" customHeight="1">
      <c r="F5884" s="306"/>
      <c r="G5884" s="301" t="s">
        <v>172</v>
      </c>
      <c r="H5884" s="307" t="s">
        <v>173</v>
      </c>
      <c r="I5884" s="307" t="s">
        <v>171</v>
      </c>
      <c r="J5884" s="308">
        <v>0.75</v>
      </c>
      <c r="K5884" s="309">
        <f>VLOOKUP(G5884,Upah,8,FALSE)</f>
        <v>150000</v>
      </c>
      <c r="L5884" s="310">
        <f>J5884*K5884</f>
        <v>112500</v>
      </c>
    </row>
    <row r="5885" spans="5:13" ht="15" customHeight="1">
      <c r="F5885" s="306"/>
      <c r="G5885" s="301" t="s">
        <v>232</v>
      </c>
      <c r="H5885" s="307" t="s">
        <v>175</v>
      </c>
      <c r="I5885" s="307" t="s">
        <v>171</v>
      </c>
      <c r="J5885" s="308">
        <v>0.08</v>
      </c>
      <c r="K5885" s="309">
        <f>VLOOKUP(G5885,Upah,8,FALSE)</f>
        <v>165000</v>
      </c>
      <c r="L5885" s="310">
        <f>J5885*K5885</f>
        <v>13200</v>
      </c>
    </row>
    <row r="5886" spans="5:13" ht="15" customHeight="1" thickBot="1">
      <c r="F5886" s="306"/>
      <c r="G5886" s="301" t="s">
        <v>176</v>
      </c>
      <c r="H5886" s="307" t="s">
        <v>177</v>
      </c>
      <c r="I5886" s="307" t="s">
        <v>171</v>
      </c>
      <c r="J5886" s="308">
        <v>6.0000000000000001E-3</v>
      </c>
      <c r="K5886" s="309">
        <f>VLOOKUP(G5886,Upah,8,FALSE)</f>
        <v>170000</v>
      </c>
      <c r="L5886" s="310">
        <f>J5886*K5886</f>
        <v>1020</v>
      </c>
    </row>
    <row r="5887" spans="5:13" ht="15" customHeight="1" thickBot="1">
      <c r="F5887" s="316"/>
      <c r="G5887" s="317"/>
      <c r="H5887" s="318"/>
      <c r="I5887" s="318"/>
      <c r="J5887" s="319" t="s">
        <v>178</v>
      </c>
      <c r="K5887" s="320"/>
      <c r="L5887" s="321">
        <f>SUM(L5883:L5886)</f>
        <v>145470</v>
      </c>
    </row>
    <row r="5888" spans="5:13" ht="15" customHeight="1">
      <c r="F5888" s="300" t="s">
        <v>179</v>
      </c>
      <c r="G5888" s="301" t="s">
        <v>180</v>
      </c>
      <c r="H5888" s="302"/>
      <c r="I5888" s="302"/>
      <c r="J5888" s="351"/>
      <c r="K5888" s="328"/>
      <c r="L5888" s="310"/>
    </row>
    <row r="5889" spans="5:13" ht="15" customHeight="1">
      <c r="F5889" s="306"/>
      <c r="G5889" s="301" t="s">
        <v>1095</v>
      </c>
      <c r="H5889" s="302"/>
      <c r="I5889" s="307" t="s">
        <v>202</v>
      </c>
      <c r="J5889" s="308">
        <v>1.05</v>
      </c>
      <c r="K5889" s="328">
        <f>VLOOKUP(G5889,Bahan,6,FALSE)</f>
        <v>171100</v>
      </c>
      <c r="L5889" s="310">
        <f>J5889*K5889</f>
        <v>179655</v>
      </c>
    </row>
    <row r="5890" spans="5:13" ht="15" customHeight="1" thickBot="1">
      <c r="F5890" s="306"/>
      <c r="G5890" s="301" t="s">
        <v>1096</v>
      </c>
      <c r="H5890" s="302"/>
      <c r="I5890" s="307" t="s">
        <v>45</v>
      </c>
      <c r="J5890" s="308">
        <v>0.02</v>
      </c>
      <c r="K5890" s="328">
        <f>VLOOKUP(G5890,Bahan,6,FALSE)</f>
        <v>13860</v>
      </c>
      <c r="L5890" s="310">
        <f>J5890*K5890</f>
        <v>277.2</v>
      </c>
    </row>
    <row r="5891" spans="5:13" ht="15" customHeight="1" thickBot="1">
      <c r="F5891" s="316"/>
      <c r="G5891" s="317"/>
      <c r="H5891" s="318"/>
      <c r="I5891" s="318"/>
      <c r="J5891" s="319" t="s">
        <v>189</v>
      </c>
      <c r="K5891" s="320"/>
      <c r="L5891" s="321">
        <f>SUM(L5889:L5890)</f>
        <v>179932.2</v>
      </c>
    </row>
    <row r="5892" spans="5:13" ht="15" customHeight="1" thickBot="1">
      <c r="F5892" s="300" t="s">
        <v>190</v>
      </c>
      <c r="G5892" s="301" t="s">
        <v>191</v>
      </c>
      <c r="H5892" s="302"/>
      <c r="I5892" s="302"/>
      <c r="J5892" s="351"/>
      <c r="K5892" s="328">
        <v>0</v>
      </c>
      <c r="L5892" s="310">
        <f>J5892*K5892</f>
        <v>0</v>
      </c>
    </row>
    <row r="5893" spans="5:13" ht="15" customHeight="1" thickBot="1">
      <c r="F5893" s="316"/>
      <c r="G5893" s="317"/>
      <c r="H5893" s="318"/>
      <c r="I5893" s="318"/>
      <c r="J5893" s="319" t="s">
        <v>192</v>
      </c>
      <c r="K5893" s="320"/>
      <c r="L5893" s="321">
        <f>L5892</f>
        <v>0</v>
      </c>
    </row>
    <row r="5894" spans="5:13" ht="15" customHeight="1">
      <c r="F5894" s="344" t="s">
        <v>193</v>
      </c>
      <c r="G5894" s="345" t="s">
        <v>194</v>
      </c>
      <c r="H5894" s="346"/>
      <c r="I5894" s="346"/>
      <c r="J5894" s="347"/>
      <c r="K5894" s="348">
        <v>0</v>
      </c>
      <c r="L5894" s="310">
        <f>SUM(L5883:L5893)/2</f>
        <v>325402.2</v>
      </c>
    </row>
    <row r="5895" spans="5:13" ht="15" customHeight="1" thickBot="1">
      <c r="F5895" s="331" t="s">
        <v>195</v>
      </c>
      <c r="G5895" s="332" t="s">
        <v>196</v>
      </c>
      <c r="H5895" s="333"/>
      <c r="I5895" s="333"/>
      <c r="J5895" s="350">
        <v>0.1</v>
      </c>
      <c r="K5895" s="335"/>
      <c r="L5895" s="330">
        <f>J5895*L5894</f>
        <v>32540.22</v>
      </c>
    </row>
    <row r="5896" spans="5:13" ht="15" customHeight="1" thickBot="1">
      <c r="F5896" s="340" t="s">
        <v>197</v>
      </c>
      <c r="G5896" s="341" t="s">
        <v>198</v>
      </c>
      <c r="H5896" s="318"/>
      <c r="I5896" s="318"/>
      <c r="J5896" s="342"/>
      <c r="K5896" s="320">
        <v>0</v>
      </c>
      <c r="L5896" s="321">
        <f>ROUNDDOWN(L5894+L5895,0)</f>
        <v>357942</v>
      </c>
    </row>
    <row r="5897" spans="5:13" ht="15" customHeight="1">
      <c r="F5897" s="298"/>
      <c r="G5897" s="298"/>
      <c r="J5897" s="343"/>
    </row>
    <row r="5898" spans="5:13" ht="15" customHeight="1" thickBot="1">
      <c r="E5898" s="356" t="s">
        <v>1097</v>
      </c>
      <c r="F5898" s="295" t="s">
        <v>1098</v>
      </c>
      <c r="J5898" s="343"/>
      <c r="M5898" s="299">
        <f>L5914</f>
        <v>215571</v>
      </c>
    </row>
    <row r="5899" spans="5:13" ht="15" customHeight="1" thickBot="1">
      <c r="F5899" s="340" t="s">
        <v>136</v>
      </c>
      <c r="G5899" s="341" t="s">
        <v>162</v>
      </c>
      <c r="H5899" s="352" t="s">
        <v>163</v>
      </c>
      <c r="I5899" s="352" t="s">
        <v>138</v>
      </c>
      <c r="J5899" s="353" t="s">
        <v>164</v>
      </c>
      <c r="K5899" s="341" t="s">
        <v>165</v>
      </c>
      <c r="L5899" s="354" t="s">
        <v>166</v>
      </c>
    </row>
    <row r="5900" spans="5:13" ht="15" customHeight="1">
      <c r="F5900" s="300" t="s">
        <v>167</v>
      </c>
      <c r="G5900" s="301" t="s">
        <v>168</v>
      </c>
      <c r="H5900" s="302"/>
      <c r="I5900" s="302"/>
      <c r="J5900" s="351"/>
      <c r="K5900" s="328"/>
      <c r="L5900" s="310"/>
    </row>
    <row r="5901" spans="5:13" ht="15" customHeight="1">
      <c r="F5901" s="306"/>
      <c r="G5901" s="301" t="s">
        <v>169</v>
      </c>
      <c r="H5901" s="307" t="s">
        <v>170</v>
      </c>
      <c r="I5901" s="307" t="s">
        <v>171</v>
      </c>
      <c r="J5901" s="308">
        <v>0.1</v>
      </c>
      <c r="K5901" s="309">
        <f>VLOOKUP(G5901,Upah,8,FALSE)</f>
        <v>125000</v>
      </c>
      <c r="L5901" s="310">
        <f>J5901*K5901</f>
        <v>12500</v>
      </c>
    </row>
    <row r="5902" spans="5:13" ht="15" customHeight="1">
      <c r="F5902" s="306"/>
      <c r="G5902" s="301" t="s">
        <v>172</v>
      </c>
      <c r="H5902" s="307" t="s">
        <v>173</v>
      </c>
      <c r="I5902" s="307" t="s">
        <v>171</v>
      </c>
      <c r="J5902" s="308">
        <v>1</v>
      </c>
      <c r="K5902" s="309">
        <f>VLOOKUP(G5902,Upah,8,FALSE)</f>
        <v>150000</v>
      </c>
      <c r="L5902" s="310">
        <f>J5902*K5902</f>
        <v>150000</v>
      </c>
    </row>
    <row r="5903" spans="5:13" ht="15" customHeight="1">
      <c r="F5903" s="306"/>
      <c r="G5903" s="301" t="s">
        <v>232</v>
      </c>
      <c r="H5903" s="307" t="s">
        <v>175</v>
      </c>
      <c r="I5903" s="307" t="s">
        <v>171</v>
      </c>
      <c r="J5903" s="308">
        <v>0.1</v>
      </c>
      <c r="K5903" s="309">
        <f>VLOOKUP(G5903,Upah,8,FALSE)</f>
        <v>165000</v>
      </c>
      <c r="L5903" s="310">
        <f>J5903*K5903</f>
        <v>16500</v>
      </c>
    </row>
    <row r="5904" spans="5:13" ht="15" customHeight="1" thickBot="1">
      <c r="F5904" s="306"/>
      <c r="G5904" s="301" t="s">
        <v>176</v>
      </c>
      <c r="H5904" s="307" t="s">
        <v>177</v>
      </c>
      <c r="I5904" s="307" t="s">
        <v>171</v>
      </c>
      <c r="J5904" s="308">
        <v>0.05</v>
      </c>
      <c r="K5904" s="309">
        <f>VLOOKUP(G5904,Upah,8,FALSE)</f>
        <v>170000</v>
      </c>
      <c r="L5904" s="310">
        <f>J5904*K5904</f>
        <v>8500</v>
      </c>
    </row>
    <row r="5905" spans="5:13" ht="15" customHeight="1" thickBot="1">
      <c r="F5905" s="316"/>
      <c r="G5905" s="317"/>
      <c r="H5905" s="318"/>
      <c r="I5905" s="318"/>
      <c r="J5905" s="319" t="s">
        <v>178</v>
      </c>
      <c r="K5905" s="320"/>
      <c r="L5905" s="321">
        <f>SUM(L5901:L5904)</f>
        <v>187500</v>
      </c>
    </row>
    <row r="5906" spans="5:13" ht="15" customHeight="1">
      <c r="F5906" s="300" t="s">
        <v>179</v>
      </c>
      <c r="G5906" s="301" t="s">
        <v>180</v>
      </c>
      <c r="H5906" s="302"/>
      <c r="I5906" s="302"/>
      <c r="J5906" s="351"/>
      <c r="K5906" s="328"/>
      <c r="L5906" s="310"/>
    </row>
    <row r="5907" spans="5:13" ht="15" customHeight="1">
      <c r="F5907" s="306"/>
      <c r="G5907" s="301" t="s">
        <v>1099</v>
      </c>
      <c r="H5907" s="302"/>
      <c r="I5907" s="307" t="s">
        <v>221</v>
      </c>
      <c r="J5907" s="308">
        <v>1.2</v>
      </c>
      <c r="K5907" s="328">
        <f>VLOOKUP(G5907,Bahan,6,FALSE)</f>
        <v>6600</v>
      </c>
      <c r="L5907" s="310">
        <f>J5907*K5907</f>
        <v>7920</v>
      </c>
    </row>
    <row r="5908" spans="5:13" ht="15" customHeight="1" thickBot="1">
      <c r="F5908" s="306"/>
      <c r="G5908" s="301" t="s">
        <v>1096</v>
      </c>
      <c r="H5908" s="302"/>
      <c r="I5908" s="307" t="s">
        <v>45</v>
      </c>
      <c r="J5908" s="308">
        <v>0.04</v>
      </c>
      <c r="K5908" s="328">
        <f>VLOOKUP(G5908,Bahan,6,FALSE)</f>
        <v>13860</v>
      </c>
      <c r="L5908" s="310">
        <f>J5908*K5908</f>
        <v>554.4</v>
      </c>
    </row>
    <row r="5909" spans="5:13" ht="15" customHeight="1" thickBot="1">
      <c r="F5909" s="316"/>
      <c r="G5909" s="317"/>
      <c r="H5909" s="318"/>
      <c r="I5909" s="318"/>
      <c r="J5909" s="319" t="s">
        <v>189</v>
      </c>
      <c r="K5909" s="320"/>
      <c r="L5909" s="321">
        <f>SUM(L5907:L5908)</f>
        <v>8474.4</v>
      </c>
    </row>
    <row r="5910" spans="5:13" ht="15" customHeight="1" thickBot="1">
      <c r="F5910" s="300" t="s">
        <v>190</v>
      </c>
      <c r="G5910" s="301" t="s">
        <v>191</v>
      </c>
      <c r="H5910" s="302"/>
      <c r="I5910" s="302"/>
      <c r="J5910" s="351"/>
      <c r="K5910" s="328">
        <v>0</v>
      </c>
      <c r="L5910" s="310">
        <f>J5910*K5910</f>
        <v>0</v>
      </c>
    </row>
    <row r="5911" spans="5:13" ht="15" customHeight="1" thickBot="1">
      <c r="F5911" s="316"/>
      <c r="G5911" s="317"/>
      <c r="H5911" s="318"/>
      <c r="I5911" s="318"/>
      <c r="J5911" s="319" t="s">
        <v>192</v>
      </c>
      <c r="K5911" s="320"/>
      <c r="L5911" s="321">
        <f>L5910</f>
        <v>0</v>
      </c>
    </row>
    <row r="5912" spans="5:13" ht="15" customHeight="1">
      <c r="F5912" s="344" t="s">
        <v>193</v>
      </c>
      <c r="G5912" s="345" t="s">
        <v>194</v>
      </c>
      <c r="H5912" s="346"/>
      <c r="I5912" s="346"/>
      <c r="J5912" s="347"/>
      <c r="K5912" s="348">
        <v>0</v>
      </c>
      <c r="L5912" s="310">
        <f>SUM(L5901:L5911)/2</f>
        <v>195974.40000000002</v>
      </c>
    </row>
    <row r="5913" spans="5:13" ht="15" customHeight="1" thickBot="1">
      <c r="F5913" s="331" t="s">
        <v>195</v>
      </c>
      <c r="G5913" s="332" t="s">
        <v>196</v>
      </c>
      <c r="H5913" s="333"/>
      <c r="I5913" s="333"/>
      <c r="J5913" s="350">
        <v>0.1</v>
      </c>
      <c r="K5913" s="335"/>
      <c r="L5913" s="330">
        <f>J5913*L5912</f>
        <v>19597.440000000002</v>
      </c>
    </row>
    <row r="5914" spans="5:13" ht="15" customHeight="1" thickBot="1">
      <c r="F5914" s="340" t="s">
        <v>197</v>
      </c>
      <c r="G5914" s="341" t="s">
        <v>198</v>
      </c>
      <c r="H5914" s="318"/>
      <c r="I5914" s="318"/>
      <c r="J5914" s="342"/>
      <c r="K5914" s="320">
        <v>0</v>
      </c>
      <c r="L5914" s="321">
        <f>ROUNDDOWN(L5912+L5913,0)</f>
        <v>215571</v>
      </c>
    </row>
    <row r="5915" spans="5:13" ht="15" customHeight="1">
      <c r="F5915" s="298"/>
      <c r="G5915" s="298"/>
      <c r="J5915" s="343"/>
    </row>
    <row r="5916" spans="5:13" ht="15" customHeight="1" thickBot="1">
      <c r="E5916" s="356" t="s">
        <v>1100</v>
      </c>
      <c r="F5916" s="295" t="s">
        <v>1101</v>
      </c>
      <c r="H5916" s="359"/>
      <c r="J5916" s="343"/>
      <c r="M5916" s="299">
        <f>L5931</f>
        <v>69266</v>
      </c>
    </row>
    <row r="5917" spans="5:13" ht="15" customHeight="1" thickBot="1">
      <c r="F5917" s="340" t="s">
        <v>136</v>
      </c>
      <c r="G5917" s="341" t="s">
        <v>162</v>
      </c>
      <c r="H5917" s="352" t="s">
        <v>163</v>
      </c>
      <c r="I5917" s="352" t="s">
        <v>138</v>
      </c>
      <c r="J5917" s="353" t="s">
        <v>164</v>
      </c>
      <c r="K5917" s="341" t="s">
        <v>165</v>
      </c>
      <c r="L5917" s="354" t="s">
        <v>166</v>
      </c>
    </row>
    <row r="5918" spans="5:13" ht="15" customHeight="1">
      <c r="F5918" s="300" t="s">
        <v>167</v>
      </c>
      <c r="G5918" s="301" t="s">
        <v>168</v>
      </c>
      <c r="H5918" s="302"/>
      <c r="I5918" s="302"/>
      <c r="J5918" s="351"/>
      <c r="K5918" s="328"/>
      <c r="L5918" s="310"/>
    </row>
    <row r="5919" spans="5:13" ht="15" customHeight="1">
      <c r="F5919" s="306"/>
      <c r="G5919" s="301" t="s">
        <v>169</v>
      </c>
      <c r="H5919" s="307" t="s">
        <v>170</v>
      </c>
      <c r="I5919" s="307" t="s">
        <v>171</v>
      </c>
      <c r="J5919" s="308">
        <v>0.15</v>
      </c>
      <c r="K5919" s="309">
        <f>VLOOKUP(G5919,Upah,8,FALSE)</f>
        <v>125000</v>
      </c>
      <c r="L5919" s="310">
        <f>J5919*K5919</f>
        <v>18750</v>
      </c>
    </row>
    <row r="5920" spans="5:13" ht="15" customHeight="1">
      <c r="F5920" s="306"/>
      <c r="G5920" s="301" t="s">
        <v>172</v>
      </c>
      <c r="H5920" s="307" t="s">
        <v>173</v>
      </c>
      <c r="I5920" s="307" t="s">
        <v>171</v>
      </c>
      <c r="J5920" s="308">
        <v>0.05</v>
      </c>
      <c r="K5920" s="309">
        <f>VLOOKUP(G5920,Upah,8,FALSE)</f>
        <v>150000</v>
      </c>
      <c r="L5920" s="310">
        <f>J5920*K5920</f>
        <v>7500</v>
      </c>
    </row>
    <row r="5921" spans="1:13" ht="15" customHeight="1">
      <c r="F5921" s="306"/>
      <c r="G5921" s="301" t="s">
        <v>232</v>
      </c>
      <c r="H5921" s="307" t="s">
        <v>175</v>
      </c>
      <c r="I5921" s="307" t="s">
        <v>171</v>
      </c>
      <c r="J5921" s="308">
        <v>5.0000000000000001E-3</v>
      </c>
      <c r="K5921" s="309">
        <f>VLOOKUP(G5921,Upah,8,FALSE)</f>
        <v>165000</v>
      </c>
      <c r="L5921" s="310">
        <f>J5921*K5921</f>
        <v>825</v>
      </c>
    </row>
    <row r="5922" spans="1:13" ht="15" customHeight="1" thickBot="1">
      <c r="F5922" s="306"/>
      <c r="G5922" s="301" t="s">
        <v>176</v>
      </c>
      <c r="H5922" s="307" t="s">
        <v>177</v>
      </c>
      <c r="I5922" s="307" t="s">
        <v>171</v>
      </c>
      <c r="J5922" s="308">
        <v>8.0000000000000002E-3</v>
      </c>
      <c r="K5922" s="309">
        <f>VLOOKUP(G5922,Upah,8,FALSE)</f>
        <v>170000</v>
      </c>
      <c r="L5922" s="310">
        <f>J5922*K5922</f>
        <v>1360</v>
      </c>
    </row>
    <row r="5923" spans="1:13" ht="15" customHeight="1" thickBot="1">
      <c r="F5923" s="316"/>
      <c r="G5923" s="317"/>
      <c r="H5923" s="318"/>
      <c r="I5923" s="318"/>
      <c r="J5923" s="319" t="s">
        <v>178</v>
      </c>
      <c r="K5923" s="320"/>
      <c r="L5923" s="321">
        <f>SUM(L5919:L5922)</f>
        <v>28435</v>
      </c>
    </row>
    <row r="5924" spans="1:13" ht="15" customHeight="1">
      <c r="F5924" s="300" t="s">
        <v>179</v>
      </c>
      <c r="G5924" s="301" t="s">
        <v>180</v>
      </c>
      <c r="H5924" s="302"/>
      <c r="I5924" s="302"/>
      <c r="J5924" s="351"/>
      <c r="K5924" s="328"/>
      <c r="L5924" s="310"/>
    </row>
    <row r="5925" spans="1:13" ht="15" customHeight="1" thickBot="1">
      <c r="F5925" s="306"/>
      <c r="G5925" s="301" t="s">
        <v>1102</v>
      </c>
      <c r="H5925" s="302"/>
      <c r="I5925" s="307" t="s">
        <v>614</v>
      </c>
      <c r="J5925" s="308">
        <v>1.05</v>
      </c>
      <c r="K5925" s="328">
        <f>VLOOKUP(G5925,Bahan,6,FALSE)</f>
        <v>32890</v>
      </c>
      <c r="L5925" s="310">
        <f>J5925*K5925</f>
        <v>34534.5</v>
      </c>
    </row>
    <row r="5926" spans="1:13" ht="15" customHeight="1" thickBot="1">
      <c r="F5926" s="316"/>
      <c r="G5926" s="317"/>
      <c r="H5926" s="318"/>
      <c r="I5926" s="318"/>
      <c r="J5926" s="319" t="s">
        <v>189</v>
      </c>
      <c r="K5926" s="320"/>
      <c r="L5926" s="321">
        <f>SUM(L5924:L5925)</f>
        <v>34534.5</v>
      </c>
    </row>
    <row r="5927" spans="1:13" ht="15" customHeight="1" thickBot="1">
      <c r="F5927" s="300" t="s">
        <v>190</v>
      </c>
      <c r="G5927" s="301" t="s">
        <v>191</v>
      </c>
      <c r="H5927" s="302"/>
      <c r="I5927" s="302"/>
      <c r="J5927" s="351"/>
      <c r="K5927" s="328">
        <v>0</v>
      </c>
      <c r="L5927" s="310">
        <f>J5927*K5927</f>
        <v>0</v>
      </c>
    </row>
    <row r="5928" spans="1:13" ht="15" customHeight="1" thickBot="1">
      <c r="F5928" s="316"/>
      <c r="G5928" s="317"/>
      <c r="H5928" s="318"/>
      <c r="I5928" s="318"/>
      <c r="J5928" s="319" t="s">
        <v>192</v>
      </c>
      <c r="K5928" s="320"/>
      <c r="L5928" s="321">
        <f>L5927</f>
        <v>0</v>
      </c>
    </row>
    <row r="5929" spans="1:13" ht="15" customHeight="1">
      <c r="F5929" s="344" t="s">
        <v>193</v>
      </c>
      <c r="G5929" s="345" t="s">
        <v>194</v>
      </c>
      <c r="H5929" s="346"/>
      <c r="I5929" s="346"/>
      <c r="J5929" s="347"/>
      <c r="K5929" s="348">
        <v>0</v>
      </c>
      <c r="L5929" s="310">
        <f>SUM(L5918:L5928)/2</f>
        <v>62969.5</v>
      </c>
    </row>
    <row r="5930" spans="1:13" ht="15" customHeight="1" thickBot="1">
      <c r="F5930" s="331" t="s">
        <v>195</v>
      </c>
      <c r="G5930" s="332" t="s">
        <v>196</v>
      </c>
      <c r="H5930" s="333"/>
      <c r="I5930" s="333"/>
      <c r="J5930" s="350">
        <v>0.1</v>
      </c>
      <c r="K5930" s="335"/>
      <c r="L5930" s="330">
        <f>J5930*L5929</f>
        <v>6296.9500000000007</v>
      </c>
    </row>
    <row r="5931" spans="1:13" ht="15" customHeight="1" thickBot="1">
      <c r="F5931" s="340" t="s">
        <v>197</v>
      </c>
      <c r="G5931" s="341" t="s">
        <v>198</v>
      </c>
      <c r="H5931" s="318"/>
      <c r="I5931" s="318"/>
      <c r="J5931" s="342"/>
      <c r="K5931" s="320">
        <v>0</v>
      </c>
      <c r="L5931" s="321">
        <f>ROUNDDOWN(L5929+L5930,0)</f>
        <v>69266</v>
      </c>
    </row>
    <row r="5932" spans="1:13" ht="15" customHeight="1">
      <c r="F5932" s="298"/>
      <c r="G5932" s="298"/>
      <c r="J5932" s="343"/>
    </row>
    <row r="5933" spans="1:13" s="422" customFormat="1" ht="15" customHeight="1">
      <c r="A5933" s="619"/>
      <c r="B5933" s="619"/>
      <c r="C5933" s="619"/>
      <c r="D5933" s="560" t="s">
        <v>1103</v>
      </c>
      <c r="E5933" s="358" t="s">
        <v>1104</v>
      </c>
      <c r="F5933" s="419"/>
      <c r="G5933" s="419"/>
      <c r="H5933" s="420"/>
      <c r="I5933" s="420"/>
      <c r="J5933" s="421"/>
      <c r="K5933" s="419"/>
      <c r="L5933" s="419"/>
      <c r="M5933" s="419"/>
    </row>
    <row r="5934" spans="1:13" ht="15" customHeight="1" thickBot="1">
      <c r="E5934" s="356" t="s">
        <v>1105</v>
      </c>
      <c r="F5934" s="295" t="s">
        <v>1106</v>
      </c>
      <c r="J5934" s="343"/>
      <c r="M5934" s="299">
        <f>L5951</f>
        <v>12794289</v>
      </c>
    </row>
    <row r="5935" spans="1:13" ht="15" customHeight="1" thickBot="1">
      <c r="F5935" s="340" t="s">
        <v>136</v>
      </c>
      <c r="G5935" s="341" t="s">
        <v>162</v>
      </c>
      <c r="H5935" s="352" t="s">
        <v>163</v>
      </c>
      <c r="I5935" s="352" t="s">
        <v>138</v>
      </c>
      <c r="J5935" s="353" t="s">
        <v>164</v>
      </c>
      <c r="K5935" s="341" t="s">
        <v>165</v>
      </c>
      <c r="L5935" s="354" t="s">
        <v>166</v>
      </c>
    </row>
    <row r="5936" spans="1:13" ht="15" customHeight="1">
      <c r="F5936" s="300" t="s">
        <v>167</v>
      </c>
      <c r="G5936" s="301" t="s">
        <v>168</v>
      </c>
      <c r="H5936" s="302"/>
      <c r="I5936" s="302"/>
      <c r="J5936" s="351"/>
      <c r="K5936" s="328"/>
      <c r="L5936" s="310"/>
    </row>
    <row r="5937" spans="6:12" ht="15" customHeight="1">
      <c r="F5937" s="306"/>
      <c r="G5937" s="301" t="s">
        <v>169</v>
      </c>
      <c r="H5937" s="307" t="s">
        <v>170</v>
      </c>
      <c r="I5937" s="307" t="s">
        <v>171</v>
      </c>
      <c r="J5937" s="308">
        <v>7</v>
      </c>
      <c r="K5937" s="309">
        <f>VLOOKUP(G5937,Upah,8,FALSE)</f>
        <v>125000</v>
      </c>
      <c r="L5937" s="310">
        <f>J5937*K5937</f>
        <v>875000</v>
      </c>
    </row>
    <row r="5938" spans="6:12" ht="15" customHeight="1">
      <c r="F5938" s="306"/>
      <c r="G5938" s="301" t="s">
        <v>413</v>
      </c>
      <c r="H5938" s="307" t="s">
        <v>173</v>
      </c>
      <c r="I5938" s="307" t="s">
        <v>171</v>
      </c>
      <c r="J5938" s="308">
        <v>21</v>
      </c>
      <c r="K5938" s="309">
        <f>VLOOKUP(G5938,Upah,8,FALSE)</f>
        <v>150000</v>
      </c>
      <c r="L5938" s="310">
        <f>J5938*K5938</f>
        <v>3150000</v>
      </c>
    </row>
    <row r="5939" spans="6:12" ht="15" customHeight="1">
      <c r="F5939" s="306"/>
      <c r="G5939" s="301" t="s">
        <v>232</v>
      </c>
      <c r="H5939" s="307" t="s">
        <v>175</v>
      </c>
      <c r="I5939" s="307" t="s">
        <v>171</v>
      </c>
      <c r="J5939" s="308">
        <v>2.1</v>
      </c>
      <c r="K5939" s="309">
        <f>VLOOKUP(G5939,Upah,8,FALSE)</f>
        <v>165000</v>
      </c>
      <c r="L5939" s="310">
        <f>J5939*K5939</f>
        <v>346500</v>
      </c>
    </row>
    <row r="5940" spans="6:12" ht="15" customHeight="1" thickBot="1">
      <c r="F5940" s="306"/>
      <c r="G5940" s="301" t="s">
        <v>176</v>
      </c>
      <c r="H5940" s="307" t="s">
        <v>177</v>
      </c>
      <c r="I5940" s="307" t="s">
        <v>171</v>
      </c>
      <c r="J5940" s="308">
        <v>0.35</v>
      </c>
      <c r="K5940" s="309">
        <f>VLOOKUP(G5940,Upah,8,FALSE)</f>
        <v>170000</v>
      </c>
      <c r="L5940" s="310">
        <f>J5940*K5940</f>
        <v>59499.999999999993</v>
      </c>
    </row>
    <row r="5941" spans="6:12" ht="15" customHeight="1" thickBot="1">
      <c r="F5941" s="316"/>
      <c r="G5941" s="317"/>
      <c r="H5941" s="318"/>
      <c r="I5941" s="318"/>
      <c r="J5941" s="319" t="s">
        <v>178</v>
      </c>
      <c r="K5941" s="320"/>
      <c r="L5941" s="321">
        <f>SUM(L5937:L5940)</f>
        <v>4431000</v>
      </c>
    </row>
    <row r="5942" spans="6:12" ht="15" customHeight="1">
      <c r="F5942" s="300" t="s">
        <v>179</v>
      </c>
      <c r="G5942" s="301" t="s">
        <v>180</v>
      </c>
      <c r="H5942" s="302"/>
      <c r="I5942" s="302"/>
      <c r="J5942" s="351"/>
      <c r="K5942" s="328"/>
      <c r="L5942" s="310"/>
    </row>
    <row r="5943" spans="6:12" ht="15" customHeight="1">
      <c r="F5943" s="306"/>
      <c r="G5943" s="301" t="s">
        <v>1686</v>
      </c>
      <c r="H5943" s="302"/>
      <c r="I5943" s="307" t="s">
        <v>44</v>
      </c>
      <c r="J5943" s="308">
        <v>1.1000000000000001</v>
      </c>
      <c r="K5943" s="328">
        <f>VLOOKUP(G5943,Bahan,6,FALSE)</f>
        <v>6500000</v>
      </c>
      <c r="L5943" s="310">
        <f>J5943*K5943</f>
        <v>7150000.0000000009</v>
      </c>
    </row>
    <row r="5944" spans="6:12" ht="15" customHeight="1">
      <c r="F5944" s="306"/>
      <c r="G5944" s="301" t="s">
        <v>415</v>
      </c>
      <c r="H5944" s="302"/>
      <c r="I5944" s="307" t="s">
        <v>45</v>
      </c>
      <c r="J5944" s="308">
        <v>1.25</v>
      </c>
      <c r="K5944" s="328">
        <f>VLOOKUP(G5944,Bahan,6,FALSE)</f>
        <v>27970</v>
      </c>
      <c r="L5944" s="310">
        <f>J5944*K5944</f>
        <v>34962.5</v>
      </c>
    </row>
    <row r="5945" spans="6:12" ht="15" customHeight="1" thickBot="1">
      <c r="F5945" s="306"/>
      <c r="G5945" s="301" t="s">
        <v>880</v>
      </c>
      <c r="H5945" s="302"/>
      <c r="I5945" s="307" t="s">
        <v>45</v>
      </c>
      <c r="J5945" s="308">
        <v>1</v>
      </c>
      <c r="K5945" s="328">
        <f>VLOOKUP(G5945,Bahan,6,FALSE)</f>
        <v>15210</v>
      </c>
      <c r="L5945" s="310">
        <f>J5945*K5945</f>
        <v>15210</v>
      </c>
    </row>
    <row r="5946" spans="6:12" ht="15" customHeight="1" thickBot="1">
      <c r="F5946" s="316"/>
      <c r="G5946" s="317"/>
      <c r="H5946" s="318"/>
      <c r="I5946" s="318"/>
      <c r="J5946" s="319" t="s">
        <v>189</v>
      </c>
      <c r="K5946" s="320"/>
      <c r="L5946" s="321">
        <f>SUM(L5943:L5945)</f>
        <v>7200172.5000000009</v>
      </c>
    </row>
    <row r="5947" spans="6:12" ht="15" customHeight="1" thickBot="1">
      <c r="F5947" s="300" t="s">
        <v>190</v>
      </c>
      <c r="G5947" s="301" t="s">
        <v>191</v>
      </c>
      <c r="H5947" s="302"/>
      <c r="I5947" s="302"/>
      <c r="J5947" s="351"/>
      <c r="K5947" s="328">
        <v>0</v>
      </c>
      <c r="L5947" s="310">
        <f>J5947*K5947</f>
        <v>0</v>
      </c>
    </row>
    <row r="5948" spans="6:12" ht="15" customHeight="1" thickBot="1">
      <c r="F5948" s="316"/>
      <c r="G5948" s="317"/>
      <c r="H5948" s="318"/>
      <c r="I5948" s="318"/>
      <c r="J5948" s="319" t="s">
        <v>192</v>
      </c>
      <c r="K5948" s="320"/>
      <c r="L5948" s="321">
        <f>L5947</f>
        <v>0</v>
      </c>
    </row>
    <row r="5949" spans="6:12" ht="15" customHeight="1">
      <c r="F5949" s="344" t="s">
        <v>193</v>
      </c>
      <c r="G5949" s="345" t="s">
        <v>194</v>
      </c>
      <c r="H5949" s="346"/>
      <c r="I5949" s="346"/>
      <c r="J5949" s="347"/>
      <c r="K5949" s="348">
        <v>0</v>
      </c>
      <c r="L5949" s="310">
        <f>SUM(L5937:L5948)/2</f>
        <v>11631172.5</v>
      </c>
    </row>
    <row r="5950" spans="6:12" ht="15" customHeight="1" thickBot="1">
      <c r="F5950" s="331" t="s">
        <v>195</v>
      </c>
      <c r="G5950" s="332" t="s">
        <v>196</v>
      </c>
      <c r="H5950" s="333"/>
      <c r="I5950" s="333"/>
      <c r="J5950" s="350">
        <v>0.1</v>
      </c>
      <c r="K5950" s="335"/>
      <c r="L5950" s="330">
        <f>J5950*L5949</f>
        <v>1163117.25</v>
      </c>
    </row>
    <row r="5951" spans="6:12" ht="15" customHeight="1" thickBot="1">
      <c r="F5951" s="340" t="s">
        <v>197</v>
      </c>
      <c r="G5951" s="341" t="s">
        <v>198</v>
      </c>
      <c r="H5951" s="318"/>
      <c r="I5951" s="318"/>
      <c r="J5951" s="342"/>
      <c r="K5951" s="320">
        <v>0</v>
      </c>
      <c r="L5951" s="321">
        <f>ROUNDDOWN(L5949+L5950,0)</f>
        <v>12794289</v>
      </c>
    </row>
    <row r="5952" spans="6:12" ht="15" customHeight="1">
      <c r="F5952" s="298"/>
      <c r="G5952" s="298"/>
      <c r="J5952" s="343"/>
    </row>
    <row r="5953" spans="5:13" ht="15" customHeight="1" thickBot="1">
      <c r="E5953" s="356" t="s">
        <v>1107</v>
      </c>
      <c r="F5953" s="295" t="s">
        <v>1108</v>
      </c>
      <c r="J5953" s="343"/>
      <c r="M5953" s="299">
        <f>L5970</f>
        <v>10054189</v>
      </c>
    </row>
    <row r="5954" spans="5:13" ht="15" customHeight="1" thickBot="1">
      <c r="F5954" s="340" t="s">
        <v>136</v>
      </c>
      <c r="G5954" s="341" t="s">
        <v>162</v>
      </c>
      <c r="H5954" s="352" t="s">
        <v>163</v>
      </c>
      <c r="I5954" s="352" t="s">
        <v>138</v>
      </c>
      <c r="J5954" s="353" t="s">
        <v>164</v>
      </c>
      <c r="K5954" s="341" t="s">
        <v>165</v>
      </c>
      <c r="L5954" s="354" t="s">
        <v>166</v>
      </c>
    </row>
    <row r="5955" spans="5:13" ht="15" customHeight="1">
      <c r="F5955" s="300" t="s">
        <v>167</v>
      </c>
      <c r="G5955" s="301" t="s">
        <v>168</v>
      </c>
      <c r="H5955" s="302"/>
      <c r="I5955" s="302"/>
      <c r="J5955" s="351"/>
      <c r="K5955" s="328"/>
      <c r="L5955" s="310"/>
    </row>
    <row r="5956" spans="5:13" ht="15" customHeight="1">
      <c r="F5956" s="306"/>
      <c r="G5956" s="301" t="s">
        <v>169</v>
      </c>
      <c r="H5956" s="307" t="s">
        <v>170</v>
      </c>
      <c r="I5956" s="307" t="s">
        <v>171</v>
      </c>
      <c r="J5956" s="308">
        <v>6</v>
      </c>
      <c r="K5956" s="309">
        <f>VLOOKUP(G5956,Upah,8,FALSE)</f>
        <v>125000</v>
      </c>
      <c r="L5956" s="310">
        <f>J5956*K5956</f>
        <v>750000</v>
      </c>
    </row>
    <row r="5957" spans="5:13" ht="15" customHeight="1">
      <c r="F5957" s="306"/>
      <c r="G5957" s="301" t="s">
        <v>413</v>
      </c>
      <c r="H5957" s="307" t="s">
        <v>173</v>
      </c>
      <c r="I5957" s="307" t="s">
        <v>171</v>
      </c>
      <c r="J5957" s="308">
        <v>18</v>
      </c>
      <c r="K5957" s="309">
        <f>VLOOKUP(G5957,Upah,8,FALSE)</f>
        <v>150000</v>
      </c>
      <c r="L5957" s="310">
        <f>J5957*K5957</f>
        <v>2700000</v>
      </c>
    </row>
    <row r="5958" spans="5:13" ht="15" customHeight="1">
      <c r="F5958" s="306"/>
      <c r="G5958" s="301" t="s">
        <v>232</v>
      </c>
      <c r="H5958" s="307" t="s">
        <v>175</v>
      </c>
      <c r="I5958" s="307" t="s">
        <v>171</v>
      </c>
      <c r="J5958" s="308">
        <v>1.8</v>
      </c>
      <c r="K5958" s="309">
        <f>VLOOKUP(G5958,Upah,8,FALSE)</f>
        <v>165000</v>
      </c>
      <c r="L5958" s="310">
        <f>J5958*K5958</f>
        <v>297000</v>
      </c>
    </row>
    <row r="5959" spans="5:13" ht="15" customHeight="1" thickBot="1">
      <c r="F5959" s="306"/>
      <c r="G5959" s="301" t="s">
        <v>176</v>
      </c>
      <c r="H5959" s="307" t="s">
        <v>177</v>
      </c>
      <c r="I5959" s="307" t="s">
        <v>171</v>
      </c>
      <c r="J5959" s="308">
        <v>0.3</v>
      </c>
      <c r="K5959" s="309">
        <f>VLOOKUP(G5959,Upah,8,FALSE)</f>
        <v>170000</v>
      </c>
      <c r="L5959" s="310">
        <f>J5959*K5959</f>
        <v>51000</v>
      </c>
    </row>
    <row r="5960" spans="5:13" ht="15" customHeight="1" thickBot="1">
      <c r="F5960" s="316"/>
      <c r="G5960" s="317"/>
      <c r="H5960" s="318"/>
      <c r="I5960" s="318"/>
      <c r="J5960" s="319" t="s">
        <v>178</v>
      </c>
      <c r="K5960" s="320"/>
      <c r="L5960" s="321">
        <f>SUM(L5956:L5959)</f>
        <v>3798000</v>
      </c>
    </row>
    <row r="5961" spans="5:13" ht="15" customHeight="1">
      <c r="F5961" s="300" t="s">
        <v>179</v>
      </c>
      <c r="G5961" s="301" t="s">
        <v>180</v>
      </c>
      <c r="H5961" s="302"/>
      <c r="I5961" s="302"/>
      <c r="J5961" s="351"/>
      <c r="K5961" s="328"/>
      <c r="L5961" s="310"/>
    </row>
    <row r="5962" spans="5:13" ht="15" customHeight="1">
      <c r="F5962" s="306"/>
      <c r="G5962" s="301" t="s">
        <v>396</v>
      </c>
      <c r="H5962" s="302"/>
      <c r="I5962" s="307" t="s">
        <v>44</v>
      </c>
      <c r="J5962" s="308">
        <v>1.2</v>
      </c>
      <c r="K5962" s="328">
        <f>VLOOKUP(G5962,Bahan,6,FALSE)</f>
        <v>4410000</v>
      </c>
      <c r="L5962" s="310">
        <f>J5962*K5962</f>
        <v>5292000</v>
      </c>
    </row>
    <row r="5963" spans="5:13" ht="15" customHeight="1">
      <c r="F5963" s="306"/>
      <c r="G5963" s="301" t="s">
        <v>415</v>
      </c>
      <c r="H5963" s="302"/>
      <c r="I5963" s="307" t="s">
        <v>45</v>
      </c>
      <c r="J5963" s="308">
        <v>1.25</v>
      </c>
      <c r="K5963" s="328">
        <f>VLOOKUP(G5963,Bahan,6,FALSE)</f>
        <v>27970</v>
      </c>
      <c r="L5963" s="310">
        <f>J5963*K5963</f>
        <v>34962.5</v>
      </c>
    </row>
    <row r="5964" spans="5:13" ht="15" customHeight="1" thickBot="1">
      <c r="F5964" s="306"/>
      <c r="G5964" s="301" t="s">
        <v>880</v>
      </c>
      <c r="H5964" s="302"/>
      <c r="I5964" s="307" t="s">
        <v>45</v>
      </c>
      <c r="J5964" s="308">
        <v>1</v>
      </c>
      <c r="K5964" s="328">
        <f>VLOOKUP(G5964,Bahan,6,FALSE)</f>
        <v>15210</v>
      </c>
      <c r="L5964" s="310">
        <f>J5964*K5964</f>
        <v>15210</v>
      </c>
    </row>
    <row r="5965" spans="5:13" ht="15" customHeight="1" thickBot="1">
      <c r="F5965" s="316"/>
      <c r="G5965" s="317"/>
      <c r="H5965" s="318"/>
      <c r="I5965" s="318"/>
      <c r="J5965" s="319" t="s">
        <v>189</v>
      </c>
      <c r="K5965" s="320"/>
      <c r="L5965" s="321">
        <f>SUM(L5962:L5964)</f>
        <v>5342172.5</v>
      </c>
    </row>
    <row r="5966" spans="5:13" ht="15" customHeight="1" thickBot="1">
      <c r="F5966" s="300" t="s">
        <v>190</v>
      </c>
      <c r="G5966" s="301" t="s">
        <v>191</v>
      </c>
      <c r="H5966" s="302"/>
      <c r="I5966" s="302"/>
      <c r="J5966" s="351"/>
      <c r="K5966" s="328">
        <v>0</v>
      </c>
      <c r="L5966" s="310">
        <f>J5966*K5966</f>
        <v>0</v>
      </c>
    </row>
    <row r="5967" spans="5:13" ht="15" customHeight="1" thickBot="1">
      <c r="F5967" s="316"/>
      <c r="G5967" s="317"/>
      <c r="H5967" s="318"/>
      <c r="I5967" s="318"/>
      <c r="J5967" s="319" t="s">
        <v>192</v>
      </c>
      <c r="K5967" s="320"/>
      <c r="L5967" s="321">
        <f>L5966</f>
        <v>0</v>
      </c>
    </row>
    <row r="5968" spans="5:13" ht="15" customHeight="1">
      <c r="F5968" s="344" t="s">
        <v>193</v>
      </c>
      <c r="G5968" s="345" t="s">
        <v>194</v>
      </c>
      <c r="H5968" s="346"/>
      <c r="I5968" s="346"/>
      <c r="J5968" s="347"/>
      <c r="K5968" s="348">
        <v>0</v>
      </c>
      <c r="L5968" s="310">
        <f>SUM(L5956:L5967)/2</f>
        <v>9140172.5</v>
      </c>
    </row>
    <row r="5969" spans="5:13" ht="15" customHeight="1" thickBot="1">
      <c r="F5969" s="331" t="s">
        <v>195</v>
      </c>
      <c r="G5969" s="332" t="s">
        <v>196</v>
      </c>
      <c r="H5969" s="333"/>
      <c r="I5969" s="333"/>
      <c r="J5969" s="350">
        <v>0.1</v>
      </c>
      <c r="K5969" s="335"/>
      <c r="L5969" s="330">
        <f>J5969*L5968</f>
        <v>914017.25</v>
      </c>
    </row>
    <row r="5970" spans="5:13" ht="15" customHeight="1" thickBot="1">
      <c r="F5970" s="340" t="s">
        <v>197</v>
      </c>
      <c r="G5970" s="341" t="s">
        <v>198</v>
      </c>
      <c r="H5970" s="318"/>
      <c r="I5970" s="318"/>
      <c r="J5970" s="342"/>
      <c r="K5970" s="320">
        <v>0</v>
      </c>
      <c r="L5970" s="321">
        <f>ROUNDDOWN(L5968+L5969,0)</f>
        <v>10054189</v>
      </c>
    </row>
    <row r="5971" spans="5:13" ht="15" customHeight="1">
      <c r="F5971" s="298"/>
      <c r="G5971" s="298"/>
      <c r="J5971" s="343"/>
    </row>
    <row r="5972" spans="5:13" ht="15" customHeight="1" thickBot="1">
      <c r="E5972" s="356" t="s">
        <v>1109</v>
      </c>
      <c r="F5972" s="295" t="s">
        <v>1110</v>
      </c>
      <c r="J5972" s="343"/>
      <c r="M5972" s="299">
        <f>L5988</f>
        <v>443336</v>
      </c>
    </row>
    <row r="5973" spans="5:13" ht="15" customHeight="1" thickBot="1">
      <c r="F5973" s="340" t="s">
        <v>136</v>
      </c>
      <c r="G5973" s="341" t="s">
        <v>162</v>
      </c>
      <c r="H5973" s="352" t="s">
        <v>163</v>
      </c>
      <c r="I5973" s="352" t="s">
        <v>138</v>
      </c>
      <c r="J5973" s="353" t="s">
        <v>164</v>
      </c>
      <c r="K5973" s="341" t="s">
        <v>165</v>
      </c>
      <c r="L5973" s="354" t="s">
        <v>166</v>
      </c>
    </row>
    <row r="5974" spans="5:13" ht="15" customHeight="1">
      <c r="F5974" s="300" t="s">
        <v>167</v>
      </c>
      <c r="G5974" s="301" t="s">
        <v>168</v>
      </c>
      <c r="H5974" s="302"/>
      <c r="I5974" s="302"/>
      <c r="J5974" s="351"/>
      <c r="K5974" s="328"/>
      <c r="L5974" s="310"/>
    </row>
    <row r="5975" spans="5:13" ht="15" customHeight="1">
      <c r="F5975" s="306"/>
      <c r="G5975" s="301" t="s">
        <v>169</v>
      </c>
      <c r="H5975" s="307" t="s">
        <v>170</v>
      </c>
      <c r="I5975" s="307" t="s">
        <v>171</v>
      </c>
      <c r="J5975" s="308">
        <v>0.35</v>
      </c>
      <c r="K5975" s="309">
        <f>VLOOKUP(G5975,Upah,8,FALSE)</f>
        <v>125000</v>
      </c>
      <c r="L5975" s="310">
        <f>J5975*K5975</f>
        <v>43750</v>
      </c>
    </row>
    <row r="5976" spans="5:13" ht="15" customHeight="1">
      <c r="F5976" s="306"/>
      <c r="G5976" s="301" t="s">
        <v>413</v>
      </c>
      <c r="H5976" s="307" t="s">
        <v>173</v>
      </c>
      <c r="I5976" s="307" t="s">
        <v>171</v>
      </c>
      <c r="J5976" s="308">
        <v>1.05</v>
      </c>
      <c r="K5976" s="309">
        <f>VLOOKUP(G5976,Upah,8,FALSE)</f>
        <v>150000</v>
      </c>
      <c r="L5976" s="310">
        <f>J5976*K5976</f>
        <v>157500</v>
      </c>
    </row>
    <row r="5977" spans="5:13" ht="15" customHeight="1">
      <c r="F5977" s="306"/>
      <c r="G5977" s="301" t="s">
        <v>232</v>
      </c>
      <c r="H5977" s="307" t="s">
        <v>175</v>
      </c>
      <c r="I5977" s="307" t="s">
        <v>171</v>
      </c>
      <c r="J5977" s="308">
        <v>0.105</v>
      </c>
      <c r="K5977" s="309">
        <f>VLOOKUP(G5977,Upah,8,FALSE)</f>
        <v>165000</v>
      </c>
      <c r="L5977" s="310">
        <f>J5977*K5977</f>
        <v>17325</v>
      </c>
    </row>
    <row r="5978" spans="5:13" ht="15" customHeight="1" thickBot="1">
      <c r="F5978" s="306"/>
      <c r="G5978" s="301" t="s">
        <v>176</v>
      </c>
      <c r="H5978" s="307" t="s">
        <v>177</v>
      </c>
      <c r="I5978" s="307" t="s">
        <v>171</v>
      </c>
      <c r="J5978" s="308">
        <v>1.7999999999999999E-2</v>
      </c>
      <c r="K5978" s="309">
        <f>VLOOKUP(G5978,Upah,8,FALSE)</f>
        <v>170000</v>
      </c>
      <c r="L5978" s="310">
        <f>J5978*K5978</f>
        <v>3059.9999999999995</v>
      </c>
    </row>
    <row r="5979" spans="5:13" ht="15" customHeight="1" thickBot="1">
      <c r="F5979" s="316"/>
      <c r="G5979" s="317"/>
      <c r="H5979" s="318"/>
      <c r="I5979" s="318"/>
      <c r="J5979" s="319" t="s">
        <v>178</v>
      </c>
      <c r="K5979" s="320"/>
      <c r="L5979" s="321">
        <f>SUM(L5975:L5978)</f>
        <v>221635</v>
      </c>
    </row>
    <row r="5980" spans="5:13" ht="15" customHeight="1">
      <c r="F5980" s="300" t="s">
        <v>179</v>
      </c>
      <c r="G5980" s="301" t="s">
        <v>180</v>
      </c>
      <c r="H5980" s="302"/>
      <c r="I5980" s="302"/>
      <c r="J5980" s="351"/>
      <c r="K5980" s="328"/>
      <c r="L5980" s="310"/>
    </row>
    <row r="5981" spans="5:13" ht="15" customHeight="1">
      <c r="F5981" s="306"/>
      <c r="G5981" s="301" t="s">
        <v>1111</v>
      </c>
      <c r="H5981" s="302"/>
      <c r="I5981" s="307" t="s">
        <v>44</v>
      </c>
      <c r="J5981" s="308">
        <v>0.04</v>
      </c>
      <c r="K5981" s="328">
        <f>VLOOKUP(G5981,Bahan,6,FALSE)</f>
        <v>4500000</v>
      </c>
      <c r="L5981" s="310">
        <f>J5981*K5981</f>
        <v>180000</v>
      </c>
    </row>
    <row r="5982" spans="5:13" ht="15" customHeight="1" thickBot="1">
      <c r="F5982" s="306"/>
      <c r="G5982" s="301" t="s">
        <v>415</v>
      </c>
      <c r="H5982" s="302"/>
      <c r="I5982" s="307" t="s">
        <v>45</v>
      </c>
      <c r="J5982" s="308">
        <v>0.05</v>
      </c>
      <c r="K5982" s="328">
        <f>VLOOKUP(G5982,Bahan,6,FALSE)</f>
        <v>27970</v>
      </c>
      <c r="L5982" s="310">
        <f>J5982*K5982</f>
        <v>1398.5</v>
      </c>
    </row>
    <row r="5983" spans="5:13" ht="15" customHeight="1" thickBot="1">
      <c r="F5983" s="316"/>
      <c r="G5983" s="317"/>
      <c r="H5983" s="318"/>
      <c r="I5983" s="318"/>
      <c r="J5983" s="319" t="s">
        <v>189</v>
      </c>
      <c r="K5983" s="320"/>
      <c r="L5983" s="321">
        <f>SUM(L5981:L5982)</f>
        <v>181398.5</v>
      </c>
    </row>
    <row r="5984" spans="5:13" ht="15" customHeight="1" thickBot="1">
      <c r="F5984" s="300" t="s">
        <v>190</v>
      </c>
      <c r="G5984" s="301" t="s">
        <v>191</v>
      </c>
      <c r="H5984" s="302"/>
      <c r="I5984" s="302"/>
      <c r="J5984" s="351"/>
      <c r="K5984" s="328">
        <v>0</v>
      </c>
      <c r="L5984" s="310">
        <f>J5984*K5984</f>
        <v>0</v>
      </c>
    </row>
    <row r="5985" spans="5:13" ht="15" customHeight="1" thickBot="1">
      <c r="F5985" s="316"/>
      <c r="G5985" s="317"/>
      <c r="H5985" s="318"/>
      <c r="I5985" s="318"/>
      <c r="J5985" s="319" t="s">
        <v>192</v>
      </c>
      <c r="K5985" s="320"/>
      <c r="L5985" s="321">
        <f>L5984</f>
        <v>0</v>
      </c>
    </row>
    <row r="5986" spans="5:13" ht="15" customHeight="1">
      <c r="F5986" s="344" t="s">
        <v>193</v>
      </c>
      <c r="G5986" s="345" t="s">
        <v>194</v>
      </c>
      <c r="H5986" s="346"/>
      <c r="I5986" s="346"/>
      <c r="J5986" s="347"/>
      <c r="K5986" s="348">
        <v>0</v>
      </c>
      <c r="L5986" s="310">
        <f>SUM(L5975:L5985)/2</f>
        <v>403033.5</v>
      </c>
    </row>
    <row r="5987" spans="5:13" ht="15" customHeight="1" thickBot="1">
      <c r="F5987" s="331" t="s">
        <v>195</v>
      </c>
      <c r="G5987" s="332" t="s">
        <v>196</v>
      </c>
      <c r="H5987" s="333"/>
      <c r="I5987" s="333"/>
      <c r="J5987" s="350">
        <v>0.1</v>
      </c>
      <c r="K5987" s="335"/>
      <c r="L5987" s="330">
        <f>J5987*L5986</f>
        <v>40303.350000000006</v>
      </c>
    </row>
    <row r="5988" spans="5:13" ht="15" customHeight="1" thickBot="1">
      <c r="F5988" s="340" t="s">
        <v>197</v>
      </c>
      <c r="G5988" s="341" t="s">
        <v>198</v>
      </c>
      <c r="H5988" s="318"/>
      <c r="I5988" s="318"/>
      <c r="J5988" s="342"/>
      <c r="K5988" s="320">
        <v>0</v>
      </c>
      <c r="L5988" s="321">
        <f>ROUNDDOWN(L5986+L5987,0)</f>
        <v>443336</v>
      </c>
    </row>
    <row r="5989" spans="5:13" ht="15" customHeight="1">
      <c r="F5989" s="298"/>
      <c r="G5989" s="298"/>
      <c r="J5989" s="343"/>
    </row>
    <row r="5990" spans="5:13" ht="15" customHeight="1" thickBot="1">
      <c r="E5990" s="356" t="s">
        <v>1112</v>
      </c>
      <c r="F5990" s="295" t="s">
        <v>1113</v>
      </c>
      <c r="J5990" s="343"/>
      <c r="M5990" s="299">
        <f>L6006</f>
        <v>443336</v>
      </c>
    </row>
    <row r="5991" spans="5:13" ht="15" customHeight="1" thickBot="1">
      <c r="F5991" s="340" t="s">
        <v>136</v>
      </c>
      <c r="G5991" s="341" t="s">
        <v>162</v>
      </c>
      <c r="H5991" s="352" t="s">
        <v>163</v>
      </c>
      <c r="I5991" s="352" t="s">
        <v>138</v>
      </c>
      <c r="J5991" s="353" t="s">
        <v>164</v>
      </c>
      <c r="K5991" s="341" t="s">
        <v>165</v>
      </c>
      <c r="L5991" s="354" t="s">
        <v>166</v>
      </c>
    </row>
    <row r="5992" spans="5:13" ht="15" customHeight="1">
      <c r="F5992" s="300" t="s">
        <v>167</v>
      </c>
      <c r="G5992" s="301" t="s">
        <v>168</v>
      </c>
      <c r="H5992" s="302"/>
      <c r="I5992" s="302"/>
      <c r="J5992" s="351"/>
      <c r="K5992" s="328"/>
      <c r="L5992" s="310"/>
    </row>
    <row r="5993" spans="5:13" ht="15" customHeight="1">
      <c r="F5993" s="306"/>
      <c r="G5993" s="301" t="s">
        <v>169</v>
      </c>
      <c r="H5993" s="307" t="s">
        <v>170</v>
      </c>
      <c r="I5993" s="307" t="s">
        <v>171</v>
      </c>
      <c r="J5993" s="308">
        <v>0.35</v>
      </c>
      <c r="K5993" s="309">
        <f>VLOOKUP(G5993,Upah,8,FALSE)</f>
        <v>125000</v>
      </c>
      <c r="L5993" s="310">
        <f>J5993*K5993</f>
        <v>43750</v>
      </c>
    </row>
    <row r="5994" spans="5:13" ht="15" customHeight="1">
      <c r="F5994" s="306"/>
      <c r="G5994" s="301" t="s">
        <v>413</v>
      </c>
      <c r="H5994" s="307" t="s">
        <v>173</v>
      </c>
      <c r="I5994" s="307" t="s">
        <v>171</v>
      </c>
      <c r="J5994" s="308">
        <v>1.05</v>
      </c>
      <c r="K5994" s="309">
        <f>VLOOKUP(G5994,Upah,8,FALSE)</f>
        <v>150000</v>
      </c>
      <c r="L5994" s="310">
        <f>J5994*K5994</f>
        <v>157500</v>
      </c>
    </row>
    <row r="5995" spans="5:13" ht="15" customHeight="1">
      <c r="F5995" s="306"/>
      <c r="G5995" s="301" t="s">
        <v>232</v>
      </c>
      <c r="H5995" s="307" t="s">
        <v>175</v>
      </c>
      <c r="I5995" s="307" t="s">
        <v>171</v>
      </c>
      <c r="J5995" s="308">
        <v>0.105</v>
      </c>
      <c r="K5995" s="309">
        <f>VLOOKUP(G5995,Upah,8,FALSE)</f>
        <v>165000</v>
      </c>
      <c r="L5995" s="310">
        <f>J5995*K5995</f>
        <v>17325</v>
      </c>
    </row>
    <row r="5996" spans="5:13" ht="15" customHeight="1" thickBot="1">
      <c r="F5996" s="306"/>
      <c r="G5996" s="301" t="s">
        <v>176</v>
      </c>
      <c r="H5996" s="307" t="s">
        <v>177</v>
      </c>
      <c r="I5996" s="307" t="s">
        <v>171</v>
      </c>
      <c r="J5996" s="308">
        <v>1.7999999999999999E-2</v>
      </c>
      <c r="K5996" s="309">
        <f>VLOOKUP(G5996,Upah,8,FALSE)</f>
        <v>170000</v>
      </c>
      <c r="L5996" s="310">
        <f>J5996*K5996</f>
        <v>3059.9999999999995</v>
      </c>
    </row>
    <row r="5997" spans="5:13" ht="15" customHeight="1" thickBot="1">
      <c r="F5997" s="316"/>
      <c r="G5997" s="317"/>
      <c r="H5997" s="318"/>
      <c r="I5997" s="318"/>
      <c r="J5997" s="319" t="s">
        <v>178</v>
      </c>
      <c r="K5997" s="320"/>
      <c r="L5997" s="321">
        <f>SUM(L5993:L5996)</f>
        <v>221635</v>
      </c>
    </row>
    <row r="5998" spans="5:13" ht="15" customHeight="1">
      <c r="F5998" s="300" t="s">
        <v>179</v>
      </c>
      <c r="G5998" s="301" t="s">
        <v>180</v>
      </c>
      <c r="H5998" s="302"/>
      <c r="I5998" s="302"/>
      <c r="J5998" s="351"/>
      <c r="K5998" s="328"/>
      <c r="L5998" s="310"/>
    </row>
    <row r="5999" spans="5:13" ht="15" customHeight="1">
      <c r="F5999" s="306"/>
      <c r="G5999" s="301" t="s">
        <v>1111</v>
      </c>
      <c r="H5999" s="302"/>
      <c r="I5999" s="307" t="s">
        <v>44</v>
      </c>
      <c r="J5999" s="308">
        <v>0.04</v>
      </c>
      <c r="K5999" s="328">
        <f>VLOOKUP(G5999,Bahan,6,FALSE)</f>
        <v>4500000</v>
      </c>
      <c r="L5999" s="310">
        <f>J5999*K5999</f>
        <v>180000</v>
      </c>
    </row>
    <row r="6000" spans="5:13" ht="15" customHeight="1" thickBot="1">
      <c r="F6000" s="306"/>
      <c r="G6000" s="301" t="s">
        <v>415</v>
      </c>
      <c r="H6000" s="302"/>
      <c r="I6000" s="307" t="s">
        <v>45</v>
      </c>
      <c r="J6000" s="308">
        <v>0.05</v>
      </c>
      <c r="K6000" s="328">
        <f>VLOOKUP(G6000,Bahan,6,FALSE)</f>
        <v>27970</v>
      </c>
      <c r="L6000" s="310">
        <f>J6000*K6000</f>
        <v>1398.5</v>
      </c>
    </row>
    <row r="6001" spans="5:13" ht="15" customHeight="1" thickBot="1">
      <c r="F6001" s="316"/>
      <c r="G6001" s="317"/>
      <c r="H6001" s="318"/>
      <c r="I6001" s="318"/>
      <c r="J6001" s="319" t="s">
        <v>189</v>
      </c>
      <c r="K6001" s="320"/>
      <c r="L6001" s="321">
        <f>SUM(L5999:L6000)</f>
        <v>181398.5</v>
      </c>
    </row>
    <row r="6002" spans="5:13" ht="15" customHeight="1" thickBot="1">
      <c r="F6002" s="300" t="s">
        <v>190</v>
      </c>
      <c r="G6002" s="301" t="s">
        <v>191</v>
      </c>
      <c r="H6002" s="302"/>
      <c r="I6002" s="302"/>
      <c r="J6002" s="351"/>
      <c r="K6002" s="328">
        <v>0</v>
      </c>
      <c r="L6002" s="310">
        <f>J6002*K6002</f>
        <v>0</v>
      </c>
    </row>
    <row r="6003" spans="5:13" ht="15" customHeight="1" thickBot="1">
      <c r="F6003" s="316"/>
      <c r="G6003" s="317"/>
      <c r="H6003" s="318"/>
      <c r="I6003" s="318"/>
      <c r="J6003" s="319" t="s">
        <v>192</v>
      </c>
      <c r="K6003" s="320"/>
      <c r="L6003" s="321">
        <f>L6002</f>
        <v>0</v>
      </c>
    </row>
    <row r="6004" spans="5:13" ht="15" customHeight="1">
      <c r="F6004" s="344" t="s">
        <v>193</v>
      </c>
      <c r="G6004" s="345" t="s">
        <v>194</v>
      </c>
      <c r="H6004" s="346"/>
      <c r="I6004" s="346"/>
      <c r="J6004" s="347"/>
      <c r="K6004" s="348">
        <v>0</v>
      </c>
      <c r="L6004" s="310">
        <f>SUM(L5993:L6003)/2</f>
        <v>403033.5</v>
      </c>
    </row>
    <row r="6005" spans="5:13" ht="15" customHeight="1" thickBot="1">
      <c r="F6005" s="331" t="s">
        <v>195</v>
      </c>
      <c r="G6005" s="332" t="s">
        <v>196</v>
      </c>
      <c r="H6005" s="333"/>
      <c r="I6005" s="333"/>
      <c r="J6005" s="350">
        <v>0.1</v>
      </c>
      <c r="K6005" s="335"/>
      <c r="L6005" s="330">
        <f>J6005*L6004</f>
        <v>40303.350000000006</v>
      </c>
    </row>
    <row r="6006" spans="5:13" ht="15" customHeight="1" thickBot="1">
      <c r="F6006" s="340" t="s">
        <v>197</v>
      </c>
      <c r="G6006" s="341" t="s">
        <v>198</v>
      </c>
      <c r="H6006" s="318"/>
      <c r="I6006" s="318"/>
      <c r="J6006" s="342"/>
      <c r="K6006" s="320">
        <v>0</v>
      </c>
      <c r="L6006" s="321">
        <f>ROUNDDOWN(L6004+L6005,0)</f>
        <v>443336</v>
      </c>
    </row>
    <row r="6007" spans="5:13" ht="15" customHeight="1">
      <c r="F6007" s="298"/>
      <c r="G6007" s="298"/>
      <c r="J6007" s="343"/>
    </row>
    <row r="6008" spans="5:13" ht="15" customHeight="1" thickBot="1">
      <c r="E6008" s="356" t="s">
        <v>1114</v>
      </c>
      <c r="F6008" s="295" t="s">
        <v>1115</v>
      </c>
      <c r="J6008" s="343"/>
      <c r="M6008" s="299">
        <f>L6024</f>
        <v>902665</v>
      </c>
    </row>
    <row r="6009" spans="5:13" ht="15" customHeight="1" thickBot="1">
      <c r="F6009" s="340" t="s">
        <v>136</v>
      </c>
      <c r="G6009" s="341" t="s">
        <v>162</v>
      </c>
      <c r="H6009" s="352" t="s">
        <v>163</v>
      </c>
      <c r="I6009" s="352" t="s">
        <v>138</v>
      </c>
      <c r="J6009" s="353" t="s">
        <v>164</v>
      </c>
      <c r="K6009" s="341" t="s">
        <v>165</v>
      </c>
      <c r="L6009" s="354" t="s">
        <v>166</v>
      </c>
    </row>
    <row r="6010" spans="5:13" ht="15" customHeight="1">
      <c r="F6010" s="300" t="s">
        <v>167</v>
      </c>
      <c r="G6010" s="301" t="s">
        <v>168</v>
      </c>
      <c r="H6010" s="302"/>
      <c r="I6010" s="302"/>
      <c r="J6010" s="351"/>
      <c r="K6010" s="328"/>
      <c r="L6010" s="310"/>
    </row>
    <row r="6011" spans="5:13" ht="15" customHeight="1">
      <c r="F6011" s="306"/>
      <c r="G6011" s="301" t="s">
        <v>169</v>
      </c>
      <c r="H6011" s="307" t="s">
        <v>170</v>
      </c>
      <c r="I6011" s="307" t="s">
        <v>171</v>
      </c>
      <c r="J6011" s="308">
        <v>1</v>
      </c>
      <c r="K6011" s="309">
        <f>VLOOKUP(G6011,Upah,8,FALSE)</f>
        <v>125000</v>
      </c>
      <c r="L6011" s="310">
        <f>J6011*K6011</f>
        <v>125000</v>
      </c>
    </row>
    <row r="6012" spans="5:13" ht="15" customHeight="1">
      <c r="F6012" s="306"/>
      <c r="G6012" s="301" t="s">
        <v>413</v>
      </c>
      <c r="H6012" s="307" t="s">
        <v>173</v>
      </c>
      <c r="I6012" s="307" t="s">
        <v>171</v>
      </c>
      <c r="J6012" s="308">
        <v>3</v>
      </c>
      <c r="K6012" s="309">
        <f>VLOOKUP(G6012,Upah,8,FALSE)</f>
        <v>150000</v>
      </c>
      <c r="L6012" s="310">
        <f>J6012*K6012</f>
        <v>450000</v>
      </c>
    </row>
    <row r="6013" spans="5:13" ht="15" customHeight="1">
      <c r="F6013" s="306"/>
      <c r="G6013" s="301" t="s">
        <v>232</v>
      </c>
      <c r="H6013" s="307" t="s">
        <v>175</v>
      </c>
      <c r="I6013" s="307" t="s">
        <v>171</v>
      </c>
      <c r="J6013" s="308">
        <v>0.3</v>
      </c>
      <c r="K6013" s="309">
        <f>VLOOKUP(G6013,Upah,8,FALSE)</f>
        <v>165000</v>
      </c>
      <c r="L6013" s="310">
        <f>J6013*K6013</f>
        <v>49500</v>
      </c>
    </row>
    <row r="6014" spans="5:13" ht="15" customHeight="1" thickBot="1">
      <c r="F6014" s="306"/>
      <c r="G6014" s="301" t="s">
        <v>176</v>
      </c>
      <c r="H6014" s="307" t="s">
        <v>177</v>
      </c>
      <c r="I6014" s="307" t="s">
        <v>171</v>
      </c>
      <c r="J6014" s="308">
        <v>0.05</v>
      </c>
      <c r="K6014" s="309">
        <f>VLOOKUP(G6014,Upah,8,FALSE)</f>
        <v>170000</v>
      </c>
      <c r="L6014" s="310">
        <f>J6014*K6014</f>
        <v>8500</v>
      </c>
    </row>
    <row r="6015" spans="5:13" ht="15" customHeight="1" thickBot="1">
      <c r="F6015" s="316"/>
      <c r="G6015" s="317"/>
      <c r="H6015" s="318"/>
      <c r="I6015" s="318"/>
      <c r="J6015" s="319" t="s">
        <v>178</v>
      </c>
      <c r="K6015" s="320"/>
      <c r="L6015" s="321">
        <f>SUM(L6011:L6014)</f>
        <v>633000</v>
      </c>
    </row>
    <row r="6016" spans="5:13" ht="15" customHeight="1">
      <c r="F6016" s="300" t="s">
        <v>179</v>
      </c>
      <c r="G6016" s="301" t="s">
        <v>180</v>
      </c>
      <c r="H6016" s="302"/>
      <c r="I6016" s="302"/>
      <c r="J6016" s="351"/>
      <c r="K6016" s="328"/>
      <c r="L6016" s="310"/>
    </row>
    <row r="6017" spans="5:13" ht="15" customHeight="1">
      <c r="F6017" s="306"/>
      <c r="G6017" s="301" t="s">
        <v>1111</v>
      </c>
      <c r="H6017" s="302"/>
      <c r="I6017" s="307" t="s">
        <v>44</v>
      </c>
      <c r="J6017" s="308">
        <v>0.04</v>
      </c>
      <c r="K6017" s="328">
        <f>VLOOKUP(G6017,Bahan,6,FALSE)</f>
        <v>4500000</v>
      </c>
      <c r="L6017" s="310">
        <f>J6017*K6017</f>
        <v>180000</v>
      </c>
    </row>
    <row r="6018" spans="5:13" ht="15" customHeight="1" thickBot="1">
      <c r="F6018" s="306"/>
      <c r="G6018" s="301" t="s">
        <v>880</v>
      </c>
      <c r="H6018" s="302"/>
      <c r="I6018" s="307" t="s">
        <v>45</v>
      </c>
      <c r="J6018" s="308">
        <v>0.5</v>
      </c>
      <c r="K6018" s="328">
        <f>VLOOKUP(G6018,Bahan,6,FALSE)</f>
        <v>15210</v>
      </c>
      <c r="L6018" s="310">
        <f>J6018*K6018</f>
        <v>7605</v>
      </c>
    </row>
    <row r="6019" spans="5:13" ht="15" customHeight="1" thickBot="1">
      <c r="F6019" s="316"/>
      <c r="G6019" s="317"/>
      <c r="H6019" s="318"/>
      <c r="I6019" s="318"/>
      <c r="J6019" s="319" t="s">
        <v>189</v>
      </c>
      <c r="K6019" s="320"/>
      <c r="L6019" s="321">
        <f>SUM(L6017:L6018)</f>
        <v>187605</v>
      </c>
    </row>
    <row r="6020" spans="5:13" ht="15" customHeight="1" thickBot="1">
      <c r="F6020" s="300" t="s">
        <v>190</v>
      </c>
      <c r="G6020" s="301" t="s">
        <v>191</v>
      </c>
      <c r="H6020" s="302"/>
      <c r="I6020" s="302"/>
      <c r="J6020" s="351"/>
      <c r="K6020" s="328">
        <v>0</v>
      </c>
      <c r="L6020" s="310">
        <f>J6020*K6020</f>
        <v>0</v>
      </c>
    </row>
    <row r="6021" spans="5:13" ht="15" customHeight="1" thickBot="1">
      <c r="F6021" s="316"/>
      <c r="G6021" s="317"/>
      <c r="H6021" s="318"/>
      <c r="I6021" s="318"/>
      <c r="J6021" s="319" t="s">
        <v>192</v>
      </c>
      <c r="K6021" s="320"/>
      <c r="L6021" s="321">
        <f>L6020</f>
        <v>0</v>
      </c>
    </row>
    <row r="6022" spans="5:13" ht="15" customHeight="1">
      <c r="F6022" s="344" t="s">
        <v>193</v>
      </c>
      <c r="G6022" s="345" t="s">
        <v>194</v>
      </c>
      <c r="H6022" s="346"/>
      <c r="I6022" s="346"/>
      <c r="J6022" s="347"/>
      <c r="K6022" s="348">
        <v>0</v>
      </c>
      <c r="L6022" s="310">
        <f>SUM(L6011:L6021)/2</f>
        <v>820605</v>
      </c>
    </row>
    <row r="6023" spans="5:13" ht="15" customHeight="1" thickBot="1">
      <c r="F6023" s="331" t="s">
        <v>195</v>
      </c>
      <c r="G6023" s="332" t="s">
        <v>196</v>
      </c>
      <c r="H6023" s="333"/>
      <c r="I6023" s="333"/>
      <c r="J6023" s="350">
        <v>0.1</v>
      </c>
      <c r="K6023" s="335"/>
      <c r="L6023" s="330">
        <f>J6023*L6022</f>
        <v>82060.5</v>
      </c>
    </row>
    <row r="6024" spans="5:13" ht="15" customHeight="1" thickBot="1">
      <c r="F6024" s="340" t="s">
        <v>197</v>
      </c>
      <c r="G6024" s="341" t="s">
        <v>198</v>
      </c>
      <c r="H6024" s="318"/>
      <c r="I6024" s="318"/>
      <c r="J6024" s="342"/>
      <c r="K6024" s="320">
        <v>0</v>
      </c>
      <c r="L6024" s="321">
        <f>ROUNDDOWN(L6022+L6023,0)</f>
        <v>902665</v>
      </c>
    </row>
    <row r="6025" spans="5:13" ht="15" customHeight="1">
      <c r="F6025" s="298"/>
      <c r="G6025" s="298"/>
      <c r="J6025" s="343"/>
    </row>
    <row r="6026" spans="5:13" ht="15" customHeight="1" thickBot="1">
      <c r="E6026" s="356" t="s">
        <v>1116</v>
      </c>
      <c r="F6026" s="295" t="s">
        <v>1117</v>
      </c>
      <c r="J6026" s="343"/>
      <c r="M6026" s="299">
        <f>L6042</f>
        <v>680859</v>
      </c>
    </row>
    <row r="6027" spans="5:13" ht="15" customHeight="1" thickBot="1">
      <c r="F6027" s="340" t="s">
        <v>136</v>
      </c>
      <c r="G6027" s="341" t="s">
        <v>162</v>
      </c>
      <c r="H6027" s="352" t="s">
        <v>163</v>
      </c>
      <c r="I6027" s="352" t="s">
        <v>138</v>
      </c>
      <c r="J6027" s="353" t="s">
        <v>164</v>
      </c>
      <c r="K6027" s="341" t="s">
        <v>165</v>
      </c>
      <c r="L6027" s="354" t="s">
        <v>166</v>
      </c>
    </row>
    <row r="6028" spans="5:13" ht="15" customHeight="1">
      <c r="F6028" s="300" t="s">
        <v>167</v>
      </c>
      <c r="G6028" s="301" t="s">
        <v>168</v>
      </c>
      <c r="H6028" s="302"/>
      <c r="I6028" s="302"/>
      <c r="J6028" s="351"/>
      <c r="K6028" s="328"/>
      <c r="L6028" s="310"/>
    </row>
    <row r="6029" spans="5:13" ht="15" customHeight="1">
      <c r="F6029" s="306"/>
      <c r="G6029" s="301" t="s">
        <v>169</v>
      </c>
      <c r="H6029" s="307" t="s">
        <v>170</v>
      </c>
      <c r="I6029" s="307" t="s">
        <v>171</v>
      </c>
      <c r="J6029" s="308">
        <v>0.8</v>
      </c>
      <c r="K6029" s="309">
        <f>VLOOKUP(G6029,Upah,8,FALSE)</f>
        <v>125000</v>
      </c>
      <c r="L6029" s="310">
        <f>J6029*K6029</f>
        <v>100000</v>
      </c>
    </row>
    <row r="6030" spans="5:13" ht="15" customHeight="1">
      <c r="F6030" s="306"/>
      <c r="G6030" s="301" t="s">
        <v>413</v>
      </c>
      <c r="H6030" s="307" t="s">
        <v>173</v>
      </c>
      <c r="I6030" s="307" t="s">
        <v>171</v>
      </c>
      <c r="J6030" s="308">
        <v>2.4</v>
      </c>
      <c r="K6030" s="309">
        <f>VLOOKUP(G6030,Upah,8,FALSE)</f>
        <v>150000</v>
      </c>
      <c r="L6030" s="310">
        <f>J6030*K6030</f>
        <v>360000</v>
      </c>
    </row>
    <row r="6031" spans="5:13" ht="15" customHeight="1">
      <c r="F6031" s="306"/>
      <c r="G6031" s="301" t="s">
        <v>232</v>
      </c>
      <c r="H6031" s="307" t="s">
        <v>175</v>
      </c>
      <c r="I6031" s="307" t="s">
        <v>171</v>
      </c>
      <c r="J6031" s="308">
        <v>0.24</v>
      </c>
      <c r="K6031" s="309">
        <f>VLOOKUP(G6031,Upah,8,FALSE)</f>
        <v>165000</v>
      </c>
      <c r="L6031" s="310">
        <f>J6031*K6031</f>
        <v>39600</v>
      </c>
    </row>
    <row r="6032" spans="5:13" ht="15" customHeight="1" thickBot="1">
      <c r="F6032" s="306"/>
      <c r="G6032" s="301" t="s">
        <v>176</v>
      </c>
      <c r="H6032" s="307" t="s">
        <v>177</v>
      </c>
      <c r="I6032" s="307" t="s">
        <v>171</v>
      </c>
      <c r="J6032" s="308">
        <v>0.04</v>
      </c>
      <c r="K6032" s="309">
        <f>VLOOKUP(G6032,Upah,8,FALSE)</f>
        <v>170000</v>
      </c>
      <c r="L6032" s="310">
        <f>J6032*K6032</f>
        <v>6800</v>
      </c>
    </row>
    <row r="6033" spans="5:13" ht="15" customHeight="1" thickBot="1">
      <c r="F6033" s="316"/>
      <c r="G6033" s="317"/>
      <c r="H6033" s="318"/>
      <c r="I6033" s="318"/>
      <c r="J6033" s="319" t="s">
        <v>178</v>
      </c>
      <c r="K6033" s="320"/>
      <c r="L6033" s="321">
        <f>SUM(L6029:L6032)</f>
        <v>506400</v>
      </c>
    </row>
    <row r="6034" spans="5:13" ht="15" customHeight="1">
      <c r="F6034" s="300" t="s">
        <v>179</v>
      </c>
      <c r="G6034" s="301" t="s">
        <v>180</v>
      </c>
      <c r="H6034" s="302"/>
      <c r="I6034" s="302"/>
      <c r="J6034" s="351"/>
      <c r="K6034" s="328"/>
      <c r="L6034" s="310"/>
    </row>
    <row r="6035" spans="5:13" ht="15" customHeight="1">
      <c r="F6035" s="306"/>
      <c r="G6035" s="301" t="s">
        <v>1111</v>
      </c>
      <c r="H6035" s="302"/>
      <c r="I6035" s="307" t="s">
        <v>44</v>
      </c>
      <c r="J6035" s="308">
        <v>2.4E-2</v>
      </c>
      <c r="K6035" s="328">
        <f>VLOOKUP(G6035,Bahan,6,FALSE)</f>
        <v>4500000</v>
      </c>
      <c r="L6035" s="310">
        <f>J6035*K6035</f>
        <v>108000</v>
      </c>
    </row>
    <row r="6036" spans="5:13" ht="15" customHeight="1" thickBot="1">
      <c r="F6036" s="306"/>
      <c r="G6036" s="301" t="s">
        <v>880</v>
      </c>
      <c r="H6036" s="302"/>
      <c r="I6036" s="307" t="s">
        <v>45</v>
      </c>
      <c r="J6036" s="308">
        <v>0.3</v>
      </c>
      <c r="K6036" s="328">
        <f>VLOOKUP(G6036,Bahan,6,FALSE)</f>
        <v>15210</v>
      </c>
      <c r="L6036" s="310">
        <f>J6036*K6036</f>
        <v>4563</v>
      </c>
    </row>
    <row r="6037" spans="5:13" ht="15" customHeight="1" thickBot="1">
      <c r="F6037" s="316"/>
      <c r="G6037" s="317"/>
      <c r="H6037" s="318"/>
      <c r="I6037" s="318"/>
      <c r="J6037" s="319" t="s">
        <v>189</v>
      </c>
      <c r="K6037" s="320"/>
      <c r="L6037" s="321">
        <f>SUM(L6035:L6036)</f>
        <v>112563</v>
      </c>
    </row>
    <row r="6038" spans="5:13" ht="15" customHeight="1" thickBot="1">
      <c r="F6038" s="300" t="s">
        <v>190</v>
      </c>
      <c r="G6038" s="301" t="s">
        <v>191</v>
      </c>
      <c r="H6038" s="302"/>
      <c r="I6038" s="302"/>
      <c r="J6038" s="351"/>
      <c r="K6038" s="328">
        <v>0</v>
      </c>
      <c r="L6038" s="310">
        <f>J6038*K6038</f>
        <v>0</v>
      </c>
    </row>
    <row r="6039" spans="5:13" ht="15" customHeight="1" thickBot="1">
      <c r="F6039" s="316"/>
      <c r="G6039" s="317"/>
      <c r="H6039" s="318"/>
      <c r="I6039" s="318"/>
      <c r="J6039" s="319" t="s">
        <v>192</v>
      </c>
      <c r="K6039" s="320"/>
      <c r="L6039" s="321">
        <f>L6038</f>
        <v>0</v>
      </c>
    </row>
    <row r="6040" spans="5:13" ht="15" customHeight="1">
      <c r="F6040" s="344" t="s">
        <v>193</v>
      </c>
      <c r="G6040" s="345" t="s">
        <v>194</v>
      </c>
      <c r="H6040" s="346"/>
      <c r="I6040" s="346"/>
      <c r="J6040" s="347"/>
      <c r="K6040" s="348">
        <v>0</v>
      </c>
      <c r="L6040" s="310">
        <f>SUM(L6029:L6039)/2</f>
        <v>618963</v>
      </c>
    </row>
    <row r="6041" spans="5:13" ht="15" customHeight="1" thickBot="1">
      <c r="F6041" s="331" t="s">
        <v>195</v>
      </c>
      <c r="G6041" s="332" t="s">
        <v>196</v>
      </c>
      <c r="H6041" s="333"/>
      <c r="I6041" s="333"/>
      <c r="J6041" s="350">
        <v>0.1</v>
      </c>
      <c r="K6041" s="335"/>
      <c r="L6041" s="330">
        <f>J6041*L6040</f>
        <v>61896.3</v>
      </c>
    </row>
    <row r="6042" spans="5:13" ht="15" customHeight="1" thickBot="1">
      <c r="F6042" s="340" t="s">
        <v>197</v>
      </c>
      <c r="G6042" s="341" t="s">
        <v>198</v>
      </c>
      <c r="H6042" s="318"/>
      <c r="I6042" s="318"/>
      <c r="J6042" s="342"/>
      <c r="K6042" s="320">
        <v>0</v>
      </c>
      <c r="L6042" s="321">
        <f>ROUNDDOWN(L6040+L6041,0)</f>
        <v>680859</v>
      </c>
    </row>
    <row r="6043" spans="5:13" ht="15" customHeight="1">
      <c r="F6043" s="298"/>
      <c r="G6043" s="298"/>
      <c r="J6043" s="343"/>
    </row>
    <row r="6044" spans="5:13" ht="15" customHeight="1" thickBot="1">
      <c r="E6044" s="356" t="s">
        <v>1118</v>
      </c>
      <c r="F6044" s="295" t="s">
        <v>1119</v>
      </c>
      <c r="J6044" s="343"/>
      <c r="M6044" s="299">
        <f>L6060</f>
        <v>1021465</v>
      </c>
    </row>
    <row r="6045" spans="5:13" ht="15" customHeight="1" thickBot="1">
      <c r="F6045" s="340" t="s">
        <v>136</v>
      </c>
      <c r="G6045" s="341" t="s">
        <v>162</v>
      </c>
      <c r="H6045" s="352" t="s">
        <v>163</v>
      </c>
      <c r="I6045" s="352" t="s">
        <v>138</v>
      </c>
      <c r="J6045" s="353" t="s">
        <v>164</v>
      </c>
      <c r="K6045" s="341" t="s">
        <v>165</v>
      </c>
      <c r="L6045" s="354" t="s">
        <v>166</v>
      </c>
    </row>
    <row r="6046" spans="5:13" ht="15" customHeight="1">
      <c r="F6046" s="300" t="s">
        <v>167</v>
      </c>
      <c r="G6046" s="301" t="s">
        <v>168</v>
      </c>
      <c r="H6046" s="302"/>
      <c r="I6046" s="302"/>
      <c r="J6046" s="351"/>
      <c r="K6046" s="328"/>
      <c r="L6046" s="310"/>
    </row>
    <row r="6047" spans="5:13" ht="15" customHeight="1">
      <c r="F6047" s="306"/>
      <c r="G6047" s="301" t="s">
        <v>169</v>
      </c>
      <c r="H6047" s="307" t="s">
        <v>170</v>
      </c>
      <c r="I6047" s="307" t="s">
        <v>171</v>
      </c>
      <c r="J6047" s="308">
        <v>1</v>
      </c>
      <c r="K6047" s="309">
        <f>VLOOKUP(G6047,Upah,8,FALSE)</f>
        <v>125000</v>
      </c>
      <c r="L6047" s="310">
        <f>J6047*K6047</f>
        <v>125000</v>
      </c>
    </row>
    <row r="6048" spans="5:13" ht="15" customHeight="1">
      <c r="F6048" s="306"/>
      <c r="G6048" s="301" t="s">
        <v>413</v>
      </c>
      <c r="H6048" s="307" t="s">
        <v>173</v>
      </c>
      <c r="I6048" s="307" t="s">
        <v>171</v>
      </c>
      <c r="J6048" s="308">
        <v>3</v>
      </c>
      <c r="K6048" s="309">
        <f>VLOOKUP(G6048,Upah,8,FALSE)</f>
        <v>150000</v>
      </c>
      <c r="L6048" s="310">
        <f>J6048*K6048</f>
        <v>450000</v>
      </c>
    </row>
    <row r="6049" spans="5:13" ht="15" customHeight="1">
      <c r="F6049" s="306"/>
      <c r="G6049" s="301" t="s">
        <v>232</v>
      </c>
      <c r="H6049" s="307" t="s">
        <v>175</v>
      </c>
      <c r="I6049" s="307" t="s">
        <v>171</v>
      </c>
      <c r="J6049" s="308">
        <v>0.3</v>
      </c>
      <c r="K6049" s="309">
        <f>VLOOKUP(G6049,Upah,8,FALSE)</f>
        <v>165000</v>
      </c>
      <c r="L6049" s="310">
        <f>J6049*K6049</f>
        <v>49500</v>
      </c>
    </row>
    <row r="6050" spans="5:13" ht="15" customHeight="1" thickBot="1">
      <c r="F6050" s="306"/>
      <c r="G6050" s="301" t="s">
        <v>176</v>
      </c>
      <c r="H6050" s="307" t="s">
        <v>177</v>
      </c>
      <c r="I6050" s="307" t="s">
        <v>171</v>
      </c>
      <c r="J6050" s="308">
        <v>0.05</v>
      </c>
      <c r="K6050" s="309">
        <f>VLOOKUP(G6050,Upah,8,FALSE)</f>
        <v>170000</v>
      </c>
      <c r="L6050" s="310">
        <f>J6050*K6050</f>
        <v>8500</v>
      </c>
    </row>
    <row r="6051" spans="5:13" ht="15" customHeight="1" thickBot="1">
      <c r="F6051" s="316"/>
      <c r="G6051" s="317"/>
      <c r="H6051" s="318"/>
      <c r="I6051" s="318"/>
      <c r="J6051" s="319" t="s">
        <v>178</v>
      </c>
      <c r="K6051" s="320"/>
      <c r="L6051" s="321">
        <f>SUM(L6047:L6050)</f>
        <v>633000</v>
      </c>
    </row>
    <row r="6052" spans="5:13" ht="15" customHeight="1">
      <c r="F6052" s="300" t="s">
        <v>179</v>
      </c>
      <c r="G6052" s="301" t="s">
        <v>180</v>
      </c>
      <c r="H6052" s="302"/>
      <c r="I6052" s="302"/>
      <c r="J6052" s="351"/>
      <c r="K6052" s="328"/>
      <c r="L6052" s="310"/>
    </row>
    <row r="6053" spans="5:13" ht="15" customHeight="1">
      <c r="F6053" s="306"/>
      <c r="G6053" s="301" t="s">
        <v>1111</v>
      </c>
      <c r="H6053" s="302"/>
      <c r="I6053" s="307" t="s">
        <v>44</v>
      </c>
      <c r="J6053" s="308">
        <v>6.4000000000000001E-2</v>
      </c>
      <c r="K6053" s="328">
        <f>VLOOKUP(G6053,Bahan,6,FALSE)</f>
        <v>4500000</v>
      </c>
      <c r="L6053" s="310">
        <f>J6053*K6053</f>
        <v>288000</v>
      </c>
    </row>
    <row r="6054" spans="5:13" ht="15" customHeight="1" thickBot="1">
      <c r="F6054" s="306"/>
      <c r="G6054" s="301" t="s">
        <v>880</v>
      </c>
      <c r="H6054" s="302"/>
      <c r="I6054" s="307" t="s">
        <v>45</v>
      </c>
      <c r="J6054" s="308">
        <v>0.5</v>
      </c>
      <c r="K6054" s="328">
        <f>VLOOKUP(G6054,Bahan,6,FALSE)</f>
        <v>15210</v>
      </c>
      <c r="L6054" s="310">
        <f>J6054*K6054</f>
        <v>7605</v>
      </c>
    </row>
    <row r="6055" spans="5:13" ht="15" customHeight="1" thickBot="1">
      <c r="F6055" s="316"/>
      <c r="G6055" s="317"/>
      <c r="H6055" s="318"/>
      <c r="I6055" s="318"/>
      <c r="J6055" s="319" t="s">
        <v>189</v>
      </c>
      <c r="K6055" s="320"/>
      <c r="L6055" s="321">
        <f>SUM(L6053:L6054)</f>
        <v>295605</v>
      </c>
    </row>
    <row r="6056" spans="5:13" ht="15" customHeight="1" thickBot="1">
      <c r="F6056" s="300" t="s">
        <v>190</v>
      </c>
      <c r="G6056" s="301" t="s">
        <v>191</v>
      </c>
      <c r="H6056" s="302"/>
      <c r="I6056" s="302"/>
      <c r="J6056" s="351"/>
      <c r="K6056" s="328">
        <v>0</v>
      </c>
      <c r="L6056" s="310">
        <f>J6056*K6056</f>
        <v>0</v>
      </c>
    </row>
    <row r="6057" spans="5:13" ht="15" customHeight="1" thickBot="1">
      <c r="F6057" s="316"/>
      <c r="G6057" s="317"/>
      <c r="H6057" s="318"/>
      <c r="I6057" s="318"/>
      <c r="J6057" s="319" t="s">
        <v>192</v>
      </c>
      <c r="K6057" s="320"/>
      <c r="L6057" s="321">
        <f>L6056</f>
        <v>0</v>
      </c>
    </row>
    <row r="6058" spans="5:13" ht="15" customHeight="1">
      <c r="F6058" s="344" t="s">
        <v>193</v>
      </c>
      <c r="G6058" s="345" t="s">
        <v>194</v>
      </c>
      <c r="H6058" s="346"/>
      <c r="I6058" s="346"/>
      <c r="J6058" s="347"/>
      <c r="K6058" s="348">
        <v>0</v>
      </c>
      <c r="L6058" s="310">
        <f>SUM(L6047:L6057)/2</f>
        <v>928605</v>
      </c>
    </row>
    <row r="6059" spans="5:13" ht="15" customHeight="1" thickBot="1">
      <c r="F6059" s="331" t="s">
        <v>195</v>
      </c>
      <c r="G6059" s="332" t="s">
        <v>196</v>
      </c>
      <c r="H6059" s="333"/>
      <c r="I6059" s="333"/>
      <c r="J6059" s="350">
        <v>0.1</v>
      </c>
      <c r="K6059" s="335"/>
      <c r="L6059" s="330">
        <f>J6059*L6058</f>
        <v>92860.5</v>
      </c>
    </row>
    <row r="6060" spans="5:13" ht="15" customHeight="1" thickBot="1">
      <c r="F6060" s="340" t="s">
        <v>197</v>
      </c>
      <c r="G6060" s="341" t="s">
        <v>198</v>
      </c>
      <c r="H6060" s="318"/>
      <c r="I6060" s="318"/>
      <c r="J6060" s="342"/>
      <c r="K6060" s="320">
        <v>0</v>
      </c>
      <c r="L6060" s="321">
        <f>ROUNDDOWN(L6058+L6059,0)</f>
        <v>1021465</v>
      </c>
    </row>
    <row r="6061" spans="5:13" ht="15" customHeight="1">
      <c r="F6061" s="298"/>
      <c r="G6061" s="298"/>
      <c r="J6061" s="343"/>
    </row>
    <row r="6062" spans="5:13" ht="15" customHeight="1" thickBot="1">
      <c r="E6062" s="356" t="s">
        <v>1120</v>
      </c>
      <c r="F6062" s="295" t="s">
        <v>1121</v>
      </c>
      <c r="J6062" s="343"/>
      <c r="M6062" s="299">
        <f>L6080</f>
        <v>706248</v>
      </c>
    </row>
    <row r="6063" spans="5:13" ht="15" customHeight="1" thickBot="1">
      <c r="F6063" s="340" t="s">
        <v>136</v>
      </c>
      <c r="G6063" s="341" t="s">
        <v>162</v>
      </c>
      <c r="H6063" s="352" t="s">
        <v>163</v>
      </c>
      <c r="I6063" s="352" t="s">
        <v>138</v>
      </c>
      <c r="J6063" s="353" t="s">
        <v>164</v>
      </c>
      <c r="K6063" s="341" t="s">
        <v>165</v>
      </c>
      <c r="L6063" s="354" t="s">
        <v>166</v>
      </c>
    </row>
    <row r="6064" spans="5:13" ht="15" customHeight="1">
      <c r="F6064" s="300" t="s">
        <v>167</v>
      </c>
      <c r="G6064" s="301" t="s">
        <v>168</v>
      </c>
      <c r="H6064" s="302"/>
      <c r="I6064" s="302"/>
      <c r="J6064" s="351"/>
      <c r="K6064" s="328"/>
      <c r="L6064" s="310"/>
    </row>
    <row r="6065" spans="6:12" ht="15" customHeight="1">
      <c r="F6065" s="306"/>
      <c r="G6065" s="301" t="s">
        <v>169</v>
      </c>
      <c r="H6065" s="307" t="s">
        <v>170</v>
      </c>
      <c r="I6065" s="307" t="s">
        <v>171</v>
      </c>
      <c r="J6065" s="308">
        <v>0.7</v>
      </c>
      <c r="K6065" s="309">
        <f>VLOOKUP(G6065,Upah,8,FALSE)</f>
        <v>125000</v>
      </c>
      <c r="L6065" s="310">
        <f>J6065*K6065</f>
        <v>87500</v>
      </c>
    </row>
    <row r="6066" spans="6:12" ht="15" customHeight="1">
      <c r="F6066" s="306"/>
      <c r="G6066" s="301" t="s">
        <v>413</v>
      </c>
      <c r="H6066" s="307" t="s">
        <v>173</v>
      </c>
      <c r="I6066" s="307" t="s">
        <v>171</v>
      </c>
      <c r="J6066" s="308">
        <v>2.1</v>
      </c>
      <c r="K6066" s="309">
        <f>VLOOKUP(G6066,Upah,8,FALSE)</f>
        <v>150000</v>
      </c>
      <c r="L6066" s="310">
        <f>J6066*K6066</f>
        <v>315000</v>
      </c>
    </row>
    <row r="6067" spans="6:12" ht="15" customHeight="1">
      <c r="F6067" s="306"/>
      <c r="G6067" s="301" t="s">
        <v>232</v>
      </c>
      <c r="H6067" s="307" t="s">
        <v>175</v>
      </c>
      <c r="I6067" s="307" t="s">
        <v>171</v>
      </c>
      <c r="J6067" s="308">
        <v>0.21</v>
      </c>
      <c r="K6067" s="309">
        <f>VLOOKUP(G6067,Upah,8,FALSE)</f>
        <v>165000</v>
      </c>
      <c r="L6067" s="310">
        <f>J6067*K6067</f>
        <v>34650</v>
      </c>
    </row>
    <row r="6068" spans="6:12" ht="15" customHeight="1" thickBot="1">
      <c r="F6068" s="306"/>
      <c r="G6068" s="301" t="s">
        <v>176</v>
      </c>
      <c r="H6068" s="307" t="s">
        <v>177</v>
      </c>
      <c r="I6068" s="307" t="s">
        <v>171</v>
      </c>
      <c r="J6068" s="308">
        <v>3.5000000000000003E-2</v>
      </c>
      <c r="K6068" s="309">
        <f>VLOOKUP(G6068,Upah,8,FALSE)</f>
        <v>170000</v>
      </c>
      <c r="L6068" s="310">
        <f>J6068*K6068</f>
        <v>5950.0000000000009</v>
      </c>
    </row>
    <row r="6069" spans="6:12" ht="15" customHeight="1" thickBot="1">
      <c r="F6069" s="316"/>
      <c r="G6069" s="317"/>
      <c r="H6069" s="318"/>
      <c r="I6069" s="318"/>
      <c r="J6069" s="319" t="s">
        <v>178</v>
      </c>
      <c r="K6069" s="320"/>
      <c r="L6069" s="321">
        <f>SUM(L6065:L6068)</f>
        <v>443100</v>
      </c>
    </row>
    <row r="6070" spans="6:12" ht="15" customHeight="1">
      <c r="F6070" s="300" t="s">
        <v>179</v>
      </c>
      <c r="G6070" s="301" t="s">
        <v>180</v>
      </c>
      <c r="H6070" s="302"/>
      <c r="I6070" s="302"/>
      <c r="J6070" s="351"/>
      <c r="K6070" s="328"/>
      <c r="L6070" s="310"/>
    </row>
    <row r="6071" spans="6:12" ht="15" customHeight="1">
      <c r="F6071" s="306"/>
      <c r="G6071" s="301" t="s">
        <v>1111</v>
      </c>
      <c r="H6071" s="302"/>
      <c r="I6071" s="307" t="s">
        <v>44</v>
      </c>
      <c r="J6071" s="308">
        <v>2.5000000000000001E-2</v>
      </c>
      <c r="K6071" s="328">
        <f>VLOOKUP(G6071,Bahan,6,FALSE)</f>
        <v>4500000</v>
      </c>
      <c r="L6071" s="310">
        <f>J6071*K6071</f>
        <v>112500</v>
      </c>
    </row>
    <row r="6072" spans="6:12" ht="15" customHeight="1">
      <c r="F6072" s="306"/>
      <c r="G6072" s="301" t="s">
        <v>415</v>
      </c>
      <c r="H6072" s="302"/>
      <c r="I6072" s="307" t="s">
        <v>38</v>
      </c>
      <c r="J6072" s="308">
        <v>0.03</v>
      </c>
      <c r="K6072" s="328">
        <f>VLOOKUP(G6072,Bahan,6,FALSE)</f>
        <v>27970</v>
      </c>
      <c r="L6072" s="310">
        <f>J6072*K6072</f>
        <v>839.1</v>
      </c>
    </row>
    <row r="6073" spans="6:12" ht="15" customHeight="1">
      <c r="F6073" s="306"/>
      <c r="G6073" s="301" t="s">
        <v>880</v>
      </c>
      <c r="H6073" s="302"/>
      <c r="I6073" s="307" t="s">
        <v>38</v>
      </c>
      <c r="J6073" s="308">
        <v>0.5</v>
      </c>
      <c r="K6073" s="328">
        <f>VLOOKUP(G6073,Bahan,6,FALSE)</f>
        <v>15210</v>
      </c>
      <c r="L6073" s="310">
        <f>J6073*K6073</f>
        <v>7605</v>
      </c>
    </row>
    <row r="6074" spans="6:12" ht="15" customHeight="1" thickBot="1">
      <c r="F6074" s="306"/>
      <c r="G6074" s="301" t="s">
        <v>226</v>
      </c>
      <c r="H6074" s="302"/>
      <c r="I6074" s="307" t="s">
        <v>423</v>
      </c>
      <c r="J6074" s="308">
        <v>1</v>
      </c>
      <c r="K6074" s="328">
        <f>VLOOKUP(G6074,Bahan,6,FALSE)</f>
        <v>78000</v>
      </c>
      <c r="L6074" s="310">
        <f>J6074*K6074</f>
        <v>78000</v>
      </c>
    </row>
    <row r="6075" spans="6:12" ht="15" customHeight="1" thickBot="1">
      <c r="F6075" s="316"/>
      <c r="G6075" s="317"/>
      <c r="H6075" s="318"/>
      <c r="I6075" s="318"/>
      <c r="J6075" s="319" t="s">
        <v>189</v>
      </c>
      <c r="K6075" s="320"/>
      <c r="L6075" s="321">
        <f>SUM(L6071:L6074)</f>
        <v>198944.1</v>
      </c>
    </row>
    <row r="6076" spans="6:12" ht="15" customHeight="1" thickBot="1">
      <c r="F6076" s="300" t="s">
        <v>190</v>
      </c>
      <c r="G6076" s="301" t="s">
        <v>191</v>
      </c>
      <c r="H6076" s="302"/>
      <c r="I6076" s="302"/>
      <c r="J6076" s="351"/>
      <c r="K6076" s="328">
        <v>0</v>
      </c>
      <c r="L6076" s="310">
        <f>J6076*K6076</f>
        <v>0</v>
      </c>
    </row>
    <row r="6077" spans="6:12" ht="15" customHeight="1" thickBot="1">
      <c r="F6077" s="316"/>
      <c r="G6077" s="317"/>
      <c r="H6077" s="318"/>
      <c r="I6077" s="318"/>
      <c r="J6077" s="319" t="s">
        <v>192</v>
      </c>
      <c r="K6077" s="320"/>
      <c r="L6077" s="321">
        <f>L6076</f>
        <v>0</v>
      </c>
    </row>
    <row r="6078" spans="6:12" ht="15" customHeight="1">
      <c r="F6078" s="344" t="s">
        <v>193</v>
      </c>
      <c r="G6078" s="345" t="s">
        <v>194</v>
      </c>
      <c r="H6078" s="346"/>
      <c r="I6078" s="346"/>
      <c r="J6078" s="347"/>
      <c r="K6078" s="348">
        <v>0</v>
      </c>
      <c r="L6078" s="310">
        <f>SUM(L6065:L6077)/2</f>
        <v>642044.10000000009</v>
      </c>
    </row>
    <row r="6079" spans="6:12" ht="15" customHeight="1" thickBot="1">
      <c r="F6079" s="331" t="s">
        <v>195</v>
      </c>
      <c r="G6079" s="332" t="s">
        <v>196</v>
      </c>
      <c r="H6079" s="333"/>
      <c r="I6079" s="333"/>
      <c r="J6079" s="350">
        <v>0.1</v>
      </c>
      <c r="K6079" s="335"/>
      <c r="L6079" s="330">
        <f>J6079*L6078</f>
        <v>64204.410000000011</v>
      </c>
    </row>
    <row r="6080" spans="6:12" ht="15" customHeight="1" thickBot="1">
      <c r="F6080" s="340" t="s">
        <v>197</v>
      </c>
      <c r="G6080" s="341" t="s">
        <v>198</v>
      </c>
      <c r="H6080" s="318"/>
      <c r="I6080" s="318"/>
      <c r="J6080" s="342"/>
      <c r="K6080" s="320">
        <v>0</v>
      </c>
      <c r="L6080" s="321">
        <f>ROUNDDOWN(L6078+L6079,0)</f>
        <v>706248</v>
      </c>
    </row>
    <row r="6081" spans="5:13" ht="15" customHeight="1">
      <c r="F6081" s="298"/>
      <c r="G6081" s="298"/>
      <c r="J6081" s="343"/>
    </row>
    <row r="6082" spans="5:13" ht="15" customHeight="1" thickBot="1">
      <c r="E6082" s="356" t="s">
        <v>1122</v>
      </c>
      <c r="F6082" s="295" t="s">
        <v>1123</v>
      </c>
      <c r="J6082" s="343"/>
      <c r="M6082" s="299">
        <f>L6100</f>
        <v>778848</v>
      </c>
    </row>
    <row r="6083" spans="5:13" ht="15" customHeight="1" thickBot="1">
      <c r="F6083" s="340" t="s">
        <v>136</v>
      </c>
      <c r="G6083" s="341" t="s">
        <v>162</v>
      </c>
      <c r="H6083" s="352" t="s">
        <v>163</v>
      </c>
      <c r="I6083" s="352" t="s">
        <v>138</v>
      </c>
      <c r="J6083" s="353" t="s">
        <v>164</v>
      </c>
      <c r="K6083" s="341" t="s">
        <v>165</v>
      </c>
      <c r="L6083" s="354" t="s">
        <v>166</v>
      </c>
    </row>
    <row r="6084" spans="5:13" ht="15" customHeight="1">
      <c r="F6084" s="300" t="s">
        <v>167</v>
      </c>
      <c r="G6084" s="301" t="s">
        <v>168</v>
      </c>
      <c r="H6084" s="302"/>
      <c r="I6084" s="302"/>
      <c r="J6084" s="351"/>
      <c r="K6084" s="328"/>
      <c r="L6084" s="310"/>
    </row>
    <row r="6085" spans="5:13" ht="15" customHeight="1">
      <c r="F6085" s="306"/>
      <c r="G6085" s="301" t="s">
        <v>169</v>
      </c>
      <c r="H6085" s="307" t="s">
        <v>170</v>
      </c>
      <c r="I6085" s="307" t="s">
        <v>171</v>
      </c>
      <c r="J6085" s="308">
        <v>0.8</v>
      </c>
      <c r="K6085" s="309">
        <f>VLOOKUP(G6085,Upah,8,FALSE)</f>
        <v>125000</v>
      </c>
      <c r="L6085" s="310">
        <f>J6085*K6085</f>
        <v>100000</v>
      </c>
    </row>
    <row r="6086" spans="5:13" ht="15" customHeight="1">
      <c r="F6086" s="306"/>
      <c r="G6086" s="301" t="s">
        <v>413</v>
      </c>
      <c r="H6086" s="307" t="s">
        <v>173</v>
      </c>
      <c r="I6086" s="307" t="s">
        <v>171</v>
      </c>
      <c r="J6086" s="308">
        <v>2.4</v>
      </c>
      <c r="K6086" s="309">
        <f>VLOOKUP(G6086,Upah,8,FALSE)</f>
        <v>150000</v>
      </c>
      <c r="L6086" s="310">
        <f>J6086*K6086</f>
        <v>360000</v>
      </c>
    </row>
    <row r="6087" spans="5:13" ht="15" customHeight="1">
      <c r="F6087" s="306"/>
      <c r="G6087" s="301" t="s">
        <v>232</v>
      </c>
      <c r="H6087" s="307" t="s">
        <v>175</v>
      </c>
      <c r="I6087" s="307" t="s">
        <v>171</v>
      </c>
      <c r="J6087" s="308">
        <v>0.24</v>
      </c>
      <c r="K6087" s="309">
        <f>VLOOKUP(G6087,Upah,8,FALSE)</f>
        <v>165000</v>
      </c>
      <c r="L6087" s="310">
        <f>J6087*K6087</f>
        <v>39600</v>
      </c>
    </row>
    <row r="6088" spans="5:13" ht="15" customHeight="1" thickBot="1">
      <c r="F6088" s="306"/>
      <c r="G6088" s="301" t="s">
        <v>176</v>
      </c>
      <c r="H6088" s="307" t="s">
        <v>177</v>
      </c>
      <c r="I6088" s="307" t="s">
        <v>171</v>
      </c>
      <c r="J6088" s="308">
        <v>0.04</v>
      </c>
      <c r="K6088" s="309">
        <f>VLOOKUP(G6088,Upah,8,FALSE)</f>
        <v>170000</v>
      </c>
      <c r="L6088" s="310">
        <f>J6088*K6088</f>
        <v>6800</v>
      </c>
    </row>
    <row r="6089" spans="5:13" ht="15" customHeight="1" thickBot="1">
      <c r="F6089" s="316"/>
      <c r="G6089" s="317"/>
      <c r="H6089" s="318"/>
      <c r="I6089" s="318"/>
      <c r="J6089" s="319" t="s">
        <v>178</v>
      </c>
      <c r="K6089" s="320"/>
      <c r="L6089" s="321">
        <f>SUM(L6085:L6088)</f>
        <v>506400</v>
      </c>
    </row>
    <row r="6090" spans="5:13" ht="15" customHeight="1">
      <c r="F6090" s="300" t="s">
        <v>179</v>
      </c>
      <c r="G6090" s="301" t="s">
        <v>180</v>
      </c>
      <c r="H6090" s="302"/>
      <c r="I6090" s="302"/>
      <c r="J6090" s="351"/>
      <c r="K6090" s="328"/>
      <c r="L6090" s="310"/>
    </row>
    <row r="6091" spans="5:13" ht="15" customHeight="1">
      <c r="F6091" s="306"/>
      <c r="G6091" s="301" t="s">
        <v>1111</v>
      </c>
      <c r="H6091" s="302"/>
      <c r="I6091" s="307" t="s">
        <v>44</v>
      </c>
      <c r="J6091" s="308">
        <v>2.5600000000000001E-2</v>
      </c>
      <c r="K6091" s="328">
        <f>VLOOKUP(G6091,Bahan,6,FALSE)</f>
        <v>4500000</v>
      </c>
      <c r="L6091" s="310">
        <f>J6091*K6091</f>
        <v>115200</v>
      </c>
    </row>
    <row r="6092" spans="5:13" ht="15" customHeight="1">
      <c r="F6092" s="306"/>
      <c r="G6092" s="301" t="s">
        <v>415</v>
      </c>
      <c r="H6092" s="302"/>
      <c r="I6092" s="307" t="s">
        <v>38</v>
      </c>
      <c r="J6092" s="308">
        <v>0.03</v>
      </c>
      <c r="K6092" s="328">
        <f>VLOOKUP(G6092,Bahan,6,FALSE)</f>
        <v>27970</v>
      </c>
      <c r="L6092" s="310">
        <f>J6092*K6092</f>
        <v>839.1</v>
      </c>
    </row>
    <row r="6093" spans="5:13" ht="15" customHeight="1">
      <c r="F6093" s="306"/>
      <c r="G6093" s="301" t="s">
        <v>880</v>
      </c>
      <c r="H6093" s="302"/>
      <c r="I6093" s="307" t="s">
        <v>38</v>
      </c>
      <c r="J6093" s="308">
        <v>0.5</v>
      </c>
      <c r="K6093" s="328">
        <f>VLOOKUP(G6093,Bahan,6,FALSE)</f>
        <v>15210</v>
      </c>
      <c r="L6093" s="310">
        <f>J6093*K6093</f>
        <v>7605</v>
      </c>
    </row>
    <row r="6094" spans="5:13" ht="15" customHeight="1" thickBot="1">
      <c r="F6094" s="306"/>
      <c r="G6094" s="301" t="s">
        <v>226</v>
      </c>
      <c r="H6094" s="302"/>
      <c r="I6094" s="307" t="s">
        <v>423</v>
      </c>
      <c r="J6094" s="308">
        <v>1</v>
      </c>
      <c r="K6094" s="328">
        <f>VLOOKUP(G6094,Bahan,6,FALSE)</f>
        <v>78000</v>
      </c>
      <c r="L6094" s="310">
        <f>J6094*K6094</f>
        <v>78000</v>
      </c>
    </row>
    <row r="6095" spans="5:13" ht="15" customHeight="1" thickBot="1">
      <c r="F6095" s="316"/>
      <c r="G6095" s="317"/>
      <c r="H6095" s="318"/>
      <c r="I6095" s="318"/>
      <c r="J6095" s="319" t="s">
        <v>189</v>
      </c>
      <c r="K6095" s="320"/>
      <c r="L6095" s="321">
        <f>SUM(L6091:L6094)</f>
        <v>201644.1</v>
      </c>
    </row>
    <row r="6096" spans="5:13" ht="15" customHeight="1" thickBot="1">
      <c r="F6096" s="300" t="s">
        <v>190</v>
      </c>
      <c r="G6096" s="301" t="s">
        <v>191</v>
      </c>
      <c r="H6096" s="302"/>
      <c r="I6096" s="302"/>
      <c r="J6096" s="351"/>
      <c r="K6096" s="328">
        <v>0</v>
      </c>
      <c r="L6096" s="310">
        <f>J6096*K6096</f>
        <v>0</v>
      </c>
    </row>
    <row r="6097" spans="5:13" ht="15" customHeight="1" thickBot="1">
      <c r="F6097" s="316"/>
      <c r="G6097" s="317"/>
      <c r="H6097" s="318"/>
      <c r="I6097" s="318"/>
      <c r="J6097" s="319" t="s">
        <v>192</v>
      </c>
      <c r="K6097" s="320"/>
      <c r="L6097" s="321">
        <f>L6096</f>
        <v>0</v>
      </c>
    </row>
    <row r="6098" spans="5:13" ht="15" customHeight="1">
      <c r="F6098" s="344" t="s">
        <v>193</v>
      </c>
      <c r="G6098" s="345" t="s">
        <v>194</v>
      </c>
      <c r="H6098" s="346"/>
      <c r="I6098" s="346"/>
      <c r="J6098" s="347"/>
      <c r="K6098" s="348">
        <v>0</v>
      </c>
      <c r="L6098" s="310">
        <f>SUM(L6085:L6097)/2</f>
        <v>708044.10000000009</v>
      </c>
    </row>
    <row r="6099" spans="5:13" ht="15" customHeight="1" thickBot="1">
      <c r="F6099" s="331" t="s">
        <v>195</v>
      </c>
      <c r="G6099" s="332" t="s">
        <v>196</v>
      </c>
      <c r="H6099" s="333"/>
      <c r="I6099" s="333"/>
      <c r="J6099" s="350">
        <v>0.1</v>
      </c>
      <c r="K6099" s="335"/>
      <c r="L6099" s="330">
        <f>J6099*L6098</f>
        <v>70804.410000000018</v>
      </c>
    </row>
    <row r="6100" spans="5:13" ht="15" customHeight="1" thickBot="1">
      <c r="F6100" s="340" t="s">
        <v>197</v>
      </c>
      <c r="G6100" s="341" t="s">
        <v>198</v>
      </c>
      <c r="H6100" s="318"/>
      <c r="I6100" s="318"/>
      <c r="J6100" s="342"/>
      <c r="K6100" s="320">
        <v>0</v>
      </c>
      <c r="L6100" s="321">
        <f>ROUNDDOWN(L6098+L6099,0)</f>
        <v>778848</v>
      </c>
    </row>
    <row r="6101" spans="5:13" ht="15" customHeight="1">
      <c r="F6101" s="298"/>
      <c r="G6101" s="298"/>
      <c r="J6101" s="343"/>
    </row>
    <row r="6102" spans="5:13" ht="15" customHeight="1" thickBot="1">
      <c r="E6102" s="356" t="s">
        <v>1124</v>
      </c>
      <c r="F6102" s="295" t="s">
        <v>1125</v>
      </c>
      <c r="J6102" s="343"/>
      <c r="M6102" s="299">
        <f>L6118</f>
        <v>822685</v>
      </c>
    </row>
    <row r="6103" spans="5:13" ht="15" customHeight="1" thickBot="1">
      <c r="F6103" s="340" t="s">
        <v>136</v>
      </c>
      <c r="G6103" s="341" t="s">
        <v>162</v>
      </c>
      <c r="H6103" s="352" t="s">
        <v>163</v>
      </c>
      <c r="I6103" s="352" t="s">
        <v>138</v>
      </c>
      <c r="J6103" s="353" t="s">
        <v>164</v>
      </c>
      <c r="K6103" s="341" t="s">
        <v>165</v>
      </c>
      <c r="L6103" s="354" t="s">
        <v>166</v>
      </c>
    </row>
    <row r="6104" spans="5:13" ht="15" customHeight="1">
      <c r="F6104" s="300" t="s">
        <v>167</v>
      </c>
      <c r="G6104" s="301" t="s">
        <v>168</v>
      </c>
      <c r="H6104" s="302"/>
      <c r="I6104" s="302"/>
      <c r="J6104" s="351"/>
      <c r="K6104" s="328"/>
      <c r="L6104" s="310"/>
    </row>
    <row r="6105" spans="5:13" ht="15" customHeight="1">
      <c r="F6105" s="306"/>
      <c r="G6105" s="301" t="s">
        <v>169</v>
      </c>
      <c r="H6105" s="307" t="s">
        <v>170</v>
      </c>
      <c r="I6105" s="429" t="s">
        <v>171</v>
      </c>
      <c r="J6105" s="371">
        <v>0.67</v>
      </c>
      <c r="K6105" s="309">
        <f>VLOOKUP(G6105,Upah,8,FALSE)</f>
        <v>125000</v>
      </c>
      <c r="L6105" s="310">
        <f>J6105*K6105</f>
        <v>83750</v>
      </c>
    </row>
    <row r="6106" spans="5:13" ht="15" customHeight="1">
      <c r="F6106" s="306"/>
      <c r="G6106" s="301" t="s">
        <v>413</v>
      </c>
      <c r="H6106" s="307" t="s">
        <v>173</v>
      </c>
      <c r="I6106" s="429" t="s">
        <v>171</v>
      </c>
      <c r="J6106" s="430">
        <v>2</v>
      </c>
      <c r="K6106" s="309">
        <f>VLOOKUP(G6106,Upah,8,FALSE)</f>
        <v>150000</v>
      </c>
      <c r="L6106" s="310">
        <f>J6106*K6106</f>
        <v>300000</v>
      </c>
    </row>
    <row r="6107" spans="5:13" ht="15" customHeight="1">
      <c r="F6107" s="306"/>
      <c r="G6107" s="301" t="s">
        <v>232</v>
      </c>
      <c r="H6107" s="307" t="s">
        <v>175</v>
      </c>
      <c r="I6107" s="429" t="s">
        <v>171</v>
      </c>
      <c r="J6107" s="371">
        <v>0.2</v>
      </c>
      <c r="K6107" s="309">
        <f>VLOOKUP(G6107,Upah,8,FALSE)</f>
        <v>165000</v>
      </c>
      <c r="L6107" s="310">
        <f>J6107*K6107</f>
        <v>33000</v>
      </c>
    </row>
    <row r="6108" spans="5:13" ht="15" customHeight="1" thickBot="1">
      <c r="F6108" s="306"/>
      <c r="G6108" s="301" t="s">
        <v>176</v>
      </c>
      <c r="H6108" s="307" t="s">
        <v>177</v>
      </c>
      <c r="I6108" s="429" t="s">
        <v>171</v>
      </c>
      <c r="J6108" s="371">
        <v>0.33500000000000002</v>
      </c>
      <c r="K6108" s="309">
        <f>VLOOKUP(G6108,Upah,8,FALSE)</f>
        <v>170000</v>
      </c>
      <c r="L6108" s="310">
        <f>J6108*K6108</f>
        <v>56950</v>
      </c>
    </row>
    <row r="6109" spans="5:13" ht="15" customHeight="1" thickBot="1">
      <c r="F6109" s="316"/>
      <c r="G6109" s="317"/>
      <c r="H6109" s="318"/>
      <c r="I6109" s="318"/>
      <c r="J6109" s="319" t="s">
        <v>178</v>
      </c>
      <c r="K6109" s="320"/>
      <c r="L6109" s="321">
        <f>SUM(L6105:L6108)</f>
        <v>473700</v>
      </c>
    </row>
    <row r="6110" spans="5:13" ht="15" customHeight="1">
      <c r="F6110" s="300" t="s">
        <v>179</v>
      </c>
      <c r="G6110" s="301" t="s">
        <v>180</v>
      </c>
      <c r="H6110" s="302"/>
      <c r="I6110" s="302"/>
      <c r="J6110" s="351"/>
      <c r="K6110" s="328"/>
      <c r="L6110" s="310"/>
    </row>
    <row r="6111" spans="5:13" ht="15" customHeight="1">
      <c r="F6111" s="306"/>
      <c r="G6111" s="301" t="s">
        <v>1126</v>
      </c>
      <c r="H6111" s="302"/>
      <c r="I6111" s="429" t="s">
        <v>44</v>
      </c>
      <c r="J6111" s="371">
        <v>0.06</v>
      </c>
      <c r="K6111" s="328">
        <f>VLOOKUP(G6111,Bahan,6,FALSE)</f>
        <v>4500000</v>
      </c>
      <c r="L6111" s="310">
        <f>J6111*K6111</f>
        <v>270000</v>
      </c>
    </row>
    <row r="6112" spans="5:13" ht="15" customHeight="1" thickBot="1">
      <c r="F6112" s="306"/>
      <c r="G6112" s="301" t="s">
        <v>415</v>
      </c>
      <c r="H6112" s="302"/>
      <c r="I6112" s="429" t="s">
        <v>38</v>
      </c>
      <c r="J6112" s="371">
        <v>0.15</v>
      </c>
      <c r="K6112" s="328">
        <f>VLOOKUP(G6112,Bahan,6,FALSE)</f>
        <v>27970</v>
      </c>
      <c r="L6112" s="310">
        <f>J6112*K6112</f>
        <v>4195.5</v>
      </c>
    </row>
    <row r="6113" spans="5:13" ht="15" customHeight="1" thickBot="1">
      <c r="F6113" s="316"/>
      <c r="G6113" s="317"/>
      <c r="H6113" s="318"/>
      <c r="I6113" s="318"/>
      <c r="J6113" s="319" t="s">
        <v>189</v>
      </c>
      <c r="K6113" s="320"/>
      <c r="L6113" s="321">
        <f>SUM(L6111:L6112)</f>
        <v>274195.5</v>
      </c>
    </row>
    <row r="6114" spans="5:13" ht="15" customHeight="1" thickBot="1">
      <c r="F6114" s="300" t="s">
        <v>190</v>
      </c>
      <c r="G6114" s="301" t="s">
        <v>191</v>
      </c>
      <c r="H6114" s="302"/>
      <c r="I6114" s="302"/>
      <c r="J6114" s="351"/>
      <c r="K6114" s="328">
        <v>0</v>
      </c>
      <c r="L6114" s="310">
        <f>J6114*K6114</f>
        <v>0</v>
      </c>
    </row>
    <row r="6115" spans="5:13" ht="15" customHeight="1" thickBot="1">
      <c r="F6115" s="316"/>
      <c r="G6115" s="317"/>
      <c r="H6115" s="318"/>
      <c r="I6115" s="318"/>
      <c r="J6115" s="319" t="s">
        <v>192</v>
      </c>
      <c r="K6115" s="320"/>
      <c r="L6115" s="321">
        <f>L6114</f>
        <v>0</v>
      </c>
    </row>
    <row r="6116" spans="5:13" ht="15" customHeight="1">
      <c r="F6116" s="344" t="s">
        <v>193</v>
      </c>
      <c r="G6116" s="345" t="s">
        <v>194</v>
      </c>
      <c r="H6116" s="346"/>
      <c r="I6116" s="346"/>
      <c r="J6116" s="347"/>
      <c r="K6116" s="348">
        <v>0</v>
      </c>
      <c r="L6116" s="310">
        <f>SUM(L6105:L6115)/2</f>
        <v>747895.5</v>
      </c>
    </row>
    <row r="6117" spans="5:13" ht="15" customHeight="1" thickBot="1">
      <c r="F6117" s="331" t="s">
        <v>195</v>
      </c>
      <c r="G6117" s="332" t="s">
        <v>196</v>
      </c>
      <c r="H6117" s="333"/>
      <c r="I6117" s="333"/>
      <c r="J6117" s="350">
        <v>0.1</v>
      </c>
      <c r="K6117" s="335"/>
      <c r="L6117" s="330">
        <f>J6117*L6116</f>
        <v>74789.55</v>
      </c>
    </row>
    <row r="6118" spans="5:13" ht="15" customHeight="1" thickBot="1">
      <c r="F6118" s="340" t="s">
        <v>197</v>
      </c>
      <c r="G6118" s="341" t="s">
        <v>198</v>
      </c>
      <c r="H6118" s="318"/>
      <c r="I6118" s="318"/>
      <c r="J6118" s="342"/>
      <c r="K6118" s="320">
        <v>0</v>
      </c>
      <c r="L6118" s="321">
        <f>ROUNDDOWN(L6116+L6117,0)</f>
        <v>822685</v>
      </c>
    </row>
    <row r="6119" spans="5:13" ht="15" customHeight="1">
      <c r="F6119" s="298"/>
      <c r="G6119" s="298"/>
      <c r="J6119" s="343"/>
    </row>
    <row r="6120" spans="5:13" ht="15" customHeight="1" thickBot="1">
      <c r="E6120" s="356" t="s">
        <v>1127</v>
      </c>
      <c r="F6120" s="295" t="s">
        <v>1128</v>
      </c>
      <c r="J6120" s="343"/>
      <c r="M6120" s="299">
        <f>L6138</f>
        <v>767120</v>
      </c>
    </row>
    <row r="6121" spans="5:13" ht="15" customHeight="1" thickBot="1">
      <c r="F6121" s="340" t="s">
        <v>136</v>
      </c>
      <c r="G6121" s="341" t="s">
        <v>162</v>
      </c>
      <c r="H6121" s="352" t="s">
        <v>163</v>
      </c>
      <c r="I6121" s="352" t="s">
        <v>138</v>
      </c>
      <c r="J6121" s="353" t="s">
        <v>164</v>
      </c>
      <c r="K6121" s="341" t="s">
        <v>165</v>
      </c>
      <c r="L6121" s="354" t="s">
        <v>166</v>
      </c>
    </row>
    <row r="6122" spans="5:13" ht="15" customHeight="1">
      <c r="F6122" s="300" t="s">
        <v>167</v>
      </c>
      <c r="G6122" s="301" t="s">
        <v>168</v>
      </c>
      <c r="H6122" s="302"/>
      <c r="I6122" s="302"/>
      <c r="J6122" s="351"/>
      <c r="K6122" s="328"/>
      <c r="L6122" s="310"/>
    </row>
    <row r="6123" spans="5:13" ht="15" customHeight="1">
      <c r="F6123" s="306"/>
      <c r="G6123" s="301" t="s">
        <v>169</v>
      </c>
      <c r="H6123" s="307" t="s">
        <v>170</v>
      </c>
      <c r="I6123" s="429" t="s">
        <v>171</v>
      </c>
      <c r="J6123" s="371">
        <v>0.8</v>
      </c>
      <c r="K6123" s="309">
        <f>VLOOKUP(G6123,Upah,8,FALSE)</f>
        <v>125000</v>
      </c>
      <c r="L6123" s="310">
        <f>J6123*K6123</f>
        <v>100000</v>
      </c>
    </row>
    <row r="6124" spans="5:13" ht="15" customHeight="1">
      <c r="F6124" s="306"/>
      <c r="G6124" s="301" t="s">
        <v>413</v>
      </c>
      <c r="H6124" s="307" t="s">
        <v>173</v>
      </c>
      <c r="I6124" s="429" t="s">
        <v>171</v>
      </c>
      <c r="J6124" s="430">
        <v>2.4</v>
      </c>
      <c r="K6124" s="309">
        <f>VLOOKUP(G6124,Upah,8,FALSE)</f>
        <v>150000</v>
      </c>
      <c r="L6124" s="310">
        <f>J6124*K6124</f>
        <v>360000</v>
      </c>
    </row>
    <row r="6125" spans="5:13" ht="15" customHeight="1">
      <c r="F6125" s="306"/>
      <c r="G6125" s="301" t="s">
        <v>232</v>
      </c>
      <c r="H6125" s="307" t="s">
        <v>175</v>
      </c>
      <c r="I6125" s="429" t="s">
        <v>171</v>
      </c>
      <c r="J6125" s="371">
        <v>0.24</v>
      </c>
      <c r="K6125" s="309">
        <f>VLOOKUP(G6125,Upah,8,FALSE)</f>
        <v>165000</v>
      </c>
      <c r="L6125" s="310">
        <f>J6125*K6125</f>
        <v>39600</v>
      </c>
    </row>
    <row r="6126" spans="5:13" ht="15" customHeight="1" thickBot="1">
      <c r="F6126" s="306"/>
      <c r="G6126" s="301" t="s">
        <v>176</v>
      </c>
      <c r="H6126" s="307" t="s">
        <v>177</v>
      </c>
      <c r="I6126" s="429" t="s">
        <v>171</v>
      </c>
      <c r="J6126" s="371">
        <v>0.04</v>
      </c>
      <c r="K6126" s="309">
        <f>VLOOKUP(G6126,Upah,8,FALSE)</f>
        <v>170000</v>
      </c>
      <c r="L6126" s="310">
        <f>J6126*K6126</f>
        <v>6800</v>
      </c>
    </row>
    <row r="6127" spans="5:13" ht="15" customHeight="1" thickBot="1">
      <c r="F6127" s="316"/>
      <c r="G6127" s="317"/>
      <c r="H6127" s="318"/>
      <c r="I6127" s="318"/>
      <c r="J6127" s="319" t="s">
        <v>178</v>
      </c>
      <c r="K6127" s="320"/>
      <c r="L6127" s="321">
        <f>SUM(L6123:L6126)</f>
        <v>506400</v>
      </c>
    </row>
    <row r="6128" spans="5:13" ht="15" customHeight="1">
      <c r="F6128" s="300" t="s">
        <v>179</v>
      </c>
      <c r="G6128" s="301" t="s">
        <v>180</v>
      </c>
      <c r="H6128" s="302"/>
      <c r="I6128" s="302"/>
      <c r="J6128" s="351"/>
      <c r="K6128" s="328"/>
      <c r="L6128" s="310"/>
    </row>
    <row r="6129" spans="5:13" ht="15" customHeight="1">
      <c r="F6129" s="306"/>
      <c r="G6129" s="301" t="s">
        <v>1126</v>
      </c>
      <c r="H6129" s="302"/>
      <c r="I6129" s="429" t="s">
        <v>44</v>
      </c>
      <c r="J6129" s="371">
        <v>2.5000000000000001E-2</v>
      </c>
      <c r="K6129" s="328">
        <f>VLOOKUP(G6129,Bahan,6,FALSE)</f>
        <v>4500000</v>
      </c>
      <c r="L6129" s="310">
        <f>J6129*K6129</f>
        <v>112500</v>
      </c>
    </row>
    <row r="6130" spans="5:13" ht="15" customHeight="1">
      <c r="F6130" s="306"/>
      <c r="G6130" s="301" t="s">
        <v>415</v>
      </c>
      <c r="H6130" s="302"/>
      <c r="I6130" s="429" t="s">
        <v>38</v>
      </c>
      <c r="J6130" s="371">
        <v>0.03</v>
      </c>
      <c r="K6130" s="328">
        <f>VLOOKUP(G6130,Bahan,6,FALSE)</f>
        <v>27970</v>
      </c>
      <c r="L6130" s="310">
        <f>J6130*K6130</f>
        <v>839.1</v>
      </c>
    </row>
    <row r="6131" spans="5:13" ht="15" customHeight="1">
      <c r="F6131" s="306"/>
      <c r="G6131" s="301" t="s">
        <v>880</v>
      </c>
      <c r="H6131" s="302"/>
      <c r="I6131" s="429" t="s">
        <v>38</v>
      </c>
      <c r="J6131" s="371">
        <v>0.3</v>
      </c>
      <c r="K6131" s="328">
        <f>VLOOKUP(G6131,Bahan,6,FALSE)</f>
        <v>15210</v>
      </c>
      <c r="L6131" s="310">
        <f>J6131*K6131</f>
        <v>4563</v>
      </c>
    </row>
    <row r="6132" spans="5:13" ht="15" customHeight="1" thickBot="1">
      <c r="F6132" s="306"/>
      <c r="G6132" s="301" t="s">
        <v>1129</v>
      </c>
      <c r="H6132" s="302"/>
      <c r="I6132" s="307" t="s">
        <v>423</v>
      </c>
      <c r="J6132" s="430">
        <v>1</v>
      </c>
      <c r="K6132" s="328">
        <f>VLOOKUP(G6132,Bahan,6,FALSE)</f>
        <v>73080</v>
      </c>
      <c r="L6132" s="310">
        <f>J6132*K6132</f>
        <v>73080</v>
      </c>
    </row>
    <row r="6133" spans="5:13" ht="15" customHeight="1" thickBot="1">
      <c r="F6133" s="316"/>
      <c r="G6133" s="317"/>
      <c r="H6133" s="318"/>
      <c r="I6133" s="318"/>
      <c r="J6133" s="319" t="s">
        <v>189</v>
      </c>
      <c r="K6133" s="320"/>
      <c r="L6133" s="321">
        <f>SUM(L6129:L6132)</f>
        <v>190982.1</v>
      </c>
    </row>
    <row r="6134" spans="5:13" ht="15" customHeight="1" thickBot="1">
      <c r="F6134" s="300" t="s">
        <v>190</v>
      </c>
      <c r="G6134" s="301" t="s">
        <v>191</v>
      </c>
      <c r="H6134" s="302"/>
      <c r="I6134" s="302"/>
      <c r="J6134" s="351"/>
      <c r="K6134" s="328">
        <v>0</v>
      </c>
      <c r="L6134" s="310">
        <f>J6134*K6134</f>
        <v>0</v>
      </c>
    </row>
    <row r="6135" spans="5:13" ht="15" customHeight="1" thickBot="1">
      <c r="F6135" s="316"/>
      <c r="G6135" s="317"/>
      <c r="H6135" s="318"/>
      <c r="I6135" s="318"/>
      <c r="J6135" s="319" t="s">
        <v>192</v>
      </c>
      <c r="K6135" s="320"/>
      <c r="L6135" s="321">
        <f>L6134</f>
        <v>0</v>
      </c>
    </row>
    <row r="6136" spans="5:13" ht="15" customHeight="1">
      <c r="F6136" s="344" t="s">
        <v>193</v>
      </c>
      <c r="G6136" s="345" t="s">
        <v>194</v>
      </c>
      <c r="H6136" s="346"/>
      <c r="I6136" s="346"/>
      <c r="J6136" s="347"/>
      <c r="K6136" s="348">
        <v>0</v>
      </c>
      <c r="L6136" s="310">
        <f>SUM(L6123:L6135)/2</f>
        <v>697382.10000000009</v>
      </c>
    </row>
    <row r="6137" spans="5:13" ht="15" customHeight="1" thickBot="1">
      <c r="F6137" s="331" t="s">
        <v>195</v>
      </c>
      <c r="G6137" s="332" t="s">
        <v>196</v>
      </c>
      <c r="H6137" s="333"/>
      <c r="I6137" s="333"/>
      <c r="J6137" s="350">
        <v>0.1</v>
      </c>
      <c r="K6137" s="335"/>
      <c r="L6137" s="330">
        <f>J6137*L6136</f>
        <v>69738.210000000006</v>
      </c>
    </row>
    <row r="6138" spans="5:13" ht="15" customHeight="1" thickBot="1">
      <c r="F6138" s="340" t="s">
        <v>197</v>
      </c>
      <c r="G6138" s="341" t="s">
        <v>198</v>
      </c>
      <c r="H6138" s="318"/>
      <c r="I6138" s="318"/>
      <c r="J6138" s="342"/>
      <c r="K6138" s="320">
        <v>0</v>
      </c>
      <c r="L6138" s="321">
        <f>ROUNDDOWN(L6136+L6137,0)</f>
        <v>767120</v>
      </c>
    </row>
    <row r="6139" spans="5:13" ht="15" customHeight="1">
      <c r="F6139" s="298"/>
      <c r="G6139" s="298"/>
      <c r="J6139" s="343"/>
    </row>
    <row r="6140" spans="5:13" ht="15" customHeight="1" thickBot="1">
      <c r="E6140" s="356" t="s">
        <v>1130</v>
      </c>
      <c r="F6140" s="295" t="s">
        <v>1131</v>
      </c>
      <c r="J6140" s="343"/>
      <c r="M6140" s="299">
        <f>L6159</f>
        <v>867319</v>
      </c>
    </row>
    <row r="6141" spans="5:13" ht="15" customHeight="1" thickBot="1">
      <c r="F6141" s="340" t="s">
        <v>136</v>
      </c>
      <c r="G6141" s="341" t="s">
        <v>162</v>
      </c>
      <c r="H6141" s="352" t="s">
        <v>163</v>
      </c>
      <c r="I6141" s="352" t="s">
        <v>138</v>
      </c>
      <c r="J6141" s="353" t="s">
        <v>164</v>
      </c>
      <c r="K6141" s="341" t="s">
        <v>165</v>
      </c>
      <c r="L6141" s="354" t="s">
        <v>166</v>
      </c>
    </row>
    <row r="6142" spans="5:13" ht="15" customHeight="1">
      <c r="F6142" s="300" t="s">
        <v>167</v>
      </c>
      <c r="G6142" s="301" t="s">
        <v>168</v>
      </c>
      <c r="H6142" s="302"/>
      <c r="I6142" s="302"/>
      <c r="J6142" s="351"/>
      <c r="K6142" s="328"/>
      <c r="L6142" s="310"/>
    </row>
    <row r="6143" spans="5:13" ht="15" customHeight="1">
      <c r="F6143" s="306"/>
      <c r="G6143" s="301" t="s">
        <v>169</v>
      </c>
      <c r="H6143" s="307" t="s">
        <v>170</v>
      </c>
      <c r="I6143" s="429" t="s">
        <v>171</v>
      </c>
      <c r="J6143" s="371">
        <v>0.85</v>
      </c>
      <c r="K6143" s="309">
        <f>VLOOKUP(G6143,Upah,8,FALSE)</f>
        <v>125000</v>
      </c>
      <c r="L6143" s="310">
        <f>J6143*K6143</f>
        <v>106250</v>
      </c>
    </row>
    <row r="6144" spans="5:13" ht="15" customHeight="1">
      <c r="F6144" s="306"/>
      <c r="G6144" s="301" t="s">
        <v>413</v>
      </c>
      <c r="H6144" s="307" t="s">
        <v>173</v>
      </c>
      <c r="I6144" s="429" t="s">
        <v>171</v>
      </c>
      <c r="J6144" s="430">
        <v>2.5499999999999998</v>
      </c>
      <c r="K6144" s="309">
        <f>VLOOKUP(G6144,Upah,8,FALSE)</f>
        <v>150000</v>
      </c>
      <c r="L6144" s="310">
        <f>J6144*K6144</f>
        <v>382500</v>
      </c>
    </row>
    <row r="6145" spans="6:12" ht="15" customHeight="1">
      <c r="F6145" s="306"/>
      <c r="G6145" s="301" t="s">
        <v>232</v>
      </c>
      <c r="H6145" s="307" t="s">
        <v>175</v>
      </c>
      <c r="I6145" s="429" t="s">
        <v>171</v>
      </c>
      <c r="J6145" s="371">
        <v>0.255</v>
      </c>
      <c r="K6145" s="309">
        <f>VLOOKUP(G6145,Upah,8,FALSE)</f>
        <v>165000</v>
      </c>
      <c r="L6145" s="310">
        <f>J6145*K6145</f>
        <v>42075</v>
      </c>
    </row>
    <row r="6146" spans="6:12" ht="15" customHeight="1" thickBot="1">
      <c r="F6146" s="306"/>
      <c r="G6146" s="301" t="s">
        <v>176</v>
      </c>
      <c r="H6146" s="307" t="s">
        <v>177</v>
      </c>
      <c r="I6146" s="429" t="s">
        <v>171</v>
      </c>
      <c r="J6146" s="371">
        <v>4.2999999999999997E-2</v>
      </c>
      <c r="K6146" s="309">
        <f>VLOOKUP(G6146,Upah,8,FALSE)</f>
        <v>170000</v>
      </c>
      <c r="L6146" s="310">
        <f>J6146*K6146</f>
        <v>7309.9999999999991</v>
      </c>
    </row>
    <row r="6147" spans="6:12" ht="15" customHeight="1" thickBot="1">
      <c r="F6147" s="316"/>
      <c r="G6147" s="317"/>
      <c r="H6147" s="318"/>
      <c r="I6147" s="318"/>
      <c r="J6147" s="319" t="s">
        <v>178</v>
      </c>
      <c r="K6147" s="320"/>
      <c r="L6147" s="321">
        <f>SUM(L6143:L6146)</f>
        <v>538135</v>
      </c>
    </row>
    <row r="6148" spans="6:12" ht="15" customHeight="1">
      <c r="F6148" s="300" t="s">
        <v>179</v>
      </c>
      <c r="G6148" s="301" t="s">
        <v>180</v>
      </c>
      <c r="H6148" s="302"/>
      <c r="I6148" s="302"/>
      <c r="J6148" s="351"/>
      <c r="K6148" s="328"/>
      <c r="L6148" s="310"/>
    </row>
    <row r="6149" spans="6:12" ht="15" customHeight="1">
      <c r="F6149" s="306"/>
      <c r="G6149" s="301" t="s">
        <v>1126</v>
      </c>
      <c r="H6149" s="302"/>
      <c r="I6149" s="429" t="s">
        <v>44</v>
      </c>
      <c r="J6149" s="371">
        <v>2.5000000000000001E-2</v>
      </c>
      <c r="K6149" s="328">
        <f>VLOOKUP(G6149,Bahan,6,FALSE)</f>
        <v>4500000</v>
      </c>
      <c r="L6149" s="310">
        <f>J6149*K6149</f>
        <v>112500</v>
      </c>
    </row>
    <row r="6150" spans="6:12" ht="15" customHeight="1">
      <c r="F6150" s="306"/>
      <c r="G6150" s="301" t="s">
        <v>415</v>
      </c>
      <c r="H6150" s="302"/>
      <c r="I6150" s="429" t="s">
        <v>38</v>
      </c>
      <c r="J6150" s="371">
        <v>0.03</v>
      </c>
      <c r="K6150" s="328">
        <f>VLOOKUP(G6150,Bahan,6,FALSE)</f>
        <v>27970</v>
      </c>
      <c r="L6150" s="310">
        <f>J6150*K6150</f>
        <v>839.1</v>
      </c>
    </row>
    <row r="6151" spans="6:12" ht="15" customHeight="1">
      <c r="F6151" s="306"/>
      <c r="G6151" s="301" t="s">
        <v>880</v>
      </c>
      <c r="H6151" s="302"/>
      <c r="I6151" s="429" t="s">
        <v>38</v>
      </c>
      <c r="J6151" s="371">
        <v>0.8</v>
      </c>
      <c r="K6151" s="328">
        <f>VLOOKUP(G6151,Bahan,6,FALSE)</f>
        <v>15210</v>
      </c>
      <c r="L6151" s="310">
        <f>J6151*K6151</f>
        <v>12168</v>
      </c>
    </row>
    <row r="6152" spans="6:12" ht="15" customHeight="1">
      <c r="F6152" s="306"/>
      <c r="G6152" s="301" t="s">
        <v>1129</v>
      </c>
      <c r="H6152" s="302"/>
      <c r="I6152" s="307" t="s">
        <v>423</v>
      </c>
      <c r="J6152" s="430">
        <v>1</v>
      </c>
      <c r="K6152" s="328">
        <f>VLOOKUP(G6152,Bahan,6,FALSE)</f>
        <v>73080</v>
      </c>
      <c r="L6152" s="310">
        <f>J6152*K6152</f>
        <v>73080</v>
      </c>
    </row>
    <row r="6153" spans="6:12" ht="15" customHeight="1" thickBot="1">
      <c r="F6153" s="306"/>
      <c r="G6153" s="301" t="s">
        <v>1132</v>
      </c>
      <c r="H6153" s="302"/>
      <c r="I6153" s="307" t="s">
        <v>423</v>
      </c>
      <c r="J6153" s="371">
        <v>0.5</v>
      </c>
      <c r="K6153" s="328">
        <f>VLOOKUP(G6153,Bahan,6,FALSE)</f>
        <v>103500</v>
      </c>
      <c r="L6153" s="310">
        <f>J6153*K6153</f>
        <v>51750</v>
      </c>
    </row>
    <row r="6154" spans="6:12" ht="15" customHeight="1" thickBot="1">
      <c r="F6154" s="316"/>
      <c r="G6154" s="317"/>
      <c r="H6154" s="318"/>
      <c r="I6154" s="318"/>
      <c r="J6154" s="319" t="s">
        <v>189</v>
      </c>
      <c r="K6154" s="320"/>
      <c r="L6154" s="321">
        <f>SUM(L6149:L6153)</f>
        <v>250337.1</v>
      </c>
    </row>
    <row r="6155" spans="6:12" ht="15" customHeight="1" thickBot="1">
      <c r="F6155" s="300" t="s">
        <v>190</v>
      </c>
      <c r="G6155" s="301" t="s">
        <v>191</v>
      </c>
      <c r="H6155" s="302"/>
      <c r="I6155" s="302"/>
      <c r="J6155" s="351"/>
      <c r="K6155" s="328">
        <v>0</v>
      </c>
      <c r="L6155" s="310">
        <f>J6155*K6155</f>
        <v>0</v>
      </c>
    </row>
    <row r="6156" spans="6:12" ht="15" customHeight="1" thickBot="1">
      <c r="F6156" s="316"/>
      <c r="G6156" s="317"/>
      <c r="H6156" s="318"/>
      <c r="I6156" s="318"/>
      <c r="J6156" s="319" t="s">
        <v>192</v>
      </c>
      <c r="K6156" s="320"/>
      <c r="L6156" s="321">
        <f>L6155</f>
        <v>0</v>
      </c>
    </row>
    <row r="6157" spans="6:12" ht="15" customHeight="1">
      <c r="F6157" s="344" t="s">
        <v>193</v>
      </c>
      <c r="G6157" s="345" t="s">
        <v>194</v>
      </c>
      <c r="H6157" s="346"/>
      <c r="I6157" s="346"/>
      <c r="J6157" s="347"/>
      <c r="K6157" s="348">
        <v>0</v>
      </c>
      <c r="L6157" s="310">
        <f>SUM(L6143:L6156)/2</f>
        <v>788472.10000000009</v>
      </c>
    </row>
    <row r="6158" spans="6:12" ht="15" customHeight="1" thickBot="1">
      <c r="F6158" s="331" t="s">
        <v>195</v>
      </c>
      <c r="G6158" s="332" t="s">
        <v>196</v>
      </c>
      <c r="H6158" s="333"/>
      <c r="I6158" s="333"/>
      <c r="J6158" s="350">
        <v>0.1</v>
      </c>
      <c r="K6158" s="335"/>
      <c r="L6158" s="330">
        <f>J6158*L6157</f>
        <v>78847.210000000021</v>
      </c>
    </row>
    <row r="6159" spans="6:12" ht="15" customHeight="1" thickBot="1">
      <c r="F6159" s="340" t="s">
        <v>197</v>
      </c>
      <c r="G6159" s="341" t="s">
        <v>198</v>
      </c>
      <c r="H6159" s="318"/>
      <c r="I6159" s="318"/>
      <c r="J6159" s="342"/>
      <c r="K6159" s="320">
        <v>0</v>
      </c>
      <c r="L6159" s="321">
        <f>ROUNDDOWN(L6157+L6158,0)</f>
        <v>867319</v>
      </c>
    </row>
    <row r="6160" spans="6:12" ht="15" customHeight="1">
      <c r="F6160" s="298"/>
      <c r="G6160" s="298"/>
      <c r="J6160" s="343"/>
    </row>
    <row r="6161" spans="5:13" ht="15" customHeight="1" thickBot="1">
      <c r="E6161" s="356" t="s">
        <v>1133</v>
      </c>
      <c r="F6161" s="295" t="s">
        <v>1134</v>
      </c>
      <c r="J6161" s="343"/>
      <c r="M6161" s="299">
        <f>L6178</f>
        <v>8499845</v>
      </c>
    </row>
    <row r="6162" spans="5:13" ht="15" customHeight="1" thickBot="1">
      <c r="F6162" s="340" t="s">
        <v>136</v>
      </c>
      <c r="G6162" s="341" t="s">
        <v>162</v>
      </c>
      <c r="H6162" s="352" t="s">
        <v>163</v>
      </c>
      <c r="I6162" s="352" t="s">
        <v>138</v>
      </c>
      <c r="J6162" s="353" t="s">
        <v>164</v>
      </c>
      <c r="K6162" s="341" t="s">
        <v>165</v>
      </c>
      <c r="L6162" s="354" t="s">
        <v>166</v>
      </c>
    </row>
    <row r="6163" spans="5:13" ht="15" customHeight="1">
      <c r="F6163" s="300" t="s">
        <v>167</v>
      </c>
      <c r="G6163" s="301" t="s">
        <v>168</v>
      </c>
      <c r="H6163" s="302"/>
      <c r="I6163" s="302"/>
      <c r="J6163" s="351"/>
      <c r="K6163" s="328"/>
      <c r="L6163" s="310"/>
    </row>
    <row r="6164" spans="5:13" ht="15" customHeight="1">
      <c r="F6164" s="306"/>
      <c r="G6164" s="301" t="s">
        <v>169</v>
      </c>
      <c r="H6164" s="307" t="s">
        <v>170</v>
      </c>
      <c r="I6164" s="429" t="s">
        <v>171</v>
      </c>
      <c r="J6164" s="430">
        <v>4</v>
      </c>
      <c r="K6164" s="309">
        <f>VLOOKUP(G6164,Upah,8,FALSE)</f>
        <v>125000</v>
      </c>
      <c r="L6164" s="310">
        <f>J6164*K6164</f>
        <v>500000</v>
      </c>
    </row>
    <row r="6165" spans="5:13" ht="15" customHeight="1">
      <c r="F6165" s="306"/>
      <c r="G6165" s="301" t="s">
        <v>413</v>
      </c>
      <c r="H6165" s="307" t="s">
        <v>173</v>
      </c>
      <c r="I6165" s="429" t="s">
        <v>171</v>
      </c>
      <c r="J6165" s="430">
        <v>12</v>
      </c>
      <c r="K6165" s="309">
        <f>VLOOKUP(G6165,Upah,8,FALSE)</f>
        <v>150000</v>
      </c>
      <c r="L6165" s="310">
        <f>J6165*K6165</f>
        <v>1800000</v>
      </c>
    </row>
    <row r="6166" spans="5:13" ht="15" customHeight="1">
      <c r="F6166" s="306"/>
      <c r="G6166" s="301" t="s">
        <v>232</v>
      </c>
      <c r="H6166" s="307" t="s">
        <v>175</v>
      </c>
      <c r="I6166" s="429" t="s">
        <v>171</v>
      </c>
      <c r="J6166" s="430">
        <v>1.2</v>
      </c>
      <c r="K6166" s="309">
        <f>VLOOKUP(G6166,Upah,8,FALSE)</f>
        <v>165000</v>
      </c>
      <c r="L6166" s="310">
        <f>J6166*K6166</f>
        <v>198000</v>
      </c>
    </row>
    <row r="6167" spans="5:13" ht="15" customHeight="1" thickBot="1">
      <c r="F6167" s="306"/>
      <c r="G6167" s="301" t="s">
        <v>176</v>
      </c>
      <c r="H6167" s="307" t="s">
        <v>177</v>
      </c>
      <c r="I6167" s="429" t="s">
        <v>171</v>
      </c>
      <c r="J6167" s="371">
        <v>0.2</v>
      </c>
      <c r="K6167" s="309">
        <f>VLOOKUP(G6167,Upah,8,FALSE)</f>
        <v>170000</v>
      </c>
      <c r="L6167" s="310">
        <f>J6167*K6167</f>
        <v>34000</v>
      </c>
    </row>
    <row r="6168" spans="5:13" ht="15" customHeight="1" thickBot="1">
      <c r="F6168" s="316"/>
      <c r="G6168" s="317"/>
      <c r="H6168" s="318"/>
      <c r="I6168" s="318"/>
      <c r="J6168" s="319" t="s">
        <v>178</v>
      </c>
      <c r="K6168" s="320"/>
      <c r="L6168" s="321">
        <f>SUM(L6164:L6167)</f>
        <v>2532000</v>
      </c>
    </row>
    <row r="6169" spans="5:13" ht="15" customHeight="1">
      <c r="F6169" s="300" t="s">
        <v>179</v>
      </c>
      <c r="G6169" s="301" t="s">
        <v>180</v>
      </c>
      <c r="H6169" s="302"/>
      <c r="I6169" s="302"/>
      <c r="J6169" s="351"/>
      <c r="K6169" s="328"/>
      <c r="L6169" s="310"/>
    </row>
    <row r="6170" spans="5:13" ht="15" customHeight="1">
      <c r="F6170" s="306"/>
      <c r="G6170" s="301" t="s">
        <v>396</v>
      </c>
      <c r="H6170" s="302"/>
      <c r="I6170" s="429" t="s">
        <v>44</v>
      </c>
      <c r="J6170" s="430">
        <v>1.1000000000000001</v>
      </c>
      <c r="K6170" s="328">
        <f>VLOOKUP(G6170,Bahan,6,FALSE)</f>
        <v>4410000</v>
      </c>
      <c r="L6170" s="310">
        <f>J6170*K6170</f>
        <v>4851000</v>
      </c>
    </row>
    <row r="6171" spans="5:13" ht="15" customHeight="1">
      <c r="F6171" s="306"/>
      <c r="G6171" s="301" t="s">
        <v>218</v>
      </c>
      <c r="H6171" s="302"/>
      <c r="I6171" s="429" t="s">
        <v>38</v>
      </c>
      <c r="J6171" s="430">
        <v>15</v>
      </c>
      <c r="K6171" s="328">
        <f>VLOOKUP(G6171,Bahan,6,FALSE)</f>
        <v>12500</v>
      </c>
      <c r="L6171" s="310">
        <f>J6171*K6171</f>
        <v>187500</v>
      </c>
    </row>
    <row r="6172" spans="5:13" ht="15" customHeight="1" thickBot="1">
      <c r="F6172" s="306"/>
      <c r="G6172" s="301" t="s">
        <v>415</v>
      </c>
      <c r="H6172" s="302"/>
      <c r="I6172" s="429" t="s">
        <v>38</v>
      </c>
      <c r="J6172" s="430">
        <v>5.6</v>
      </c>
      <c r="K6172" s="328">
        <f>VLOOKUP(G6172,Bahan,6,FALSE)</f>
        <v>27970</v>
      </c>
      <c r="L6172" s="310">
        <f>J6172*K6172</f>
        <v>156632</v>
      </c>
    </row>
    <row r="6173" spans="5:13" ht="15" customHeight="1" thickBot="1">
      <c r="F6173" s="316"/>
      <c r="G6173" s="317"/>
      <c r="H6173" s="318"/>
      <c r="I6173" s="318"/>
      <c r="J6173" s="319" t="s">
        <v>189</v>
      </c>
      <c r="K6173" s="320"/>
      <c r="L6173" s="321">
        <f>SUM(L6170:L6172)</f>
        <v>5195132</v>
      </c>
    </row>
    <row r="6174" spans="5:13" ht="15" customHeight="1" thickBot="1">
      <c r="F6174" s="300" t="s">
        <v>190</v>
      </c>
      <c r="G6174" s="301" t="s">
        <v>191</v>
      </c>
      <c r="H6174" s="302"/>
      <c r="I6174" s="302"/>
      <c r="J6174" s="351"/>
      <c r="K6174" s="328">
        <v>0</v>
      </c>
      <c r="L6174" s="310">
        <f>J6174*K6174</f>
        <v>0</v>
      </c>
    </row>
    <row r="6175" spans="5:13" ht="15" customHeight="1" thickBot="1">
      <c r="F6175" s="316"/>
      <c r="G6175" s="317"/>
      <c r="H6175" s="318"/>
      <c r="I6175" s="318"/>
      <c r="J6175" s="319" t="s">
        <v>192</v>
      </c>
      <c r="K6175" s="320"/>
      <c r="L6175" s="321">
        <f>L6174</f>
        <v>0</v>
      </c>
    </row>
    <row r="6176" spans="5:13" ht="15" customHeight="1">
      <c r="F6176" s="344" t="s">
        <v>193</v>
      </c>
      <c r="G6176" s="345" t="s">
        <v>194</v>
      </c>
      <c r="H6176" s="346"/>
      <c r="I6176" s="346"/>
      <c r="J6176" s="347"/>
      <c r="K6176" s="348">
        <v>0</v>
      </c>
      <c r="L6176" s="310">
        <f>SUM(L6164:L6175)/2</f>
        <v>7727132</v>
      </c>
    </row>
    <row r="6177" spans="5:13" ht="15" customHeight="1" thickBot="1">
      <c r="F6177" s="331" t="s">
        <v>195</v>
      </c>
      <c r="G6177" s="332" t="s">
        <v>196</v>
      </c>
      <c r="H6177" s="333"/>
      <c r="I6177" s="333"/>
      <c r="J6177" s="350">
        <v>0.1</v>
      </c>
      <c r="K6177" s="335"/>
      <c r="L6177" s="330">
        <f>J6177*L6176</f>
        <v>772713.20000000007</v>
      </c>
    </row>
    <row r="6178" spans="5:13" ht="15" customHeight="1" thickBot="1">
      <c r="F6178" s="340" t="s">
        <v>197</v>
      </c>
      <c r="G6178" s="341" t="s">
        <v>198</v>
      </c>
      <c r="H6178" s="318"/>
      <c r="I6178" s="318"/>
      <c r="J6178" s="342"/>
      <c r="K6178" s="320">
        <v>0</v>
      </c>
      <c r="L6178" s="321">
        <f>ROUNDDOWN(L6176+L6177,0)</f>
        <v>8499845</v>
      </c>
    </row>
    <row r="6179" spans="5:13" ht="15" customHeight="1">
      <c r="F6179" s="298"/>
      <c r="G6179" s="298"/>
      <c r="J6179" s="343"/>
    </row>
    <row r="6180" spans="5:13" ht="15" customHeight="1" thickBot="1">
      <c r="E6180" s="356" t="s">
        <v>1135</v>
      </c>
      <c r="F6180" s="295" t="s">
        <v>1136</v>
      </c>
      <c r="J6180" s="343"/>
      <c r="M6180" s="299">
        <f>L6197</f>
        <v>13623755</v>
      </c>
    </row>
    <row r="6181" spans="5:13" ht="15" customHeight="1" thickBot="1">
      <c r="F6181" s="340" t="s">
        <v>136</v>
      </c>
      <c r="G6181" s="341" t="s">
        <v>162</v>
      </c>
      <c r="H6181" s="352" t="s">
        <v>163</v>
      </c>
      <c r="I6181" s="352" t="s">
        <v>138</v>
      </c>
      <c r="J6181" s="353" t="s">
        <v>164</v>
      </c>
      <c r="K6181" s="341" t="s">
        <v>165</v>
      </c>
      <c r="L6181" s="354" t="s">
        <v>166</v>
      </c>
    </row>
    <row r="6182" spans="5:13" ht="15" customHeight="1">
      <c r="F6182" s="300" t="s">
        <v>167</v>
      </c>
      <c r="G6182" s="301" t="s">
        <v>168</v>
      </c>
      <c r="H6182" s="302"/>
      <c r="I6182" s="302"/>
      <c r="J6182" s="351"/>
      <c r="K6182" s="328"/>
      <c r="L6182" s="310"/>
    </row>
    <row r="6183" spans="5:13" ht="15" customHeight="1">
      <c r="F6183" s="306"/>
      <c r="G6183" s="301" t="s">
        <v>169</v>
      </c>
      <c r="H6183" s="307" t="s">
        <v>170</v>
      </c>
      <c r="I6183" s="429" t="s">
        <v>171</v>
      </c>
      <c r="J6183" s="430">
        <v>6.7</v>
      </c>
      <c r="K6183" s="309">
        <f>VLOOKUP(G6183,Upah,8,FALSE)</f>
        <v>125000</v>
      </c>
      <c r="L6183" s="310">
        <f>J6183*K6183</f>
        <v>837500</v>
      </c>
    </row>
    <row r="6184" spans="5:13" ht="15" customHeight="1">
      <c r="F6184" s="306"/>
      <c r="G6184" s="301" t="s">
        <v>413</v>
      </c>
      <c r="H6184" s="307" t="s">
        <v>173</v>
      </c>
      <c r="I6184" s="429" t="s">
        <v>171</v>
      </c>
      <c r="J6184" s="430">
        <v>20.100000000000001</v>
      </c>
      <c r="K6184" s="309">
        <f>VLOOKUP(G6184,Upah,8,FALSE)</f>
        <v>150000</v>
      </c>
      <c r="L6184" s="310">
        <f>J6184*K6184</f>
        <v>3015000</v>
      </c>
    </row>
    <row r="6185" spans="5:13" ht="15" customHeight="1">
      <c r="F6185" s="306"/>
      <c r="G6185" s="301" t="s">
        <v>232</v>
      </c>
      <c r="H6185" s="307" t="s">
        <v>175</v>
      </c>
      <c r="I6185" s="429" t="s">
        <v>171</v>
      </c>
      <c r="J6185" s="430">
        <v>2.0099999999999998</v>
      </c>
      <c r="K6185" s="309">
        <f>VLOOKUP(G6185,Upah,8,FALSE)</f>
        <v>165000</v>
      </c>
      <c r="L6185" s="310">
        <f>J6185*K6185</f>
        <v>331649.99999999994</v>
      </c>
    </row>
    <row r="6186" spans="5:13" ht="15" customHeight="1" thickBot="1">
      <c r="F6186" s="306"/>
      <c r="G6186" s="301" t="s">
        <v>176</v>
      </c>
      <c r="H6186" s="307" t="s">
        <v>177</v>
      </c>
      <c r="I6186" s="429" t="s">
        <v>171</v>
      </c>
      <c r="J6186" s="371">
        <v>0.33500000000000002</v>
      </c>
      <c r="K6186" s="309">
        <f>VLOOKUP(G6186,Upah,8,FALSE)</f>
        <v>170000</v>
      </c>
      <c r="L6186" s="310">
        <f>J6186*K6186</f>
        <v>56950</v>
      </c>
    </row>
    <row r="6187" spans="5:13" ht="15" customHeight="1" thickBot="1">
      <c r="F6187" s="316"/>
      <c r="G6187" s="317"/>
      <c r="H6187" s="318"/>
      <c r="I6187" s="318"/>
      <c r="J6187" s="319" t="s">
        <v>178</v>
      </c>
      <c r="K6187" s="320"/>
      <c r="L6187" s="321">
        <f>SUM(L6183:L6186)</f>
        <v>4241100</v>
      </c>
    </row>
    <row r="6188" spans="5:13" ht="15" customHeight="1">
      <c r="F6188" s="300" t="s">
        <v>179</v>
      </c>
      <c r="G6188" s="301" t="s">
        <v>180</v>
      </c>
      <c r="H6188" s="302"/>
      <c r="I6188" s="302"/>
      <c r="J6188" s="351"/>
      <c r="K6188" s="328"/>
      <c r="L6188" s="310"/>
    </row>
    <row r="6189" spans="5:13" ht="15" customHeight="1">
      <c r="F6189" s="306"/>
      <c r="G6189" s="301" t="s">
        <v>1686</v>
      </c>
      <c r="H6189" s="302"/>
      <c r="I6189" s="429" t="s">
        <v>44</v>
      </c>
      <c r="J6189" s="430">
        <v>1.2</v>
      </c>
      <c r="K6189" s="328">
        <f>VLOOKUP(G6189,Bahan,6,FALSE)</f>
        <v>6500000</v>
      </c>
      <c r="L6189" s="310">
        <f>J6189*K6189</f>
        <v>7800000</v>
      </c>
    </row>
    <row r="6190" spans="5:13" ht="15" customHeight="1">
      <c r="F6190" s="306"/>
      <c r="G6190" s="301" t="s">
        <v>218</v>
      </c>
      <c r="H6190" s="302"/>
      <c r="I6190" s="429" t="s">
        <v>38</v>
      </c>
      <c r="J6190" s="430">
        <v>15</v>
      </c>
      <c r="K6190" s="328">
        <f>VLOOKUP(G6190,Bahan,6,FALSE)</f>
        <v>12500</v>
      </c>
      <c r="L6190" s="310">
        <f>J6190*K6190</f>
        <v>187500</v>
      </c>
    </row>
    <row r="6191" spans="5:13" ht="15" customHeight="1" thickBot="1">
      <c r="F6191" s="306"/>
      <c r="G6191" s="301" t="s">
        <v>415</v>
      </c>
      <c r="H6191" s="302"/>
      <c r="I6191" s="429" t="s">
        <v>38</v>
      </c>
      <c r="J6191" s="430">
        <v>5.6</v>
      </c>
      <c r="K6191" s="328">
        <f>VLOOKUP(G6191,Bahan,6,FALSE)</f>
        <v>27970</v>
      </c>
      <c r="L6191" s="310">
        <f>J6191*K6191</f>
        <v>156632</v>
      </c>
    </row>
    <row r="6192" spans="5:13" ht="15" customHeight="1" thickBot="1">
      <c r="F6192" s="316"/>
      <c r="G6192" s="317"/>
      <c r="H6192" s="318"/>
      <c r="I6192" s="318"/>
      <c r="J6192" s="319" t="s">
        <v>189</v>
      </c>
      <c r="K6192" s="320"/>
      <c r="L6192" s="321">
        <f>SUM(L6189:L6191)</f>
        <v>8144132</v>
      </c>
    </row>
    <row r="6193" spans="5:13" ht="15" customHeight="1" thickBot="1">
      <c r="F6193" s="300" t="s">
        <v>190</v>
      </c>
      <c r="G6193" s="301" t="s">
        <v>191</v>
      </c>
      <c r="H6193" s="302"/>
      <c r="I6193" s="302"/>
      <c r="J6193" s="351"/>
      <c r="K6193" s="328">
        <v>0</v>
      </c>
      <c r="L6193" s="310">
        <f>J6193*K6193</f>
        <v>0</v>
      </c>
    </row>
    <row r="6194" spans="5:13" ht="15" customHeight="1" thickBot="1">
      <c r="F6194" s="316"/>
      <c r="G6194" s="317"/>
      <c r="H6194" s="318"/>
      <c r="I6194" s="318"/>
      <c r="J6194" s="319" t="s">
        <v>192</v>
      </c>
      <c r="K6194" s="320"/>
      <c r="L6194" s="321">
        <f>L6193</f>
        <v>0</v>
      </c>
    </row>
    <row r="6195" spans="5:13" ht="15" customHeight="1">
      <c r="F6195" s="344" t="s">
        <v>193</v>
      </c>
      <c r="G6195" s="345" t="s">
        <v>194</v>
      </c>
      <c r="H6195" s="346"/>
      <c r="I6195" s="346"/>
      <c r="J6195" s="347"/>
      <c r="K6195" s="348">
        <v>0</v>
      </c>
      <c r="L6195" s="310">
        <f>SUM(L6183:L6194)/2</f>
        <v>12385232</v>
      </c>
    </row>
    <row r="6196" spans="5:13" ht="15" customHeight="1" thickBot="1">
      <c r="F6196" s="331" t="s">
        <v>195</v>
      </c>
      <c r="G6196" s="332" t="s">
        <v>196</v>
      </c>
      <c r="H6196" s="333"/>
      <c r="I6196" s="333"/>
      <c r="J6196" s="350">
        <v>0.1</v>
      </c>
      <c r="K6196" s="335"/>
      <c r="L6196" s="330">
        <f>J6196*L6195</f>
        <v>1238523.2</v>
      </c>
    </row>
    <row r="6197" spans="5:13" ht="15" customHeight="1" thickBot="1">
      <c r="F6197" s="340" t="s">
        <v>197</v>
      </c>
      <c r="G6197" s="341" t="s">
        <v>198</v>
      </c>
      <c r="H6197" s="318"/>
      <c r="I6197" s="318"/>
      <c r="J6197" s="342"/>
      <c r="K6197" s="320">
        <v>0</v>
      </c>
      <c r="L6197" s="321">
        <f>ROUNDDOWN(L6195+L6196,0)</f>
        <v>13623755</v>
      </c>
    </row>
    <row r="6198" spans="5:13" ht="15" customHeight="1">
      <c r="F6198" s="298"/>
      <c r="G6198" s="298"/>
      <c r="J6198" s="343"/>
    </row>
    <row r="6199" spans="5:13" ht="15" customHeight="1" thickBot="1">
      <c r="E6199" s="356" t="s">
        <v>1137</v>
      </c>
      <c r="F6199" s="295" t="s">
        <v>1138</v>
      </c>
      <c r="J6199" s="343"/>
      <c r="M6199" s="299" t="e">
        <f>L6216</f>
        <v>#VALUE!</v>
      </c>
    </row>
    <row r="6200" spans="5:13" ht="15" customHeight="1" thickBot="1">
      <c r="F6200" s="340" t="s">
        <v>136</v>
      </c>
      <c r="G6200" s="341" t="s">
        <v>162</v>
      </c>
      <c r="H6200" s="352" t="s">
        <v>163</v>
      </c>
      <c r="I6200" s="352" t="s">
        <v>138</v>
      </c>
      <c r="J6200" s="353" t="s">
        <v>164</v>
      </c>
      <c r="K6200" s="341" t="s">
        <v>165</v>
      </c>
      <c r="L6200" s="354" t="s">
        <v>166</v>
      </c>
    </row>
    <row r="6201" spans="5:13" ht="15" customHeight="1">
      <c r="F6201" s="300" t="s">
        <v>167</v>
      </c>
      <c r="G6201" s="301" t="s">
        <v>168</v>
      </c>
      <c r="H6201" s="302"/>
      <c r="I6201" s="302"/>
      <c r="J6201" s="351"/>
      <c r="K6201" s="328"/>
      <c r="L6201" s="310"/>
    </row>
    <row r="6202" spans="5:13" ht="15" customHeight="1">
      <c r="F6202" s="306"/>
      <c r="G6202" s="301" t="s">
        <v>169</v>
      </c>
      <c r="H6202" s="307" t="s">
        <v>170</v>
      </c>
      <c r="I6202" s="429" t="s">
        <v>171</v>
      </c>
      <c r="J6202" s="430">
        <v>6.7</v>
      </c>
      <c r="K6202" s="309">
        <f>VLOOKUP(G6202,Upah,8,FALSE)</f>
        <v>125000</v>
      </c>
      <c r="L6202" s="310">
        <f>J6202*K6202</f>
        <v>837500</v>
      </c>
    </row>
    <row r="6203" spans="5:13" ht="15" customHeight="1">
      <c r="F6203" s="306"/>
      <c r="G6203" s="301" t="s">
        <v>413</v>
      </c>
      <c r="H6203" s="307" t="s">
        <v>173</v>
      </c>
      <c r="I6203" s="429" t="s">
        <v>171</v>
      </c>
      <c r="J6203" s="430">
        <v>20.100000000000001</v>
      </c>
      <c r="K6203" s="309">
        <f>VLOOKUP(G6203,Upah,8,FALSE)</f>
        <v>150000</v>
      </c>
      <c r="L6203" s="310">
        <f>J6203*K6203</f>
        <v>3015000</v>
      </c>
    </row>
    <row r="6204" spans="5:13" ht="15" customHeight="1">
      <c r="F6204" s="306"/>
      <c r="G6204" s="301" t="s">
        <v>232</v>
      </c>
      <c r="H6204" s="307" t="s">
        <v>175</v>
      </c>
      <c r="I6204" s="429" t="s">
        <v>171</v>
      </c>
      <c r="J6204" s="430">
        <v>2.0099999999999998</v>
      </c>
      <c r="K6204" s="309">
        <f>VLOOKUP(G6204,Upah,8,FALSE)</f>
        <v>165000</v>
      </c>
      <c r="L6204" s="310">
        <f>J6204*K6204</f>
        <v>331649.99999999994</v>
      </c>
    </row>
    <row r="6205" spans="5:13" ht="15" customHeight="1" thickBot="1">
      <c r="F6205" s="306"/>
      <c r="G6205" s="301" t="s">
        <v>176</v>
      </c>
      <c r="H6205" s="307" t="s">
        <v>177</v>
      </c>
      <c r="I6205" s="429" t="s">
        <v>171</v>
      </c>
      <c r="J6205" s="431" t="s">
        <v>2064</v>
      </c>
      <c r="K6205" s="309">
        <f>VLOOKUP(G6205,Upah,8,FALSE)</f>
        <v>170000</v>
      </c>
      <c r="L6205" s="305" t="e">
        <f>J6205*K6205</f>
        <v>#VALUE!</v>
      </c>
    </row>
    <row r="6206" spans="5:13" ht="15" customHeight="1" thickBot="1">
      <c r="F6206" s="316"/>
      <c r="G6206" s="317"/>
      <c r="H6206" s="318"/>
      <c r="I6206" s="318"/>
      <c r="J6206" s="319" t="s">
        <v>178</v>
      </c>
      <c r="K6206" s="320"/>
      <c r="L6206" s="321" t="e">
        <f>SUM(L6202:L6205)</f>
        <v>#VALUE!</v>
      </c>
    </row>
    <row r="6207" spans="5:13" ht="15" customHeight="1">
      <c r="F6207" s="300" t="s">
        <v>179</v>
      </c>
      <c r="G6207" s="301" t="s">
        <v>180</v>
      </c>
      <c r="H6207" s="302"/>
      <c r="I6207" s="302"/>
      <c r="J6207" s="351"/>
      <c r="K6207" s="328"/>
      <c r="L6207" s="310"/>
    </row>
    <row r="6208" spans="5:13" ht="15" customHeight="1">
      <c r="F6208" s="306"/>
      <c r="G6208" s="301" t="s">
        <v>396</v>
      </c>
      <c r="H6208" s="302"/>
      <c r="I6208" s="429" t="s">
        <v>44</v>
      </c>
      <c r="J6208" s="430">
        <v>1.1000000000000001</v>
      </c>
      <c r="K6208" s="328">
        <f>VLOOKUP(G6208,Bahan,6,FALSE)</f>
        <v>4410000</v>
      </c>
      <c r="L6208" s="310">
        <f>J6208*K6208</f>
        <v>4851000</v>
      </c>
    </row>
    <row r="6209" spans="5:13" ht="15" customHeight="1">
      <c r="F6209" s="306"/>
      <c r="G6209" s="301" t="s">
        <v>218</v>
      </c>
      <c r="H6209" s="302"/>
      <c r="I6209" s="429" t="s">
        <v>38</v>
      </c>
      <c r="J6209" s="430">
        <v>15</v>
      </c>
      <c r="K6209" s="328">
        <f>VLOOKUP(G6209,Bahan,6,FALSE)</f>
        <v>12500</v>
      </c>
      <c r="L6209" s="310">
        <f>J6209*K6209</f>
        <v>187500</v>
      </c>
    </row>
    <row r="6210" spans="5:13" ht="15" customHeight="1" thickBot="1">
      <c r="F6210" s="306"/>
      <c r="G6210" s="301" t="s">
        <v>415</v>
      </c>
      <c r="H6210" s="302"/>
      <c r="I6210" s="429" t="s">
        <v>38</v>
      </c>
      <c r="J6210" s="430">
        <v>3</v>
      </c>
      <c r="K6210" s="328">
        <f>VLOOKUP(G6210,Bahan,6,FALSE)</f>
        <v>27970</v>
      </c>
      <c r="L6210" s="310">
        <f>J6210*K6210</f>
        <v>83910</v>
      </c>
    </row>
    <row r="6211" spans="5:13" ht="15" customHeight="1" thickBot="1">
      <c r="F6211" s="316"/>
      <c r="G6211" s="317"/>
      <c r="H6211" s="318"/>
      <c r="I6211" s="318"/>
      <c r="J6211" s="319" t="s">
        <v>189</v>
      </c>
      <c r="K6211" s="320"/>
      <c r="L6211" s="321">
        <f>SUM(L6208:L6210)</f>
        <v>5122410</v>
      </c>
    </row>
    <row r="6212" spans="5:13" ht="15" customHeight="1" thickBot="1">
      <c r="F6212" s="300" t="s">
        <v>190</v>
      </c>
      <c r="G6212" s="301" t="s">
        <v>191</v>
      </c>
      <c r="H6212" s="302"/>
      <c r="I6212" s="302"/>
      <c r="J6212" s="351"/>
      <c r="K6212" s="328">
        <v>0</v>
      </c>
      <c r="L6212" s="310">
        <f>J6212*K6212</f>
        <v>0</v>
      </c>
    </row>
    <row r="6213" spans="5:13" ht="15" customHeight="1" thickBot="1">
      <c r="F6213" s="316"/>
      <c r="G6213" s="317"/>
      <c r="H6213" s="318"/>
      <c r="I6213" s="318"/>
      <c r="J6213" s="319" t="s">
        <v>192</v>
      </c>
      <c r="K6213" s="320"/>
      <c r="L6213" s="321">
        <f>L6212</f>
        <v>0</v>
      </c>
    </row>
    <row r="6214" spans="5:13" ht="15" customHeight="1">
      <c r="F6214" s="344" t="s">
        <v>193</v>
      </c>
      <c r="G6214" s="345" t="s">
        <v>194</v>
      </c>
      <c r="H6214" s="346"/>
      <c r="I6214" s="346"/>
      <c r="J6214" s="347"/>
      <c r="K6214" s="348">
        <v>0</v>
      </c>
      <c r="L6214" s="310" t="e">
        <f>SUM(L6202:L6213)/2</f>
        <v>#VALUE!</v>
      </c>
    </row>
    <row r="6215" spans="5:13" ht="15" customHeight="1" thickBot="1">
      <c r="F6215" s="331" t="s">
        <v>195</v>
      </c>
      <c r="G6215" s="332" t="s">
        <v>196</v>
      </c>
      <c r="H6215" s="333"/>
      <c r="I6215" s="333"/>
      <c r="J6215" s="350">
        <v>0.1</v>
      </c>
      <c r="K6215" s="335"/>
      <c r="L6215" s="330" t="e">
        <f>J6215*L6214</f>
        <v>#VALUE!</v>
      </c>
    </row>
    <row r="6216" spans="5:13" ht="15" customHeight="1" thickBot="1">
      <c r="F6216" s="340" t="s">
        <v>197</v>
      </c>
      <c r="G6216" s="341" t="s">
        <v>198</v>
      </c>
      <c r="H6216" s="318"/>
      <c r="I6216" s="318"/>
      <c r="J6216" s="342"/>
      <c r="K6216" s="320">
        <v>0</v>
      </c>
      <c r="L6216" s="321" t="e">
        <f>ROUNDDOWN(L6214+L6215,0)</f>
        <v>#VALUE!</v>
      </c>
    </row>
    <row r="6217" spans="5:13" ht="15" customHeight="1">
      <c r="F6217" s="298"/>
      <c r="G6217" s="298"/>
      <c r="J6217" s="343"/>
    </row>
    <row r="6218" spans="5:13" ht="15" customHeight="1" thickBot="1">
      <c r="E6218" s="356" t="s">
        <v>1139</v>
      </c>
      <c r="F6218" s="295" t="s">
        <v>1140</v>
      </c>
      <c r="J6218" s="343"/>
      <c r="M6218" s="299">
        <f>L6235</f>
        <v>281730</v>
      </c>
    </row>
    <row r="6219" spans="5:13" ht="15" customHeight="1" thickBot="1">
      <c r="F6219" s="340" t="s">
        <v>136</v>
      </c>
      <c r="G6219" s="341" t="s">
        <v>162</v>
      </c>
      <c r="H6219" s="352" t="s">
        <v>163</v>
      </c>
      <c r="I6219" s="352" t="s">
        <v>138</v>
      </c>
      <c r="J6219" s="353" t="s">
        <v>164</v>
      </c>
      <c r="K6219" s="341" t="s">
        <v>165</v>
      </c>
      <c r="L6219" s="354" t="s">
        <v>166</v>
      </c>
    </row>
    <row r="6220" spans="5:13" ht="15" customHeight="1">
      <c r="F6220" s="300" t="s">
        <v>167</v>
      </c>
      <c r="G6220" s="301" t="s">
        <v>168</v>
      </c>
      <c r="H6220" s="302"/>
      <c r="I6220" s="302"/>
      <c r="J6220" s="351"/>
      <c r="K6220" s="328"/>
      <c r="L6220" s="310"/>
    </row>
    <row r="6221" spans="5:13" ht="15" customHeight="1">
      <c r="F6221" s="306"/>
      <c r="G6221" s="301" t="s">
        <v>169</v>
      </c>
      <c r="H6221" s="307" t="s">
        <v>170</v>
      </c>
      <c r="I6221" s="429" t="s">
        <v>171</v>
      </c>
      <c r="J6221" s="371">
        <v>0.1</v>
      </c>
      <c r="K6221" s="309">
        <f>VLOOKUP(G6221,Upah,8,FALSE)</f>
        <v>125000</v>
      </c>
      <c r="L6221" s="310">
        <f>J6221*K6221</f>
        <v>12500</v>
      </c>
    </row>
    <row r="6222" spans="5:13" ht="15" customHeight="1">
      <c r="F6222" s="306"/>
      <c r="G6222" s="301" t="s">
        <v>413</v>
      </c>
      <c r="H6222" s="307" t="s">
        <v>173</v>
      </c>
      <c r="I6222" s="429" t="s">
        <v>171</v>
      </c>
      <c r="J6222" s="371">
        <v>0.1</v>
      </c>
      <c r="K6222" s="309">
        <f>VLOOKUP(G6222,Upah,8,FALSE)</f>
        <v>150000</v>
      </c>
      <c r="L6222" s="310">
        <f>J6222*K6222</f>
        <v>15000</v>
      </c>
    </row>
    <row r="6223" spans="5:13" ht="15" customHeight="1">
      <c r="F6223" s="306"/>
      <c r="G6223" s="301" t="s">
        <v>232</v>
      </c>
      <c r="H6223" s="307" t="s">
        <v>175</v>
      </c>
      <c r="I6223" s="429" t="s">
        <v>171</v>
      </c>
      <c r="J6223" s="371">
        <v>0.01</v>
      </c>
      <c r="K6223" s="309">
        <f>VLOOKUP(G6223,Upah,8,FALSE)</f>
        <v>165000</v>
      </c>
      <c r="L6223" s="310">
        <f>J6223*K6223</f>
        <v>1650</v>
      </c>
    </row>
    <row r="6224" spans="5:13" ht="15" customHeight="1" thickBot="1">
      <c r="F6224" s="306"/>
      <c r="G6224" s="301" t="s">
        <v>176</v>
      </c>
      <c r="H6224" s="307" t="s">
        <v>177</v>
      </c>
      <c r="I6224" s="429" t="s">
        <v>171</v>
      </c>
      <c r="J6224" s="371">
        <v>5.0000000000000001E-3</v>
      </c>
      <c r="K6224" s="309">
        <f>VLOOKUP(G6224,Upah,8,FALSE)</f>
        <v>170000</v>
      </c>
      <c r="L6224" s="310">
        <f>J6224*K6224</f>
        <v>850</v>
      </c>
    </row>
    <row r="6225" spans="5:13" ht="15" customHeight="1" thickBot="1">
      <c r="F6225" s="316"/>
      <c r="G6225" s="317"/>
      <c r="H6225" s="318"/>
      <c r="I6225" s="318"/>
      <c r="J6225" s="319" t="s">
        <v>178</v>
      </c>
      <c r="K6225" s="320"/>
      <c r="L6225" s="321">
        <f>SUM(L6221:L6224)</f>
        <v>30000</v>
      </c>
    </row>
    <row r="6226" spans="5:13" ht="15" customHeight="1">
      <c r="F6226" s="300" t="s">
        <v>179</v>
      </c>
      <c r="G6226" s="301" t="s">
        <v>180</v>
      </c>
      <c r="H6226" s="302"/>
      <c r="I6226" s="302"/>
      <c r="J6226" s="351"/>
      <c r="K6226" s="328"/>
      <c r="L6226" s="310"/>
    </row>
    <row r="6227" spans="5:13" ht="15" customHeight="1">
      <c r="F6227" s="306"/>
      <c r="G6227" s="301" t="s">
        <v>185</v>
      </c>
      <c r="H6227" s="302"/>
      <c r="I6227" s="429" t="s">
        <v>44</v>
      </c>
      <c r="J6227" s="371">
        <v>1.4E-2</v>
      </c>
      <c r="K6227" s="328">
        <f>VLOOKUP(G6227,Bahan,6,FALSE)</f>
        <v>6765000</v>
      </c>
      <c r="L6227" s="310">
        <f>J6227*K6227</f>
        <v>94710</v>
      </c>
    </row>
    <row r="6228" spans="5:13" ht="15" customHeight="1">
      <c r="F6228" s="306"/>
      <c r="G6228" s="301" t="s">
        <v>1141</v>
      </c>
      <c r="H6228" s="302"/>
      <c r="I6228" s="429" t="s">
        <v>44</v>
      </c>
      <c r="J6228" s="371">
        <v>3.5999999999999997E-2</v>
      </c>
      <c r="K6228" s="328">
        <f>VLOOKUP(G6228,Bahan,6,FALSE)</f>
        <v>3456000</v>
      </c>
      <c r="L6228" s="310">
        <f>J6228*K6228</f>
        <v>124415.99999999999</v>
      </c>
    </row>
    <row r="6229" spans="5:13" ht="15" customHeight="1" thickBot="1">
      <c r="F6229" s="306"/>
      <c r="G6229" s="301" t="s">
        <v>415</v>
      </c>
      <c r="H6229" s="302"/>
      <c r="I6229" s="429" t="s">
        <v>38</v>
      </c>
      <c r="J6229" s="371">
        <v>0.25</v>
      </c>
      <c r="K6229" s="328">
        <f>VLOOKUP(G6229,Bahan,6,FALSE)</f>
        <v>27970</v>
      </c>
      <c r="L6229" s="310">
        <f>J6229*K6229</f>
        <v>6992.5</v>
      </c>
    </row>
    <row r="6230" spans="5:13" ht="15" customHeight="1" thickBot="1">
      <c r="F6230" s="316"/>
      <c r="G6230" s="317"/>
      <c r="H6230" s="318"/>
      <c r="I6230" s="318"/>
      <c r="J6230" s="319" t="s">
        <v>189</v>
      </c>
      <c r="K6230" s="320"/>
      <c r="L6230" s="321">
        <f>SUM(L6227:L6229)</f>
        <v>226118.5</v>
      </c>
    </row>
    <row r="6231" spans="5:13" ht="15" customHeight="1" thickBot="1">
      <c r="F6231" s="300" t="s">
        <v>190</v>
      </c>
      <c r="G6231" s="301" t="s">
        <v>191</v>
      </c>
      <c r="H6231" s="302"/>
      <c r="I6231" s="302"/>
      <c r="J6231" s="351"/>
      <c r="K6231" s="328">
        <v>0</v>
      </c>
      <c r="L6231" s="310">
        <f>J6231*K6231</f>
        <v>0</v>
      </c>
    </row>
    <row r="6232" spans="5:13" ht="15" customHeight="1" thickBot="1">
      <c r="F6232" s="316"/>
      <c r="G6232" s="317"/>
      <c r="H6232" s="318"/>
      <c r="I6232" s="318"/>
      <c r="J6232" s="319" t="s">
        <v>192</v>
      </c>
      <c r="K6232" s="320"/>
      <c r="L6232" s="321">
        <f>L6231</f>
        <v>0</v>
      </c>
    </row>
    <row r="6233" spans="5:13" ht="15" customHeight="1">
      <c r="F6233" s="344" t="s">
        <v>193</v>
      </c>
      <c r="G6233" s="345" t="s">
        <v>194</v>
      </c>
      <c r="H6233" s="346"/>
      <c r="I6233" s="346"/>
      <c r="J6233" s="347"/>
      <c r="K6233" s="348">
        <v>0</v>
      </c>
      <c r="L6233" s="310">
        <f>SUM(L6220:L6232)/2</f>
        <v>256118.5</v>
      </c>
    </row>
    <row r="6234" spans="5:13" ht="15" customHeight="1" thickBot="1">
      <c r="F6234" s="331" t="s">
        <v>195</v>
      </c>
      <c r="G6234" s="332" t="s">
        <v>196</v>
      </c>
      <c r="H6234" s="333"/>
      <c r="I6234" s="333"/>
      <c r="J6234" s="350">
        <v>0.1</v>
      </c>
      <c r="K6234" s="335"/>
      <c r="L6234" s="330">
        <f>J6234*L6233</f>
        <v>25611.850000000002</v>
      </c>
    </row>
    <row r="6235" spans="5:13" ht="15" customHeight="1" thickBot="1">
      <c r="F6235" s="340" t="s">
        <v>197</v>
      </c>
      <c r="G6235" s="341" t="s">
        <v>198</v>
      </c>
      <c r="H6235" s="318"/>
      <c r="I6235" s="318"/>
      <c r="J6235" s="342"/>
      <c r="K6235" s="320">
        <v>0</v>
      </c>
      <c r="L6235" s="321">
        <f>ROUNDDOWN(L6233+L6234,0)</f>
        <v>281730</v>
      </c>
    </row>
    <row r="6236" spans="5:13" ht="15" customHeight="1">
      <c r="F6236" s="298"/>
      <c r="G6236" s="298"/>
      <c r="J6236" s="343"/>
    </row>
    <row r="6237" spans="5:13" ht="15" customHeight="1" thickBot="1">
      <c r="E6237" s="356" t="s">
        <v>1142</v>
      </c>
      <c r="F6237" s="295" t="s">
        <v>1143</v>
      </c>
      <c r="J6237" s="343"/>
      <c r="M6237" s="299">
        <f>L6254</f>
        <v>427022</v>
      </c>
    </row>
    <row r="6238" spans="5:13" ht="15" customHeight="1" thickBot="1">
      <c r="F6238" s="340" t="s">
        <v>136</v>
      </c>
      <c r="G6238" s="341" t="s">
        <v>162</v>
      </c>
      <c r="H6238" s="352" t="s">
        <v>163</v>
      </c>
      <c r="I6238" s="352" t="s">
        <v>138</v>
      </c>
      <c r="J6238" s="353" t="s">
        <v>164</v>
      </c>
      <c r="K6238" s="341" t="s">
        <v>165</v>
      </c>
      <c r="L6238" s="354" t="s">
        <v>166</v>
      </c>
    </row>
    <row r="6239" spans="5:13" ht="15" customHeight="1">
      <c r="F6239" s="300" t="s">
        <v>167</v>
      </c>
      <c r="G6239" s="301" t="s">
        <v>168</v>
      </c>
      <c r="H6239" s="302"/>
      <c r="I6239" s="302"/>
      <c r="J6239" s="351"/>
      <c r="K6239" s="328"/>
      <c r="L6239" s="310"/>
    </row>
    <row r="6240" spans="5:13" ht="15" customHeight="1">
      <c r="F6240" s="306"/>
      <c r="G6240" s="301" t="s">
        <v>169</v>
      </c>
      <c r="H6240" s="307" t="s">
        <v>170</v>
      </c>
      <c r="I6240" s="429" t="s">
        <v>171</v>
      </c>
      <c r="J6240" s="371">
        <v>0.1</v>
      </c>
      <c r="K6240" s="309">
        <f>VLOOKUP(G6240,Upah,8,FALSE)</f>
        <v>125000</v>
      </c>
      <c r="L6240" s="310">
        <f>J6240*K6240</f>
        <v>12500</v>
      </c>
    </row>
    <row r="6241" spans="5:13" ht="15" customHeight="1">
      <c r="F6241" s="306"/>
      <c r="G6241" s="301" t="s">
        <v>413</v>
      </c>
      <c r="H6241" s="307" t="s">
        <v>173</v>
      </c>
      <c r="I6241" s="429" t="s">
        <v>171</v>
      </c>
      <c r="J6241" s="371">
        <v>0.1</v>
      </c>
      <c r="K6241" s="309">
        <f>VLOOKUP(G6241,Upah,8,FALSE)</f>
        <v>150000</v>
      </c>
      <c r="L6241" s="310">
        <f>J6241*K6241</f>
        <v>15000</v>
      </c>
    </row>
    <row r="6242" spans="5:13" ht="15" customHeight="1">
      <c r="F6242" s="306"/>
      <c r="G6242" s="301" t="s">
        <v>232</v>
      </c>
      <c r="H6242" s="307" t="s">
        <v>175</v>
      </c>
      <c r="I6242" s="429" t="s">
        <v>171</v>
      </c>
      <c r="J6242" s="371">
        <v>0.01</v>
      </c>
      <c r="K6242" s="309">
        <f>VLOOKUP(G6242,Upah,8,FALSE)</f>
        <v>165000</v>
      </c>
      <c r="L6242" s="310">
        <f>J6242*K6242</f>
        <v>1650</v>
      </c>
    </row>
    <row r="6243" spans="5:13" ht="15" customHeight="1" thickBot="1">
      <c r="F6243" s="306"/>
      <c r="G6243" s="301" t="s">
        <v>176</v>
      </c>
      <c r="H6243" s="307" t="s">
        <v>177</v>
      </c>
      <c r="I6243" s="429" t="s">
        <v>171</v>
      </c>
      <c r="J6243" s="371">
        <v>5.0000000000000001E-3</v>
      </c>
      <c r="K6243" s="309">
        <f>VLOOKUP(G6243,Upah,8,FALSE)</f>
        <v>170000</v>
      </c>
      <c r="L6243" s="310">
        <f>J6243*K6243</f>
        <v>850</v>
      </c>
    </row>
    <row r="6244" spans="5:13" ht="15" customHeight="1" thickBot="1">
      <c r="F6244" s="316"/>
      <c r="G6244" s="317"/>
      <c r="H6244" s="318"/>
      <c r="I6244" s="318"/>
      <c r="J6244" s="319" t="s">
        <v>178</v>
      </c>
      <c r="K6244" s="320"/>
      <c r="L6244" s="321">
        <f>SUM(L6240:L6243)</f>
        <v>30000</v>
      </c>
    </row>
    <row r="6245" spans="5:13" ht="15" customHeight="1">
      <c r="F6245" s="300" t="s">
        <v>179</v>
      </c>
      <c r="G6245" s="301" t="s">
        <v>180</v>
      </c>
      <c r="H6245" s="302"/>
      <c r="I6245" s="302"/>
      <c r="J6245" s="351"/>
      <c r="K6245" s="328"/>
      <c r="L6245" s="310"/>
    </row>
    <row r="6246" spans="5:13" ht="15" customHeight="1">
      <c r="F6246" s="306"/>
      <c r="G6246" s="301" t="s">
        <v>185</v>
      </c>
      <c r="H6246" s="302"/>
      <c r="I6246" s="429" t="s">
        <v>44</v>
      </c>
      <c r="J6246" s="371">
        <v>1.4E-2</v>
      </c>
      <c r="K6246" s="328">
        <f>VLOOKUP(G6246,Bahan,6,FALSE)</f>
        <v>6765000</v>
      </c>
      <c r="L6246" s="310">
        <f>J6246*K6246</f>
        <v>94710</v>
      </c>
    </row>
    <row r="6247" spans="5:13" ht="15" customHeight="1">
      <c r="F6247" s="306"/>
      <c r="G6247" s="301" t="s">
        <v>1144</v>
      </c>
      <c r="H6247" s="302"/>
      <c r="I6247" s="429" t="s">
        <v>44</v>
      </c>
      <c r="J6247" s="371">
        <v>5.7000000000000002E-2</v>
      </c>
      <c r="K6247" s="328">
        <f>VLOOKUP(G6247,Bahan,6,FALSE)</f>
        <v>4500000</v>
      </c>
      <c r="L6247" s="310">
        <f>J6247*K6247</f>
        <v>256500</v>
      </c>
    </row>
    <row r="6248" spans="5:13" ht="15" customHeight="1" thickBot="1">
      <c r="F6248" s="306"/>
      <c r="G6248" s="301" t="s">
        <v>415</v>
      </c>
      <c r="H6248" s="302"/>
      <c r="I6248" s="429" t="s">
        <v>38</v>
      </c>
      <c r="J6248" s="371">
        <v>0.25</v>
      </c>
      <c r="K6248" s="328">
        <f>VLOOKUP(G6248,Bahan,6,FALSE)</f>
        <v>27970</v>
      </c>
      <c r="L6248" s="310">
        <f>J6248*K6248</f>
        <v>6992.5</v>
      </c>
    </row>
    <row r="6249" spans="5:13" ht="15" customHeight="1" thickBot="1">
      <c r="F6249" s="316"/>
      <c r="G6249" s="317"/>
      <c r="H6249" s="318"/>
      <c r="I6249" s="318"/>
      <c r="J6249" s="319" t="s">
        <v>189</v>
      </c>
      <c r="K6249" s="320"/>
      <c r="L6249" s="321">
        <f>SUM(L6246:L6248)</f>
        <v>358202.5</v>
      </c>
    </row>
    <row r="6250" spans="5:13" ht="15" customHeight="1" thickBot="1">
      <c r="F6250" s="300" t="s">
        <v>190</v>
      </c>
      <c r="G6250" s="301" t="s">
        <v>191</v>
      </c>
      <c r="H6250" s="302"/>
      <c r="I6250" s="302"/>
      <c r="J6250" s="351"/>
      <c r="K6250" s="328">
        <v>0</v>
      </c>
      <c r="L6250" s="310">
        <f>J6250*K6250</f>
        <v>0</v>
      </c>
    </row>
    <row r="6251" spans="5:13" ht="15" customHeight="1" thickBot="1">
      <c r="F6251" s="316"/>
      <c r="G6251" s="317"/>
      <c r="H6251" s="318"/>
      <c r="I6251" s="318"/>
      <c r="J6251" s="319" t="s">
        <v>192</v>
      </c>
      <c r="K6251" s="320"/>
      <c r="L6251" s="321">
        <f>L6250</f>
        <v>0</v>
      </c>
    </row>
    <row r="6252" spans="5:13" ht="15" customHeight="1">
      <c r="F6252" s="344" t="s">
        <v>193</v>
      </c>
      <c r="G6252" s="345" t="s">
        <v>194</v>
      </c>
      <c r="H6252" s="346"/>
      <c r="I6252" s="346"/>
      <c r="J6252" s="347"/>
      <c r="K6252" s="348">
        <v>0</v>
      </c>
      <c r="L6252" s="310">
        <f>SUM(L6240:L6251)/2</f>
        <v>388202.5</v>
      </c>
    </row>
    <row r="6253" spans="5:13" ht="15" customHeight="1" thickBot="1">
      <c r="F6253" s="331" t="s">
        <v>195</v>
      </c>
      <c r="G6253" s="332" t="s">
        <v>196</v>
      </c>
      <c r="H6253" s="333"/>
      <c r="I6253" s="333"/>
      <c r="J6253" s="350">
        <v>0.1</v>
      </c>
      <c r="K6253" s="335"/>
      <c r="L6253" s="330">
        <f>J6253*L6252</f>
        <v>38820.25</v>
      </c>
    </row>
    <row r="6254" spans="5:13" ht="15" customHeight="1" thickBot="1">
      <c r="F6254" s="340" t="s">
        <v>197</v>
      </c>
      <c r="G6254" s="341" t="s">
        <v>198</v>
      </c>
      <c r="H6254" s="318"/>
      <c r="I6254" s="318"/>
      <c r="J6254" s="342"/>
      <c r="K6254" s="320">
        <v>0</v>
      </c>
      <c r="L6254" s="321">
        <f>ROUNDDOWN(L6252+L6253,0)</f>
        <v>427022</v>
      </c>
    </row>
    <row r="6255" spans="5:13" ht="15" customHeight="1">
      <c r="F6255" s="298"/>
      <c r="G6255" s="298"/>
      <c r="J6255" s="343"/>
    </row>
    <row r="6256" spans="5:13" ht="15" customHeight="1" thickBot="1">
      <c r="E6256" s="356" t="s">
        <v>1145</v>
      </c>
      <c r="F6256" s="295" t="s">
        <v>1146</v>
      </c>
      <c r="J6256" s="343"/>
      <c r="M6256" s="299">
        <f>L6272</f>
        <v>126053</v>
      </c>
    </row>
    <row r="6257" spans="6:12" ht="15" customHeight="1" thickBot="1">
      <c r="F6257" s="340" t="s">
        <v>136</v>
      </c>
      <c r="G6257" s="341" t="s">
        <v>162</v>
      </c>
      <c r="H6257" s="352" t="s">
        <v>163</v>
      </c>
      <c r="I6257" s="352" t="s">
        <v>138</v>
      </c>
      <c r="J6257" s="353" t="s">
        <v>164</v>
      </c>
      <c r="K6257" s="341" t="s">
        <v>165</v>
      </c>
      <c r="L6257" s="354" t="s">
        <v>166</v>
      </c>
    </row>
    <row r="6258" spans="6:12" ht="15" customHeight="1">
      <c r="F6258" s="300" t="s">
        <v>167</v>
      </c>
      <c r="G6258" s="301" t="s">
        <v>168</v>
      </c>
      <c r="H6258" s="302"/>
      <c r="I6258" s="302"/>
      <c r="J6258" s="351"/>
      <c r="K6258" s="328"/>
      <c r="L6258" s="310"/>
    </row>
    <row r="6259" spans="6:12" ht="15" customHeight="1">
      <c r="F6259" s="306"/>
      <c r="G6259" s="301" t="s">
        <v>169</v>
      </c>
      <c r="H6259" s="307" t="s">
        <v>170</v>
      </c>
      <c r="I6259" s="429" t="s">
        <v>171</v>
      </c>
      <c r="J6259" s="371">
        <v>0.12</v>
      </c>
      <c r="K6259" s="309">
        <f>VLOOKUP(G6259,Upah,8,FALSE)</f>
        <v>125000</v>
      </c>
      <c r="L6259" s="310">
        <f>J6259*K6259</f>
        <v>15000</v>
      </c>
    </row>
    <row r="6260" spans="6:12" ht="15" customHeight="1">
      <c r="F6260" s="306"/>
      <c r="G6260" s="301" t="s">
        <v>413</v>
      </c>
      <c r="H6260" s="307" t="s">
        <v>173</v>
      </c>
      <c r="I6260" s="429" t="s">
        <v>171</v>
      </c>
      <c r="J6260" s="371">
        <v>0.12</v>
      </c>
      <c r="K6260" s="309">
        <f>VLOOKUP(G6260,Upah,8,FALSE)</f>
        <v>150000</v>
      </c>
      <c r="L6260" s="310">
        <f>J6260*K6260</f>
        <v>18000</v>
      </c>
    </row>
    <row r="6261" spans="6:12" ht="15" customHeight="1">
      <c r="F6261" s="306"/>
      <c r="G6261" s="301" t="s">
        <v>232</v>
      </c>
      <c r="H6261" s="307" t="s">
        <v>175</v>
      </c>
      <c r="I6261" s="429" t="s">
        <v>171</v>
      </c>
      <c r="J6261" s="371">
        <v>1.2E-2</v>
      </c>
      <c r="K6261" s="309">
        <f>VLOOKUP(G6261,Upah,8,FALSE)</f>
        <v>165000</v>
      </c>
      <c r="L6261" s="310">
        <f>J6261*K6261</f>
        <v>1980</v>
      </c>
    </row>
    <row r="6262" spans="6:12" ht="15" customHeight="1" thickBot="1">
      <c r="F6262" s="306"/>
      <c r="G6262" s="301" t="s">
        <v>176</v>
      </c>
      <c r="H6262" s="307" t="s">
        <v>177</v>
      </c>
      <c r="I6262" s="429" t="s">
        <v>171</v>
      </c>
      <c r="J6262" s="371">
        <v>6.0000000000000001E-3</v>
      </c>
      <c r="K6262" s="309">
        <f>VLOOKUP(G6262,Upah,8,FALSE)</f>
        <v>170000</v>
      </c>
      <c r="L6262" s="310">
        <f>J6262*K6262</f>
        <v>1020</v>
      </c>
    </row>
    <row r="6263" spans="6:12" ht="15" customHeight="1" thickBot="1">
      <c r="F6263" s="316"/>
      <c r="G6263" s="317"/>
      <c r="H6263" s="318"/>
      <c r="I6263" s="318"/>
      <c r="J6263" s="319" t="s">
        <v>178</v>
      </c>
      <c r="K6263" s="320"/>
      <c r="L6263" s="321">
        <f>SUM(L6259:L6262)</f>
        <v>36000</v>
      </c>
    </row>
    <row r="6264" spans="6:12" ht="15" customHeight="1">
      <c r="F6264" s="300" t="s">
        <v>179</v>
      </c>
      <c r="G6264" s="301" t="s">
        <v>180</v>
      </c>
      <c r="H6264" s="302"/>
      <c r="I6264" s="302"/>
      <c r="J6264" s="351"/>
      <c r="K6264" s="328"/>
      <c r="L6264" s="310"/>
    </row>
    <row r="6265" spans="6:12" ht="15" customHeight="1">
      <c r="F6265" s="306"/>
      <c r="G6265" s="301" t="s">
        <v>1147</v>
      </c>
      <c r="H6265" s="302"/>
      <c r="I6265" s="429" t="s">
        <v>44</v>
      </c>
      <c r="J6265" s="371">
        <v>1.4E-2</v>
      </c>
      <c r="K6265" s="328">
        <f>VLOOKUP(G6265,Bahan,6,FALSE)</f>
        <v>5500000</v>
      </c>
      <c r="L6265" s="310">
        <f>J6265*K6265</f>
        <v>77000</v>
      </c>
    </row>
    <row r="6266" spans="6:12" ht="15" customHeight="1" thickBot="1">
      <c r="F6266" s="306"/>
      <c r="G6266" s="301" t="s">
        <v>415</v>
      </c>
      <c r="H6266" s="302"/>
      <c r="I6266" s="429" t="s">
        <v>44</v>
      </c>
      <c r="J6266" s="371">
        <v>5.7000000000000002E-2</v>
      </c>
      <c r="K6266" s="328">
        <f>VLOOKUP(G6266,Bahan,6,FALSE)</f>
        <v>27970</v>
      </c>
      <c r="L6266" s="310">
        <f>J6266*K6266</f>
        <v>1594.29</v>
      </c>
    </row>
    <row r="6267" spans="6:12" ht="15" customHeight="1" thickBot="1">
      <c r="F6267" s="316"/>
      <c r="G6267" s="317"/>
      <c r="H6267" s="318"/>
      <c r="I6267" s="318"/>
      <c r="J6267" s="319" t="s">
        <v>189</v>
      </c>
      <c r="K6267" s="320"/>
      <c r="L6267" s="321">
        <f>SUM(L6265:L6266)</f>
        <v>78594.289999999994</v>
      </c>
    </row>
    <row r="6268" spans="6:12" ht="15" customHeight="1" thickBot="1">
      <c r="F6268" s="300" t="s">
        <v>190</v>
      </c>
      <c r="G6268" s="301" t="s">
        <v>191</v>
      </c>
      <c r="H6268" s="302"/>
      <c r="I6268" s="302"/>
      <c r="J6268" s="351"/>
      <c r="K6268" s="328">
        <v>0</v>
      </c>
      <c r="L6268" s="310">
        <f>J6268*K6268</f>
        <v>0</v>
      </c>
    </row>
    <row r="6269" spans="6:12" ht="15" customHeight="1" thickBot="1">
      <c r="F6269" s="316"/>
      <c r="G6269" s="317"/>
      <c r="H6269" s="318"/>
      <c r="I6269" s="318"/>
      <c r="J6269" s="319" t="s">
        <v>192</v>
      </c>
      <c r="K6269" s="320"/>
      <c r="L6269" s="321">
        <f>L6268</f>
        <v>0</v>
      </c>
    </row>
    <row r="6270" spans="6:12" ht="15" customHeight="1">
      <c r="F6270" s="344" t="s">
        <v>193</v>
      </c>
      <c r="G6270" s="345" t="s">
        <v>194</v>
      </c>
      <c r="H6270" s="346"/>
      <c r="I6270" s="346"/>
      <c r="J6270" s="347"/>
      <c r="K6270" s="348">
        <v>0</v>
      </c>
      <c r="L6270" s="310">
        <f>SUM(L6259:L6269)/2</f>
        <v>114594.29000000001</v>
      </c>
    </row>
    <row r="6271" spans="6:12" ht="15" customHeight="1" thickBot="1">
      <c r="F6271" s="331" t="s">
        <v>195</v>
      </c>
      <c r="G6271" s="332" t="s">
        <v>196</v>
      </c>
      <c r="H6271" s="333"/>
      <c r="I6271" s="333"/>
      <c r="J6271" s="350">
        <v>0.1</v>
      </c>
      <c r="K6271" s="335"/>
      <c r="L6271" s="330">
        <f>J6271*L6270</f>
        <v>11459.429000000002</v>
      </c>
    </row>
    <row r="6272" spans="6:12" ht="15" customHeight="1" thickBot="1">
      <c r="F6272" s="340" t="s">
        <v>197</v>
      </c>
      <c r="G6272" s="341" t="s">
        <v>198</v>
      </c>
      <c r="H6272" s="318"/>
      <c r="I6272" s="318"/>
      <c r="J6272" s="342"/>
      <c r="K6272" s="320">
        <v>0</v>
      </c>
      <c r="L6272" s="321">
        <f>ROUNDDOWN(L6270+L6271,0)</f>
        <v>126053</v>
      </c>
    </row>
    <row r="6273" spans="5:13" ht="15" customHeight="1">
      <c r="F6273" s="298"/>
      <c r="G6273" s="298"/>
      <c r="J6273" s="343"/>
    </row>
    <row r="6274" spans="5:13" ht="15" customHeight="1" thickBot="1">
      <c r="E6274" s="356" t="s">
        <v>1148</v>
      </c>
      <c r="F6274" s="295" t="s">
        <v>1149</v>
      </c>
      <c r="J6274" s="343"/>
      <c r="M6274" s="299">
        <f>L6290</f>
        <v>210347</v>
      </c>
    </row>
    <row r="6275" spans="5:13" ht="15" customHeight="1" thickBot="1">
      <c r="F6275" s="340" t="s">
        <v>136</v>
      </c>
      <c r="G6275" s="341" t="s">
        <v>162</v>
      </c>
      <c r="H6275" s="352" t="s">
        <v>163</v>
      </c>
      <c r="I6275" s="352" t="s">
        <v>138</v>
      </c>
      <c r="J6275" s="353" t="s">
        <v>164</v>
      </c>
      <c r="K6275" s="341" t="s">
        <v>165</v>
      </c>
      <c r="L6275" s="354" t="s">
        <v>166</v>
      </c>
    </row>
    <row r="6276" spans="5:13" ht="15" customHeight="1">
      <c r="F6276" s="300" t="s">
        <v>167</v>
      </c>
      <c r="G6276" s="301" t="s">
        <v>168</v>
      </c>
      <c r="H6276" s="302"/>
      <c r="I6276" s="302"/>
      <c r="J6276" s="351"/>
      <c r="K6276" s="328"/>
      <c r="L6276" s="310"/>
    </row>
    <row r="6277" spans="5:13" ht="15" customHeight="1">
      <c r="F6277" s="306"/>
      <c r="G6277" s="301" t="s">
        <v>169</v>
      </c>
      <c r="H6277" s="307" t="s">
        <v>170</v>
      </c>
      <c r="I6277" s="429" t="s">
        <v>171</v>
      </c>
      <c r="J6277" s="371">
        <v>0.15</v>
      </c>
      <c r="K6277" s="309">
        <f>VLOOKUP(G6277,Upah,8,FALSE)</f>
        <v>125000</v>
      </c>
      <c r="L6277" s="310">
        <f>J6277*K6277</f>
        <v>18750</v>
      </c>
    </row>
    <row r="6278" spans="5:13" ht="15" customHeight="1">
      <c r="F6278" s="306"/>
      <c r="G6278" s="301" t="s">
        <v>413</v>
      </c>
      <c r="H6278" s="307" t="s">
        <v>173</v>
      </c>
      <c r="I6278" s="429" t="s">
        <v>171</v>
      </c>
      <c r="J6278" s="371">
        <v>0.3</v>
      </c>
      <c r="K6278" s="309">
        <f>VLOOKUP(G6278,Upah,8,FALSE)</f>
        <v>150000</v>
      </c>
      <c r="L6278" s="310">
        <f>J6278*K6278</f>
        <v>45000</v>
      </c>
    </row>
    <row r="6279" spans="5:13" ht="15" customHeight="1">
      <c r="F6279" s="306"/>
      <c r="G6279" s="301" t="s">
        <v>232</v>
      </c>
      <c r="H6279" s="307" t="s">
        <v>175</v>
      </c>
      <c r="I6279" s="429" t="s">
        <v>171</v>
      </c>
      <c r="J6279" s="371">
        <v>0.03</v>
      </c>
      <c r="K6279" s="309">
        <f>VLOOKUP(G6279,Upah,8,FALSE)</f>
        <v>165000</v>
      </c>
      <c r="L6279" s="310">
        <f>J6279*K6279</f>
        <v>4950</v>
      </c>
    </row>
    <row r="6280" spans="5:13" ht="15" customHeight="1" thickBot="1">
      <c r="F6280" s="306"/>
      <c r="G6280" s="301" t="s">
        <v>176</v>
      </c>
      <c r="H6280" s="307" t="s">
        <v>177</v>
      </c>
      <c r="I6280" s="429" t="s">
        <v>171</v>
      </c>
      <c r="J6280" s="371">
        <v>7.4999999999999997E-2</v>
      </c>
      <c r="K6280" s="309">
        <f>VLOOKUP(G6280,Upah,8,FALSE)</f>
        <v>170000</v>
      </c>
      <c r="L6280" s="310">
        <f>J6280*K6280</f>
        <v>12750</v>
      </c>
    </row>
    <row r="6281" spans="5:13" ht="15" customHeight="1" thickBot="1">
      <c r="F6281" s="316"/>
      <c r="G6281" s="317"/>
      <c r="H6281" s="318"/>
      <c r="I6281" s="318"/>
      <c r="J6281" s="319" t="s">
        <v>178</v>
      </c>
      <c r="K6281" s="320"/>
      <c r="L6281" s="321">
        <f>SUM(L6277:L6280)</f>
        <v>81450</v>
      </c>
    </row>
    <row r="6282" spans="5:13" ht="15" customHeight="1">
      <c r="F6282" s="300" t="s">
        <v>179</v>
      </c>
      <c r="G6282" s="301" t="s">
        <v>180</v>
      </c>
      <c r="H6282" s="302"/>
      <c r="I6282" s="302"/>
      <c r="J6282" s="351"/>
      <c r="K6282" s="328"/>
      <c r="L6282" s="310"/>
    </row>
    <row r="6283" spans="5:13" ht="15" customHeight="1">
      <c r="F6283" s="306"/>
      <c r="G6283" s="301" t="s">
        <v>185</v>
      </c>
      <c r="H6283" s="302"/>
      <c r="I6283" s="429" t="s">
        <v>44</v>
      </c>
      <c r="J6283" s="371">
        <v>1.54E-2</v>
      </c>
      <c r="K6283" s="328">
        <f>VLOOKUP(G6283,Bahan,6,FALSE)</f>
        <v>6765000</v>
      </c>
      <c r="L6283" s="310">
        <f>J6283*K6283</f>
        <v>104181</v>
      </c>
    </row>
    <row r="6284" spans="5:13" ht="15" customHeight="1" thickBot="1">
      <c r="F6284" s="306"/>
      <c r="G6284" s="301" t="s">
        <v>415</v>
      </c>
      <c r="H6284" s="302"/>
      <c r="I6284" s="429" t="s">
        <v>38</v>
      </c>
      <c r="J6284" s="371">
        <v>0.2</v>
      </c>
      <c r="K6284" s="328">
        <f>VLOOKUP(G6284,Bahan,6,FALSE)</f>
        <v>27970</v>
      </c>
      <c r="L6284" s="310">
        <f>J6284*K6284</f>
        <v>5594</v>
      </c>
    </row>
    <row r="6285" spans="5:13" ht="15" customHeight="1" thickBot="1">
      <c r="F6285" s="316"/>
      <c r="G6285" s="317"/>
      <c r="H6285" s="318"/>
      <c r="I6285" s="318"/>
      <c r="J6285" s="319" t="s">
        <v>189</v>
      </c>
      <c r="K6285" s="320"/>
      <c r="L6285" s="321">
        <f>SUM(L6283:L6284)</f>
        <v>109775</v>
      </c>
    </row>
    <row r="6286" spans="5:13" ht="15" customHeight="1" thickBot="1">
      <c r="F6286" s="300" t="s">
        <v>190</v>
      </c>
      <c r="G6286" s="301" t="s">
        <v>191</v>
      </c>
      <c r="H6286" s="302"/>
      <c r="I6286" s="302"/>
      <c r="J6286" s="351"/>
      <c r="K6286" s="328">
        <v>0</v>
      </c>
      <c r="L6286" s="310">
        <f>J6286*K6286</f>
        <v>0</v>
      </c>
    </row>
    <row r="6287" spans="5:13" ht="15" customHeight="1" thickBot="1">
      <c r="F6287" s="316"/>
      <c r="G6287" s="317"/>
      <c r="H6287" s="318"/>
      <c r="I6287" s="318"/>
      <c r="J6287" s="319" t="s">
        <v>192</v>
      </c>
      <c r="K6287" s="320"/>
      <c r="L6287" s="321">
        <f>L6286</f>
        <v>0</v>
      </c>
    </row>
    <row r="6288" spans="5:13" ht="15" customHeight="1">
      <c r="F6288" s="344" t="s">
        <v>193</v>
      </c>
      <c r="G6288" s="345" t="s">
        <v>194</v>
      </c>
      <c r="H6288" s="346"/>
      <c r="I6288" s="346"/>
      <c r="J6288" s="347"/>
      <c r="K6288" s="348">
        <v>0</v>
      </c>
      <c r="L6288" s="310">
        <f>SUM(L6277:L6287)/2</f>
        <v>191225</v>
      </c>
    </row>
    <row r="6289" spans="5:13" ht="15" customHeight="1" thickBot="1">
      <c r="F6289" s="331" t="s">
        <v>195</v>
      </c>
      <c r="G6289" s="332" t="s">
        <v>196</v>
      </c>
      <c r="H6289" s="333"/>
      <c r="I6289" s="333"/>
      <c r="J6289" s="350">
        <v>0.1</v>
      </c>
      <c r="K6289" s="335"/>
      <c r="L6289" s="330">
        <f>J6289*L6288</f>
        <v>19122.5</v>
      </c>
    </row>
    <row r="6290" spans="5:13" ht="15" customHeight="1" thickBot="1">
      <c r="F6290" s="340" t="s">
        <v>197</v>
      </c>
      <c r="G6290" s="341" t="s">
        <v>198</v>
      </c>
      <c r="H6290" s="318"/>
      <c r="I6290" s="318"/>
      <c r="J6290" s="342"/>
      <c r="K6290" s="320">
        <v>0</v>
      </c>
      <c r="L6290" s="321">
        <f>ROUNDDOWN(L6288+L6289,0)</f>
        <v>210347</v>
      </c>
    </row>
    <row r="6291" spans="5:13" ht="15" customHeight="1">
      <c r="F6291" s="298"/>
      <c r="G6291" s="298"/>
      <c r="J6291" s="343"/>
    </row>
    <row r="6292" spans="5:13" ht="15" customHeight="1" thickBot="1">
      <c r="E6292" s="356" t="s">
        <v>1150</v>
      </c>
      <c r="F6292" s="295" t="s">
        <v>1151</v>
      </c>
      <c r="J6292" s="343"/>
      <c r="M6292" s="299">
        <f>L6308</f>
        <v>213303</v>
      </c>
    </row>
    <row r="6293" spans="5:13" ht="15" customHeight="1" thickBot="1">
      <c r="F6293" s="340" t="s">
        <v>136</v>
      </c>
      <c r="G6293" s="341" t="s">
        <v>162</v>
      </c>
      <c r="H6293" s="352" t="s">
        <v>163</v>
      </c>
      <c r="I6293" s="352" t="s">
        <v>138</v>
      </c>
      <c r="J6293" s="353" t="s">
        <v>164</v>
      </c>
      <c r="K6293" s="341" t="s">
        <v>165</v>
      </c>
      <c r="L6293" s="354" t="s">
        <v>166</v>
      </c>
    </row>
    <row r="6294" spans="5:13" ht="15" customHeight="1">
      <c r="F6294" s="300" t="s">
        <v>167</v>
      </c>
      <c r="G6294" s="301" t="s">
        <v>168</v>
      </c>
      <c r="H6294" s="302"/>
      <c r="I6294" s="302"/>
      <c r="J6294" s="351"/>
      <c r="K6294" s="328"/>
      <c r="L6294" s="310"/>
    </row>
    <row r="6295" spans="5:13" ht="15" customHeight="1">
      <c r="F6295" s="306"/>
      <c r="G6295" s="301" t="s">
        <v>169</v>
      </c>
      <c r="H6295" s="307" t="s">
        <v>170</v>
      </c>
      <c r="I6295" s="429" t="s">
        <v>171</v>
      </c>
      <c r="J6295" s="371">
        <v>0.2</v>
      </c>
      <c r="K6295" s="309">
        <f>VLOOKUP(G6295,Upah,8,FALSE)</f>
        <v>125000</v>
      </c>
      <c r="L6295" s="310">
        <f>J6295*K6295</f>
        <v>25000</v>
      </c>
    </row>
    <row r="6296" spans="5:13" ht="15" customHeight="1">
      <c r="F6296" s="306"/>
      <c r="G6296" s="301" t="s">
        <v>413</v>
      </c>
      <c r="H6296" s="307" t="s">
        <v>173</v>
      </c>
      <c r="I6296" s="429" t="s">
        <v>171</v>
      </c>
      <c r="J6296" s="371">
        <v>0.3</v>
      </c>
      <c r="K6296" s="309">
        <f>VLOOKUP(G6296,Upah,8,FALSE)</f>
        <v>150000</v>
      </c>
      <c r="L6296" s="310">
        <f>J6296*K6296</f>
        <v>45000</v>
      </c>
    </row>
    <row r="6297" spans="5:13" ht="15" customHeight="1">
      <c r="F6297" s="306"/>
      <c r="G6297" s="301" t="s">
        <v>232</v>
      </c>
      <c r="H6297" s="307" t="s">
        <v>175</v>
      </c>
      <c r="I6297" s="429" t="s">
        <v>171</v>
      </c>
      <c r="J6297" s="371">
        <v>0.03</v>
      </c>
      <c r="K6297" s="309">
        <f>VLOOKUP(G6297,Upah,8,FALSE)</f>
        <v>165000</v>
      </c>
      <c r="L6297" s="310">
        <f>J6297*K6297</f>
        <v>4950</v>
      </c>
    </row>
    <row r="6298" spans="5:13" ht="15" customHeight="1" thickBot="1">
      <c r="F6298" s="306"/>
      <c r="G6298" s="301" t="s">
        <v>176</v>
      </c>
      <c r="H6298" s="307" t="s">
        <v>177</v>
      </c>
      <c r="I6298" s="429" t="s">
        <v>171</v>
      </c>
      <c r="J6298" s="371">
        <v>0.01</v>
      </c>
      <c r="K6298" s="309">
        <f>VLOOKUP(G6298,Upah,8,FALSE)</f>
        <v>170000</v>
      </c>
      <c r="L6298" s="310">
        <f>J6298*K6298</f>
        <v>1700</v>
      </c>
    </row>
    <row r="6299" spans="5:13" ht="15" customHeight="1" thickBot="1">
      <c r="F6299" s="316"/>
      <c r="G6299" s="317"/>
      <c r="H6299" s="318"/>
      <c r="I6299" s="318"/>
      <c r="J6299" s="319" t="s">
        <v>178</v>
      </c>
      <c r="K6299" s="320"/>
      <c r="L6299" s="321">
        <f>SUM(L6295:L6298)</f>
        <v>76650</v>
      </c>
    </row>
    <row r="6300" spans="5:13" ht="15" customHeight="1">
      <c r="F6300" s="300" t="s">
        <v>179</v>
      </c>
      <c r="G6300" s="301" t="s">
        <v>180</v>
      </c>
      <c r="H6300" s="302"/>
      <c r="I6300" s="302"/>
      <c r="J6300" s="351"/>
      <c r="K6300" s="328"/>
      <c r="L6300" s="310"/>
    </row>
    <row r="6301" spans="5:13" ht="15" customHeight="1">
      <c r="F6301" s="306"/>
      <c r="G6301" s="301" t="s">
        <v>185</v>
      </c>
      <c r="H6301" s="302"/>
      <c r="I6301" s="429" t="s">
        <v>44</v>
      </c>
      <c r="J6301" s="371">
        <v>1.6299999999999999E-2</v>
      </c>
      <c r="K6301" s="328">
        <f>VLOOKUP(G6301,Bahan,6,FALSE)</f>
        <v>6765000</v>
      </c>
      <c r="L6301" s="310">
        <f>J6301*K6301</f>
        <v>110269.49999999999</v>
      </c>
    </row>
    <row r="6302" spans="5:13" ht="15" customHeight="1" thickBot="1">
      <c r="F6302" s="306"/>
      <c r="G6302" s="301" t="s">
        <v>415</v>
      </c>
      <c r="H6302" s="302"/>
      <c r="I6302" s="429" t="s">
        <v>38</v>
      </c>
      <c r="J6302" s="371">
        <v>0.25</v>
      </c>
      <c r="K6302" s="328">
        <f>VLOOKUP(G6302,Bahan,6,FALSE)</f>
        <v>27970</v>
      </c>
      <c r="L6302" s="310">
        <f>J6302*K6302</f>
        <v>6992.5</v>
      </c>
    </row>
    <row r="6303" spans="5:13" ht="15" customHeight="1" thickBot="1">
      <c r="F6303" s="316"/>
      <c r="G6303" s="317"/>
      <c r="H6303" s="318"/>
      <c r="I6303" s="318"/>
      <c r="J6303" s="319" t="s">
        <v>189</v>
      </c>
      <c r="K6303" s="320"/>
      <c r="L6303" s="321">
        <f>SUM(L6301:L6302)</f>
        <v>117261.99999999999</v>
      </c>
    </row>
    <row r="6304" spans="5:13" ht="15" customHeight="1" thickBot="1">
      <c r="F6304" s="300" t="s">
        <v>190</v>
      </c>
      <c r="G6304" s="301" t="s">
        <v>191</v>
      </c>
      <c r="H6304" s="302"/>
      <c r="I6304" s="302"/>
      <c r="J6304" s="351"/>
      <c r="K6304" s="328">
        <v>0</v>
      </c>
      <c r="L6304" s="310">
        <f>J6304*K6304</f>
        <v>0</v>
      </c>
    </row>
    <row r="6305" spans="5:13" ht="15" customHeight="1" thickBot="1">
      <c r="F6305" s="316"/>
      <c r="G6305" s="317"/>
      <c r="H6305" s="318"/>
      <c r="I6305" s="318"/>
      <c r="J6305" s="319" t="s">
        <v>192</v>
      </c>
      <c r="K6305" s="320"/>
      <c r="L6305" s="321">
        <f>L6304</f>
        <v>0</v>
      </c>
    </row>
    <row r="6306" spans="5:13" ht="15" customHeight="1">
      <c r="F6306" s="344" t="s">
        <v>193</v>
      </c>
      <c r="G6306" s="345" t="s">
        <v>194</v>
      </c>
      <c r="H6306" s="346"/>
      <c r="I6306" s="346"/>
      <c r="J6306" s="347"/>
      <c r="K6306" s="348">
        <v>0</v>
      </c>
      <c r="L6306" s="310">
        <f>SUM(L6295:L6305)/2</f>
        <v>193912</v>
      </c>
    </row>
    <row r="6307" spans="5:13" ht="15" customHeight="1" thickBot="1">
      <c r="F6307" s="331" t="s">
        <v>195</v>
      </c>
      <c r="G6307" s="332" t="s">
        <v>196</v>
      </c>
      <c r="H6307" s="333"/>
      <c r="I6307" s="333"/>
      <c r="J6307" s="350">
        <v>0.1</v>
      </c>
      <c r="K6307" s="335"/>
      <c r="L6307" s="330">
        <f>J6307*L6306</f>
        <v>19391.2</v>
      </c>
    </row>
    <row r="6308" spans="5:13" ht="15" customHeight="1" thickBot="1">
      <c r="F6308" s="340" t="s">
        <v>197</v>
      </c>
      <c r="G6308" s="341" t="s">
        <v>198</v>
      </c>
      <c r="H6308" s="318"/>
      <c r="I6308" s="318"/>
      <c r="J6308" s="342"/>
      <c r="K6308" s="320">
        <v>0</v>
      </c>
      <c r="L6308" s="321">
        <f>ROUNDDOWN(L6306+L6307,0)</f>
        <v>213303</v>
      </c>
    </row>
    <row r="6309" spans="5:13" ht="15" customHeight="1">
      <c r="F6309" s="298"/>
      <c r="G6309" s="298"/>
      <c r="J6309" s="343"/>
    </row>
    <row r="6310" spans="5:13" ht="15" customHeight="1" thickBot="1">
      <c r="E6310" s="356" t="s">
        <v>1152</v>
      </c>
      <c r="F6310" s="295" t="s">
        <v>1153</v>
      </c>
      <c r="J6310" s="343"/>
      <c r="M6310" s="299">
        <f>L6326</f>
        <v>107851</v>
      </c>
    </row>
    <row r="6311" spans="5:13" ht="15" customHeight="1" thickBot="1">
      <c r="F6311" s="340" t="s">
        <v>136</v>
      </c>
      <c r="G6311" s="341" t="s">
        <v>162</v>
      </c>
      <c r="H6311" s="352" t="s">
        <v>163</v>
      </c>
      <c r="I6311" s="352" t="s">
        <v>138</v>
      </c>
      <c r="J6311" s="353" t="s">
        <v>164</v>
      </c>
      <c r="K6311" s="341" t="s">
        <v>165</v>
      </c>
      <c r="L6311" s="354" t="s">
        <v>166</v>
      </c>
    </row>
    <row r="6312" spans="5:13" ht="15" customHeight="1">
      <c r="F6312" s="300" t="s">
        <v>167</v>
      </c>
      <c r="G6312" s="301" t="s">
        <v>168</v>
      </c>
      <c r="H6312" s="302"/>
      <c r="I6312" s="302"/>
      <c r="J6312" s="351"/>
      <c r="K6312" s="328"/>
      <c r="L6312" s="310"/>
    </row>
    <row r="6313" spans="5:13" ht="15" customHeight="1">
      <c r="F6313" s="306"/>
      <c r="G6313" s="301" t="s">
        <v>169</v>
      </c>
      <c r="H6313" s="307" t="s">
        <v>170</v>
      </c>
      <c r="I6313" s="429" t="s">
        <v>171</v>
      </c>
      <c r="J6313" s="371">
        <v>0.1</v>
      </c>
      <c r="K6313" s="309">
        <f>VLOOKUP(G6313,Upah,8,FALSE)</f>
        <v>125000</v>
      </c>
      <c r="L6313" s="310">
        <f>J6313*K6313</f>
        <v>12500</v>
      </c>
    </row>
    <row r="6314" spans="5:13" ht="15" customHeight="1">
      <c r="F6314" s="306"/>
      <c r="G6314" s="301" t="s">
        <v>413</v>
      </c>
      <c r="H6314" s="307" t="s">
        <v>173</v>
      </c>
      <c r="I6314" s="429" t="s">
        <v>171</v>
      </c>
      <c r="J6314" s="371">
        <v>0.2</v>
      </c>
      <c r="K6314" s="309">
        <f>VLOOKUP(G6314,Upah,8,FALSE)</f>
        <v>150000</v>
      </c>
      <c r="L6314" s="310">
        <f>J6314*K6314</f>
        <v>30000</v>
      </c>
    </row>
    <row r="6315" spans="5:13" ht="15" customHeight="1">
      <c r="F6315" s="306"/>
      <c r="G6315" s="301" t="s">
        <v>232</v>
      </c>
      <c r="H6315" s="307" t="s">
        <v>175</v>
      </c>
      <c r="I6315" s="429" t="s">
        <v>171</v>
      </c>
      <c r="J6315" s="371">
        <v>0.02</v>
      </c>
      <c r="K6315" s="309">
        <f>VLOOKUP(G6315,Upah,8,FALSE)</f>
        <v>165000</v>
      </c>
      <c r="L6315" s="310">
        <f>J6315*K6315</f>
        <v>3300</v>
      </c>
    </row>
    <row r="6316" spans="5:13" ht="15" customHeight="1" thickBot="1">
      <c r="F6316" s="306"/>
      <c r="G6316" s="301" t="s">
        <v>176</v>
      </c>
      <c r="H6316" s="307" t="s">
        <v>177</v>
      </c>
      <c r="I6316" s="429" t="s">
        <v>171</v>
      </c>
      <c r="J6316" s="371">
        <v>5.0000000000000001E-3</v>
      </c>
      <c r="K6316" s="309">
        <f>VLOOKUP(G6316,Upah,8,FALSE)</f>
        <v>170000</v>
      </c>
      <c r="L6316" s="310">
        <f>J6316*K6316</f>
        <v>850</v>
      </c>
    </row>
    <row r="6317" spans="5:13" ht="15" customHeight="1" thickBot="1">
      <c r="F6317" s="316"/>
      <c r="G6317" s="317"/>
      <c r="H6317" s="318"/>
      <c r="I6317" s="318"/>
      <c r="J6317" s="319" t="s">
        <v>178</v>
      </c>
      <c r="K6317" s="320"/>
      <c r="L6317" s="321">
        <f>SUM(L6313:L6316)</f>
        <v>46650</v>
      </c>
    </row>
    <row r="6318" spans="5:13" ht="15" customHeight="1">
      <c r="F6318" s="300" t="s">
        <v>179</v>
      </c>
      <c r="G6318" s="301" t="s">
        <v>180</v>
      </c>
      <c r="H6318" s="302"/>
      <c r="I6318" s="302"/>
      <c r="J6318" s="351"/>
      <c r="K6318" s="328"/>
      <c r="L6318" s="310"/>
    </row>
    <row r="6319" spans="5:13" ht="15" customHeight="1">
      <c r="F6319" s="306"/>
      <c r="G6319" s="301" t="s">
        <v>1126</v>
      </c>
      <c r="H6319" s="302"/>
      <c r="I6319" s="429" t="s">
        <v>44</v>
      </c>
      <c r="J6319" s="371">
        <v>1.0800000000000001E-2</v>
      </c>
      <c r="K6319" s="328">
        <f>VLOOKUP(G6319,Bahan,6,FALSE)</f>
        <v>4500000</v>
      </c>
      <c r="L6319" s="310">
        <f>J6319*K6319</f>
        <v>48600</v>
      </c>
    </row>
    <row r="6320" spans="5:13" ht="15" customHeight="1" thickBot="1">
      <c r="F6320" s="306"/>
      <c r="G6320" s="301" t="s">
        <v>415</v>
      </c>
      <c r="H6320" s="302"/>
      <c r="I6320" s="429" t="s">
        <v>38</v>
      </c>
      <c r="J6320" s="371">
        <v>0.1</v>
      </c>
      <c r="K6320" s="328">
        <f>VLOOKUP(G6320,Bahan,6,FALSE)</f>
        <v>27970</v>
      </c>
      <c r="L6320" s="310">
        <f>J6320*K6320</f>
        <v>2797</v>
      </c>
    </row>
    <row r="6321" spans="5:13" ht="15" customHeight="1" thickBot="1">
      <c r="F6321" s="316"/>
      <c r="G6321" s="317"/>
      <c r="H6321" s="318"/>
      <c r="I6321" s="318"/>
      <c r="J6321" s="319" t="s">
        <v>189</v>
      </c>
      <c r="K6321" s="320"/>
      <c r="L6321" s="321">
        <f>SUM(L6319:L6320)</f>
        <v>51397</v>
      </c>
    </row>
    <row r="6322" spans="5:13" ht="15" customHeight="1" thickBot="1">
      <c r="F6322" s="300" t="s">
        <v>190</v>
      </c>
      <c r="G6322" s="301" t="s">
        <v>191</v>
      </c>
      <c r="H6322" s="302"/>
      <c r="I6322" s="302"/>
      <c r="J6322" s="351"/>
      <c r="K6322" s="328">
        <v>0</v>
      </c>
      <c r="L6322" s="310">
        <f>J6322*K6322</f>
        <v>0</v>
      </c>
    </row>
    <row r="6323" spans="5:13" ht="15" customHeight="1" thickBot="1">
      <c r="F6323" s="316"/>
      <c r="G6323" s="317"/>
      <c r="H6323" s="318"/>
      <c r="I6323" s="318"/>
      <c r="J6323" s="319" t="s">
        <v>192</v>
      </c>
      <c r="K6323" s="320"/>
      <c r="L6323" s="321">
        <f>L6322</f>
        <v>0</v>
      </c>
    </row>
    <row r="6324" spans="5:13" ht="15" customHeight="1">
      <c r="F6324" s="344" t="s">
        <v>193</v>
      </c>
      <c r="G6324" s="345" t="s">
        <v>194</v>
      </c>
      <c r="H6324" s="346"/>
      <c r="I6324" s="346"/>
      <c r="J6324" s="347"/>
      <c r="K6324" s="348">
        <v>0</v>
      </c>
      <c r="L6324" s="310">
        <f>SUM(L6313:L6323)/2</f>
        <v>98047</v>
      </c>
    </row>
    <row r="6325" spans="5:13" ht="15" customHeight="1" thickBot="1">
      <c r="F6325" s="331" t="s">
        <v>195</v>
      </c>
      <c r="G6325" s="332" t="s">
        <v>196</v>
      </c>
      <c r="H6325" s="333"/>
      <c r="I6325" s="333"/>
      <c r="J6325" s="350">
        <v>0.1</v>
      </c>
      <c r="K6325" s="335"/>
      <c r="L6325" s="330">
        <f>J6325*L6324</f>
        <v>9804.7000000000007</v>
      </c>
    </row>
    <row r="6326" spans="5:13" ht="15" customHeight="1" thickBot="1">
      <c r="F6326" s="340" t="s">
        <v>197</v>
      </c>
      <c r="G6326" s="341" t="s">
        <v>198</v>
      </c>
      <c r="H6326" s="318"/>
      <c r="I6326" s="318"/>
      <c r="J6326" s="342"/>
      <c r="K6326" s="320">
        <v>0</v>
      </c>
      <c r="L6326" s="321">
        <f>ROUNDDOWN(L6324+L6325,0)</f>
        <v>107851</v>
      </c>
    </row>
    <row r="6327" spans="5:13" ht="15" customHeight="1">
      <c r="F6327" s="298"/>
      <c r="G6327" s="298"/>
      <c r="J6327" s="343"/>
    </row>
    <row r="6328" spans="5:13" ht="15" customHeight="1" thickBot="1">
      <c r="E6328" s="356" t="s">
        <v>1154</v>
      </c>
      <c r="F6328" s="295" t="s">
        <v>1155</v>
      </c>
      <c r="J6328" s="343"/>
      <c r="M6328" s="299">
        <f>L6344</f>
        <v>107303</v>
      </c>
    </row>
    <row r="6329" spans="5:13" ht="15" customHeight="1" thickBot="1">
      <c r="F6329" s="340" t="s">
        <v>136</v>
      </c>
      <c r="G6329" s="341" t="s">
        <v>162</v>
      </c>
      <c r="H6329" s="352" t="s">
        <v>163</v>
      </c>
      <c r="I6329" s="352" t="s">
        <v>138</v>
      </c>
      <c r="J6329" s="353" t="s">
        <v>164</v>
      </c>
      <c r="K6329" s="341" t="s">
        <v>165</v>
      </c>
      <c r="L6329" s="354" t="s">
        <v>166</v>
      </c>
    </row>
    <row r="6330" spans="5:13" ht="15" customHeight="1">
      <c r="F6330" s="300" t="s">
        <v>167</v>
      </c>
      <c r="G6330" s="301" t="s">
        <v>168</v>
      </c>
      <c r="H6330" s="302"/>
      <c r="I6330" s="302"/>
      <c r="J6330" s="351"/>
      <c r="K6330" s="328"/>
      <c r="L6330" s="310"/>
    </row>
    <row r="6331" spans="5:13" ht="15" customHeight="1">
      <c r="F6331" s="306"/>
      <c r="G6331" s="301" t="s">
        <v>169</v>
      </c>
      <c r="H6331" s="307" t="s">
        <v>170</v>
      </c>
      <c r="I6331" s="429" t="s">
        <v>171</v>
      </c>
      <c r="J6331" s="371">
        <v>0.1</v>
      </c>
      <c r="K6331" s="309">
        <f>VLOOKUP(G6331,Upah,8,FALSE)</f>
        <v>125000</v>
      </c>
      <c r="L6331" s="310">
        <f>J6331*K6331</f>
        <v>12500</v>
      </c>
    </row>
    <row r="6332" spans="5:13" ht="15" customHeight="1">
      <c r="F6332" s="306"/>
      <c r="G6332" s="301" t="s">
        <v>413</v>
      </c>
      <c r="H6332" s="307" t="s">
        <v>173</v>
      </c>
      <c r="I6332" s="429" t="s">
        <v>171</v>
      </c>
      <c r="J6332" s="371">
        <v>0.2</v>
      </c>
      <c r="K6332" s="309">
        <f>VLOOKUP(G6332,Upah,8,FALSE)</f>
        <v>150000</v>
      </c>
      <c r="L6332" s="310">
        <f>J6332*K6332</f>
        <v>30000</v>
      </c>
    </row>
    <row r="6333" spans="5:13" ht="15" customHeight="1">
      <c r="F6333" s="306"/>
      <c r="G6333" s="301" t="s">
        <v>232</v>
      </c>
      <c r="H6333" s="307" t="s">
        <v>175</v>
      </c>
      <c r="I6333" s="429" t="s">
        <v>171</v>
      </c>
      <c r="J6333" s="371">
        <v>0.02</v>
      </c>
      <c r="K6333" s="309">
        <f>VLOOKUP(G6333,Upah,8,FALSE)</f>
        <v>165000</v>
      </c>
      <c r="L6333" s="310">
        <f>J6333*K6333</f>
        <v>3300</v>
      </c>
    </row>
    <row r="6334" spans="5:13" ht="15" customHeight="1" thickBot="1">
      <c r="F6334" s="306"/>
      <c r="G6334" s="301" t="s">
        <v>176</v>
      </c>
      <c r="H6334" s="307" t="s">
        <v>177</v>
      </c>
      <c r="I6334" s="429" t="s">
        <v>171</v>
      </c>
      <c r="J6334" s="371">
        <v>5.0000000000000001E-3</v>
      </c>
      <c r="K6334" s="309">
        <f>VLOOKUP(G6334,Upah,8,FALSE)</f>
        <v>170000</v>
      </c>
      <c r="L6334" s="310">
        <f>J6334*K6334</f>
        <v>850</v>
      </c>
    </row>
    <row r="6335" spans="5:13" ht="15" customHeight="1" thickBot="1">
      <c r="F6335" s="316"/>
      <c r="G6335" s="317"/>
      <c r="H6335" s="318"/>
      <c r="I6335" s="318"/>
      <c r="J6335" s="319" t="s">
        <v>178</v>
      </c>
      <c r="K6335" s="320"/>
      <c r="L6335" s="321">
        <f>SUM(L6331:L6334)</f>
        <v>46650</v>
      </c>
    </row>
    <row r="6336" spans="5:13" ht="15" customHeight="1">
      <c r="F6336" s="300" t="s">
        <v>179</v>
      </c>
      <c r="G6336" s="301" t="s">
        <v>180</v>
      </c>
      <c r="H6336" s="302"/>
      <c r="I6336" s="302"/>
      <c r="J6336" s="351"/>
      <c r="K6336" s="328"/>
      <c r="L6336" s="310"/>
    </row>
    <row r="6337" spans="5:13" ht="15" customHeight="1">
      <c r="F6337" s="306"/>
      <c r="G6337" s="301" t="s">
        <v>1126</v>
      </c>
      <c r="H6337" s="302"/>
      <c r="I6337" s="429" t="s">
        <v>44</v>
      </c>
      <c r="J6337" s="371">
        <v>1.0999999999999999E-2</v>
      </c>
      <c r="K6337" s="328">
        <f>VLOOKUP(G6337,Bahan,6,FALSE)</f>
        <v>4500000</v>
      </c>
      <c r="L6337" s="310">
        <f>J6337*K6337</f>
        <v>49500</v>
      </c>
    </row>
    <row r="6338" spans="5:13" ht="15" customHeight="1" thickBot="1">
      <c r="F6338" s="306"/>
      <c r="G6338" s="301" t="s">
        <v>415</v>
      </c>
      <c r="H6338" s="302"/>
      <c r="I6338" s="429" t="s">
        <v>38</v>
      </c>
      <c r="J6338" s="371">
        <v>0.05</v>
      </c>
      <c r="K6338" s="328">
        <f>VLOOKUP(G6338,Bahan,6,FALSE)</f>
        <v>27970</v>
      </c>
      <c r="L6338" s="310">
        <f>J6338*K6338</f>
        <v>1398.5</v>
      </c>
    </row>
    <row r="6339" spans="5:13" ht="15" customHeight="1" thickBot="1">
      <c r="F6339" s="316"/>
      <c r="G6339" s="317"/>
      <c r="H6339" s="318"/>
      <c r="I6339" s="318"/>
      <c r="J6339" s="319" t="s">
        <v>189</v>
      </c>
      <c r="K6339" s="320"/>
      <c r="L6339" s="321">
        <f>SUM(L6337:L6338)</f>
        <v>50898.5</v>
      </c>
    </row>
    <row r="6340" spans="5:13" ht="15" customHeight="1" thickBot="1">
      <c r="F6340" s="300" t="s">
        <v>190</v>
      </c>
      <c r="G6340" s="301" t="s">
        <v>191</v>
      </c>
      <c r="H6340" s="302"/>
      <c r="I6340" s="302"/>
      <c r="J6340" s="351"/>
      <c r="K6340" s="328">
        <v>0</v>
      </c>
      <c r="L6340" s="310">
        <f>J6340*K6340</f>
        <v>0</v>
      </c>
    </row>
    <row r="6341" spans="5:13" ht="15" customHeight="1" thickBot="1">
      <c r="F6341" s="316"/>
      <c r="G6341" s="317"/>
      <c r="H6341" s="318"/>
      <c r="I6341" s="318"/>
      <c r="J6341" s="319" t="s">
        <v>192</v>
      </c>
      <c r="K6341" s="320"/>
      <c r="L6341" s="321">
        <f>L6340</f>
        <v>0</v>
      </c>
    </row>
    <row r="6342" spans="5:13" ht="15" customHeight="1">
      <c r="F6342" s="344" t="s">
        <v>193</v>
      </c>
      <c r="G6342" s="345" t="s">
        <v>194</v>
      </c>
      <c r="H6342" s="346"/>
      <c r="I6342" s="346"/>
      <c r="J6342" s="347"/>
      <c r="K6342" s="348">
        <v>0</v>
      </c>
      <c r="L6342" s="310">
        <f>SUM(L6331:L6341)/2</f>
        <v>97548.5</v>
      </c>
    </row>
    <row r="6343" spans="5:13" ht="15" customHeight="1" thickBot="1">
      <c r="F6343" s="331" t="s">
        <v>195</v>
      </c>
      <c r="G6343" s="332" t="s">
        <v>196</v>
      </c>
      <c r="H6343" s="333"/>
      <c r="I6343" s="333"/>
      <c r="J6343" s="350">
        <v>0.1</v>
      </c>
      <c r="K6343" s="335"/>
      <c r="L6343" s="330">
        <f>J6343*L6342</f>
        <v>9754.85</v>
      </c>
    </row>
    <row r="6344" spans="5:13" ht="15" customHeight="1" thickBot="1">
      <c r="F6344" s="340" t="s">
        <v>197</v>
      </c>
      <c r="G6344" s="341" t="s">
        <v>198</v>
      </c>
      <c r="H6344" s="318"/>
      <c r="I6344" s="318"/>
      <c r="J6344" s="342"/>
      <c r="K6344" s="320">
        <v>0</v>
      </c>
      <c r="L6344" s="321">
        <f>ROUNDDOWN(L6342+L6343,0)</f>
        <v>107303</v>
      </c>
    </row>
    <row r="6345" spans="5:13" ht="15" customHeight="1">
      <c r="F6345" s="298"/>
      <c r="G6345" s="298"/>
      <c r="J6345" s="343"/>
    </row>
    <row r="6346" spans="5:13" ht="15" customHeight="1" thickBot="1">
      <c r="E6346" s="356" t="s">
        <v>1156</v>
      </c>
      <c r="F6346" s="295" t="s">
        <v>1157</v>
      </c>
      <c r="J6346" s="343"/>
      <c r="M6346" s="299">
        <f>L6362</f>
        <v>244981</v>
      </c>
    </row>
    <row r="6347" spans="5:13" ht="15" customHeight="1" thickBot="1">
      <c r="F6347" s="340" t="s">
        <v>136</v>
      </c>
      <c r="G6347" s="341" t="s">
        <v>162</v>
      </c>
      <c r="H6347" s="352" t="s">
        <v>163</v>
      </c>
      <c r="I6347" s="352" t="s">
        <v>138</v>
      </c>
      <c r="J6347" s="353" t="s">
        <v>164</v>
      </c>
      <c r="K6347" s="341" t="s">
        <v>165</v>
      </c>
      <c r="L6347" s="354" t="s">
        <v>166</v>
      </c>
    </row>
    <row r="6348" spans="5:13" ht="15" customHeight="1">
      <c r="F6348" s="300" t="s">
        <v>167</v>
      </c>
      <c r="G6348" s="301" t="s">
        <v>168</v>
      </c>
      <c r="H6348" s="302"/>
      <c r="I6348" s="302"/>
      <c r="J6348" s="351"/>
      <c r="K6348" s="328"/>
      <c r="L6348" s="310"/>
    </row>
    <row r="6349" spans="5:13" ht="15" customHeight="1">
      <c r="F6349" s="306"/>
      <c r="G6349" s="301" t="s">
        <v>169</v>
      </c>
      <c r="H6349" s="307" t="s">
        <v>170</v>
      </c>
      <c r="I6349" s="429" t="s">
        <v>171</v>
      </c>
      <c r="J6349" s="371">
        <v>0.15</v>
      </c>
      <c r="K6349" s="309">
        <f>VLOOKUP(G6349,Upah,8,FALSE)</f>
        <v>125000</v>
      </c>
      <c r="L6349" s="310">
        <f>J6349*K6349</f>
        <v>18750</v>
      </c>
    </row>
    <row r="6350" spans="5:13" ht="15" customHeight="1">
      <c r="F6350" s="306"/>
      <c r="G6350" s="301" t="s">
        <v>413</v>
      </c>
      <c r="H6350" s="307" t="s">
        <v>173</v>
      </c>
      <c r="I6350" s="429" t="s">
        <v>171</v>
      </c>
      <c r="J6350" s="371">
        <v>0.45</v>
      </c>
      <c r="K6350" s="309">
        <f>VLOOKUP(G6350,Upah,8,FALSE)</f>
        <v>150000</v>
      </c>
      <c r="L6350" s="310">
        <f>J6350*K6350</f>
        <v>67500</v>
      </c>
    </row>
    <row r="6351" spans="5:13" ht="15" customHeight="1">
      <c r="F6351" s="306"/>
      <c r="G6351" s="301" t="s">
        <v>232</v>
      </c>
      <c r="H6351" s="307" t="s">
        <v>175</v>
      </c>
      <c r="I6351" s="429" t="s">
        <v>171</v>
      </c>
      <c r="J6351" s="371">
        <v>4.4999999999999998E-2</v>
      </c>
      <c r="K6351" s="309">
        <f>VLOOKUP(G6351,Upah,8,FALSE)</f>
        <v>165000</v>
      </c>
      <c r="L6351" s="310">
        <f>J6351*K6351</f>
        <v>7425</v>
      </c>
    </row>
    <row r="6352" spans="5:13" ht="15" customHeight="1" thickBot="1">
      <c r="F6352" s="306"/>
      <c r="G6352" s="301" t="s">
        <v>176</v>
      </c>
      <c r="H6352" s="307" t="s">
        <v>177</v>
      </c>
      <c r="I6352" s="429" t="s">
        <v>171</v>
      </c>
      <c r="J6352" s="371">
        <v>8.0000000000000002E-3</v>
      </c>
      <c r="K6352" s="309">
        <f>VLOOKUP(G6352,Upah,8,FALSE)</f>
        <v>170000</v>
      </c>
      <c r="L6352" s="310">
        <f>J6352*K6352</f>
        <v>1360</v>
      </c>
    </row>
    <row r="6353" spans="5:13" ht="15" customHeight="1" thickBot="1">
      <c r="F6353" s="316"/>
      <c r="G6353" s="317"/>
      <c r="H6353" s="318"/>
      <c r="I6353" s="318"/>
      <c r="J6353" s="319" t="s">
        <v>178</v>
      </c>
      <c r="K6353" s="320"/>
      <c r="L6353" s="321">
        <f>SUM(L6349:L6352)</f>
        <v>95035</v>
      </c>
    </row>
    <row r="6354" spans="5:13" ht="15" customHeight="1">
      <c r="F6354" s="300" t="s">
        <v>179</v>
      </c>
      <c r="G6354" s="301" t="s">
        <v>180</v>
      </c>
      <c r="H6354" s="302"/>
      <c r="I6354" s="302"/>
      <c r="J6354" s="351"/>
      <c r="K6354" s="328"/>
      <c r="L6354" s="310"/>
    </row>
    <row r="6355" spans="5:13" ht="15" customHeight="1">
      <c r="F6355" s="306"/>
      <c r="G6355" s="301" t="s">
        <v>396</v>
      </c>
      <c r="H6355" s="302"/>
      <c r="I6355" s="429" t="s">
        <v>44</v>
      </c>
      <c r="J6355" s="371">
        <v>2.8000000000000001E-2</v>
      </c>
      <c r="K6355" s="328">
        <f>VLOOKUP(G6355,Bahan,6,FALSE)</f>
        <v>4410000</v>
      </c>
      <c r="L6355" s="310">
        <f>J6355*K6355</f>
        <v>123480</v>
      </c>
    </row>
    <row r="6356" spans="5:13" ht="15" customHeight="1" thickBot="1">
      <c r="F6356" s="306"/>
      <c r="G6356" s="301" t="s">
        <v>415</v>
      </c>
      <c r="H6356" s="302"/>
      <c r="I6356" s="429" t="s">
        <v>38</v>
      </c>
      <c r="J6356" s="371">
        <v>0.15</v>
      </c>
      <c r="K6356" s="328">
        <f>VLOOKUP(G6356,Bahan,6,FALSE)</f>
        <v>27970</v>
      </c>
      <c r="L6356" s="310">
        <f>J6356*K6356</f>
        <v>4195.5</v>
      </c>
    </row>
    <row r="6357" spans="5:13" ht="15" customHeight="1" thickBot="1">
      <c r="F6357" s="316"/>
      <c r="G6357" s="317"/>
      <c r="H6357" s="318"/>
      <c r="I6357" s="318"/>
      <c r="J6357" s="319" t="s">
        <v>189</v>
      </c>
      <c r="K6357" s="320"/>
      <c r="L6357" s="321">
        <f>SUM(L6355:L6356)</f>
        <v>127675.5</v>
      </c>
    </row>
    <row r="6358" spans="5:13" ht="15" customHeight="1" thickBot="1">
      <c r="F6358" s="300" t="s">
        <v>190</v>
      </c>
      <c r="G6358" s="301" t="s">
        <v>191</v>
      </c>
      <c r="H6358" s="302"/>
      <c r="I6358" s="302"/>
      <c r="J6358" s="351"/>
      <c r="K6358" s="328">
        <v>0</v>
      </c>
      <c r="L6358" s="310">
        <f>J6358*K6358</f>
        <v>0</v>
      </c>
    </row>
    <row r="6359" spans="5:13" ht="15" customHeight="1" thickBot="1">
      <c r="F6359" s="316"/>
      <c r="G6359" s="317"/>
      <c r="H6359" s="318"/>
      <c r="I6359" s="318"/>
      <c r="J6359" s="319" t="s">
        <v>192</v>
      </c>
      <c r="K6359" s="320"/>
      <c r="L6359" s="321">
        <f>L6358</f>
        <v>0</v>
      </c>
    </row>
    <row r="6360" spans="5:13" ht="15" customHeight="1">
      <c r="F6360" s="344" t="s">
        <v>193</v>
      </c>
      <c r="G6360" s="345" t="s">
        <v>194</v>
      </c>
      <c r="H6360" s="346"/>
      <c r="I6360" s="346"/>
      <c r="J6360" s="347"/>
      <c r="K6360" s="348">
        <v>0</v>
      </c>
      <c r="L6360" s="310">
        <f>SUM(L6349:L6359)/2</f>
        <v>222710.5</v>
      </c>
    </row>
    <row r="6361" spans="5:13" ht="15" customHeight="1" thickBot="1">
      <c r="F6361" s="331" t="s">
        <v>195</v>
      </c>
      <c r="G6361" s="332" t="s">
        <v>196</v>
      </c>
      <c r="H6361" s="333"/>
      <c r="I6361" s="333"/>
      <c r="J6361" s="350">
        <v>0.1</v>
      </c>
      <c r="K6361" s="335"/>
      <c r="L6361" s="330">
        <f>J6361*L6360</f>
        <v>22271.050000000003</v>
      </c>
    </row>
    <row r="6362" spans="5:13" ht="15" customHeight="1" thickBot="1">
      <c r="F6362" s="340" t="s">
        <v>197</v>
      </c>
      <c r="G6362" s="341" t="s">
        <v>198</v>
      </c>
      <c r="H6362" s="318"/>
      <c r="I6362" s="318"/>
      <c r="J6362" s="342"/>
      <c r="K6362" s="320">
        <v>0</v>
      </c>
      <c r="L6362" s="321">
        <f>ROUNDDOWN(L6360+L6361,0)</f>
        <v>244981</v>
      </c>
    </row>
    <row r="6363" spans="5:13" ht="15" customHeight="1">
      <c r="F6363" s="298"/>
      <c r="G6363" s="298"/>
      <c r="J6363" s="343"/>
    </row>
    <row r="6364" spans="5:13" ht="15" customHeight="1" thickBot="1">
      <c r="E6364" s="356" t="s">
        <v>1158</v>
      </c>
      <c r="F6364" s="295" t="s">
        <v>1159</v>
      </c>
      <c r="J6364" s="343"/>
      <c r="M6364" s="299">
        <f>L6382</f>
        <v>372022</v>
      </c>
    </row>
    <row r="6365" spans="5:13" ht="15" customHeight="1" thickBot="1">
      <c r="F6365" s="340" t="s">
        <v>136</v>
      </c>
      <c r="G6365" s="341" t="s">
        <v>162</v>
      </c>
      <c r="H6365" s="352" t="s">
        <v>163</v>
      </c>
      <c r="I6365" s="352" t="s">
        <v>138</v>
      </c>
      <c r="J6365" s="353" t="s">
        <v>164</v>
      </c>
      <c r="K6365" s="341" t="s">
        <v>165</v>
      </c>
      <c r="L6365" s="354" t="s">
        <v>166</v>
      </c>
    </row>
    <row r="6366" spans="5:13" ht="15" customHeight="1">
      <c r="F6366" s="300" t="s">
        <v>167</v>
      </c>
      <c r="G6366" s="301" t="s">
        <v>168</v>
      </c>
      <c r="H6366" s="302"/>
      <c r="I6366" s="302"/>
      <c r="J6366" s="351"/>
      <c r="K6366" s="328"/>
      <c r="L6366" s="310"/>
    </row>
    <row r="6367" spans="5:13" ht="15" customHeight="1">
      <c r="F6367" s="306"/>
      <c r="G6367" s="301" t="s">
        <v>169</v>
      </c>
      <c r="H6367" s="307" t="s">
        <v>170</v>
      </c>
      <c r="I6367" s="429" t="s">
        <v>171</v>
      </c>
      <c r="J6367" s="371">
        <v>0.15</v>
      </c>
      <c r="K6367" s="309">
        <f>VLOOKUP(G6367,Upah,8,FALSE)</f>
        <v>125000</v>
      </c>
      <c r="L6367" s="310">
        <f>J6367*K6367</f>
        <v>18750</v>
      </c>
    </row>
    <row r="6368" spans="5:13" ht="15" customHeight="1">
      <c r="F6368" s="306"/>
      <c r="G6368" s="301" t="s">
        <v>413</v>
      </c>
      <c r="H6368" s="307" t="s">
        <v>173</v>
      </c>
      <c r="I6368" s="429" t="s">
        <v>171</v>
      </c>
      <c r="J6368" s="371">
        <v>0.45</v>
      </c>
      <c r="K6368" s="309">
        <f>VLOOKUP(G6368,Upah,8,FALSE)</f>
        <v>150000</v>
      </c>
      <c r="L6368" s="310">
        <f>J6368*K6368</f>
        <v>67500</v>
      </c>
    </row>
    <row r="6369" spans="5:13" ht="15" customHeight="1">
      <c r="F6369" s="306"/>
      <c r="G6369" s="301" t="s">
        <v>232</v>
      </c>
      <c r="H6369" s="307" t="s">
        <v>175</v>
      </c>
      <c r="I6369" s="429" t="s">
        <v>171</v>
      </c>
      <c r="J6369" s="371">
        <v>4.4999999999999998E-2</v>
      </c>
      <c r="K6369" s="309">
        <f>VLOOKUP(G6369,Upah,8,FALSE)</f>
        <v>165000</v>
      </c>
      <c r="L6369" s="310">
        <f>J6369*K6369</f>
        <v>7425</v>
      </c>
    </row>
    <row r="6370" spans="5:13" ht="15" customHeight="1" thickBot="1">
      <c r="F6370" s="306"/>
      <c r="G6370" s="301" t="s">
        <v>176</v>
      </c>
      <c r="H6370" s="307" t="s">
        <v>177</v>
      </c>
      <c r="I6370" s="429" t="s">
        <v>171</v>
      </c>
      <c r="J6370" s="371">
        <v>8.0000000000000002E-3</v>
      </c>
      <c r="K6370" s="309">
        <f>VLOOKUP(G6370,Upah,8,FALSE)</f>
        <v>170000</v>
      </c>
      <c r="L6370" s="310">
        <f>J6370*K6370</f>
        <v>1360</v>
      </c>
    </row>
    <row r="6371" spans="5:13" ht="15" customHeight="1" thickBot="1">
      <c r="F6371" s="316"/>
      <c r="G6371" s="317"/>
      <c r="H6371" s="318"/>
      <c r="I6371" s="318"/>
      <c r="J6371" s="319" t="s">
        <v>178</v>
      </c>
      <c r="K6371" s="320"/>
      <c r="L6371" s="321">
        <f>SUM(L6367:L6370)</f>
        <v>95035</v>
      </c>
    </row>
    <row r="6372" spans="5:13" ht="15" customHeight="1">
      <c r="F6372" s="300" t="s">
        <v>179</v>
      </c>
      <c r="G6372" s="301" t="s">
        <v>180</v>
      </c>
      <c r="H6372" s="302"/>
      <c r="I6372" s="302"/>
      <c r="J6372" s="351"/>
      <c r="K6372" s="328"/>
      <c r="L6372" s="310"/>
    </row>
    <row r="6373" spans="5:13" ht="15" customHeight="1">
      <c r="F6373" s="306"/>
      <c r="G6373" s="301" t="s">
        <v>1160</v>
      </c>
      <c r="H6373" s="302"/>
      <c r="I6373" s="429" t="s">
        <v>44</v>
      </c>
      <c r="J6373" s="371">
        <v>2.8000000000000001E-2</v>
      </c>
      <c r="K6373" s="328">
        <f>VLOOKUP(G6373,Bahan,6,FALSE)</f>
        <v>5715000</v>
      </c>
      <c r="L6373" s="310">
        <f>J6373*K6373</f>
        <v>160020</v>
      </c>
    </row>
    <row r="6374" spans="5:13" ht="15" customHeight="1">
      <c r="F6374" s="306"/>
      <c r="G6374" s="301" t="s">
        <v>415</v>
      </c>
      <c r="H6374" s="302"/>
      <c r="I6374" s="429" t="s">
        <v>38</v>
      </c>
      <c r="J6374" s="371">
        <v>0.15</v>
      </c>
      <c r="K6374" s="328">
        <f>VLOOKUP(G6374,Bahan,6,FALSE)</f>
        <v>27970</v>
      </c>
      <c r="L6374" s="310">
        <f>J6374*K6374</f>
        <v>4195.5</v>
      </c>
    </row>
    <row r="6375" spans="5:13" ht="15" customHeight="1">
      <c r="F6375" s="306"/>
      <c r="G6375" s="301" t="s">
        <v>1161</v>
      </c>
      <c r="H6375" s="302"/>
      <c r="I6375" s="429" t="s">
        <v>423</v>
      </c>
      <c r="J6375" s="371">
        <v>0.86</v>
      </c>
      <c r="K6375" s="328">
        <f>VLOOKUP(G6375,Bahan,6,FALSE)</f>
        <v>81900</v>
      </c>
      <c r="L6375" s="310">
        <f>J6375*K6375</f>
        <v>70434</v>
      </c>
    </row>
    <row r="6376" spans="5:13" ht="15" customHeight="1" thickBot="1">
      <c r="F6376" s="306"/>
      <c r="G6376" s="301" t="s">
        <v>880</v>
      </c>
      <c r="H6376" s="302"/>
      <c r="I6376" s="429" t="s">
        <v>38</v>
      </c>
      <c r="J6376" s="371">
        <v>0.56000000000000005</v>
      </c>
      <c r="K6376" s="328">
        <f>VLOOKUP(G6376,Bahan,6,FALSE)</f>
        <v>15210</v>
      </c>
      <c r="L6376" s="310">
        <f>J6376*K6376</f>
        <v>8517.6</v>
      </c>
    </row>
    <row r="6377" spans="5:13" ht="15" customHeight="1" thickBot="1">
      <c r="F6377" s="316"/>
      <c r="G6377" s="317"/>
      <c r="H6377" s="318"/>
      <c r="I6377" s="318"/>
      <c r="J6377" s="319" t="s">
        <v>189</v>
      </c>
      <c r="K6377" s="320"/>
      <c r="L6377" s="321">
        <f>SUM(L6373:L6376)</f>
        <v>243167.1</v>
      </c>
    </row>
    <row r="6378" spans="5:13" ht="15" customHeight="1" thickBot="1">
      <c r="F6378" s="300" t="s">
        <v>190</v>
      </c>
      <c r="G6378" s="301" t="s">
        <v>191</v>
      </c>
      <c r="H6378" s="302"/>
      <c r="I6378" s="302"/>
      <c r="J6378" s="351"/>
      <c r="K6378" s="328">
        <v>0</v>
      </c>
      <c r="L6378" s="310">
        <f>J6378*K6378</f>
        <v>0</v>
      </c>
    </row>
    <row r="6379" spans="5:13" ht="15" customHeight="1" thickBot="1">
      <c r="F6379" s="316"/>
      <c r="G6379" s="317"/>
      <c r="H6379" s="318"/>
      <c r="I6379" s="318"/>
      <c r="J6379" s="319" t="s">
        <v>192</v>
      </c>
      <c r="K6379" s="320"/>
      <c r="L6379" s="321">
        <f>L6378</f>
        <v>0</v>
      </c>
    </row>
    <row r="6380" spans="5:13" ht="15" customHeight="1">
      <c r="F6380" s="344" t="s">
        <v>193</v>
      </c>
      <c r="G6380" s="345" t="s">
        <v>194</v>
      </c>
      <c r="H6380" s="346"/>
      <c r="I6380" s="346"/>
      <c r="J6380" s="347"/>
      <c r="K6380" s="348">
        <v>0</v>
      </c>
      <c r="L6380" s="310">
        <f>SUM(L6367:L6379)/2</f>
        <v>338202.1</v>
      </c>
    </row>
    <row r="6381" spans="5:13" ht="15" customHeight="1" thickBot="1">
      <c r="F6381" s="331" t="s">
        <v>195</v>
      </c>
      <c r="G6381" s="332" t="s">
        <v>196</v>
      </c>
      <c r="H6381" s="333"/>
      <c r="I6381" s="333"/>
      <c r="J6381" s="350">
        <v>0.1</v>
      </c>
      <c r="K6381" s="335"/>
      <c r="L6381" s="330">
        <f>J6381*L6380</f>
        <v>33820.21</v>
      </c>
    </row>
    <row r="6382" spans="5:13" ht="15" customHeight="1" thickBot="1">
      <c r="F6382" s="340" t="s">
        <v>197</v>
      </c>
      <c r="G6382" s="341" t="s">
        <v>198</v>
      </c>
      <c r="H6382" s="318"/>
      <c r="I6382" s="318"/>
      <c r="J6382" s="342"/>
      <c r="K6382" s="320">
        <v>0</v>
      </c>
      <c r="L6382" s="321">
        <f>ROUNDDOWN(L6380+L6381,0)</f>
        <v>372022</v>
      </c>
    </row>
    <row r="6383" spans="5:13" ht="15" customHeight="1">
      <c r="F6383" s="298"/>
      <c r="G6383" s="298"/>
      <c r="J6383" s="343"/>
    </row>
    <row r="6384" spans="5:13" ht="15" customHeight="1" thickBot="1">
      <c r="E6384" s="356" t="s">
        <v>1162</v>
      </c>
      <c r="F6384" s="295" t="s">
        <v>1163</v>
      </c>
      <c r="J6384" s="343"/>
      <c r="M6384" s="299">
        <f>L6402</f>
        <v>403054</v>
      </c>
    </row>
    <row r="6385" spans="6:12" ht="15" customHeight="1" thickBot="1">
      <c r="F6385" s="340" t="s">
        <v>136</v>
      </c>
      <c r="G6385" s="341" t="s">
        <v>162</v>
      </c>
      <c r="H6385" s="352" t="s">
        <v>163</v>
      </c>
      <c r="I6385" s="352" t="s">
        <v>138</v>
      </c>
      <c r="J6385" s="353" t="s">
        <v>164</v>
      </c>
      <c r="K6385" s="341" t="s">
        <v>165</v>
      </c>
      <c r="L6385" s="354" t="s">
        <v>166</v>
      </c>
    </row>
    <row r="6386" spans="6:12" ht="15" customHeight="1">
      <c r="F6386" s="300" t="s">
        <v>167</v>
      </c>
      <c r="G6386" s="301" t="s">
        <v>168</v>
      </c>
      <c r="H6386" s="302"/>
      <c r="I6386" s="302"/>
      <c r="J6386" s="351"/>
      <c r="K6386" s="328"/>
      <c r="L6386" s="310"/>
    </row>
    <row r="6387" spans="6:12" ht="15" customHeight="1">
      <c r="F6387" s="306"/>
      <c r="G6387" s="301" t="s">
        <v>169</v>
      </c>
      <c r="H6387" s="307" t="s">
        <v>170</v>
      </c>
      <c r="I6387" s="429" t="s">
        <v>171</v>
      </c>
      <c r="J6387" s="371">
        <v>0.2</v>
      </c>
      <c r="K6387" s="309">
        <f>VLOOKUP(G6387,Upah,8,FALSE)</f>
        <v>125000</v>
      </c>
      <c r="L6387" s="310">
        <f>J6387*K6387</f>
        <v>25000</v>
      </c>
    </row>
    <row r="6388" spans="6:12" ht="15" customHeight="1">
      <c r="F6388" s="306"/>
      <c r="G6388" s="301" t="s">
        <v>413</v>
      </c>
      <c r="H6388" s="307" t="s">
        <v>173</v>
      </c>
      <c r="I6388" s="429" t="s">
        <v>171</v>
      </c>
      <c r="J6388" s="371">
        <v>0.6</v>
      </c>
      <c r="K6388" s="309">
        <f>VLOOKUP(G6388,Upah,8,FALSE)</f>
        <v>150000</v>
      </c>
      <c r="L6388" s="310">
        <f>J6388*K6388</f>
        <v>90000</v>
      </c>
    </row>
    <row r="6389" spans="6:12" ht="15" customHeight="1">
      <c r="F6389" s="306"/>
      <c r="G6389" s="301" t="s">
        <v>232</v>
      </c>
      <c r="H6389" s="307" t="s">
        <v>175</v>
      </c>
      <c r="I6389" s="429" t="s">
        <v>171</v>
      </c>
      <c r="J6389" s="371">
        <v>0.06</v>
      </c>
      <c r="K6389" s="309">
        <f>VLOOKUP(G6389,Upah,8,FALSE)</f>
        <v>165000</v>
      </c>
      <c r="L6389" s="310">
        <f>J6389*K6389</f>
        <v>9900</v>
      </c>
    </row>
    <row r="6390" spans="6:12" ht="15" customHeight="1" thickBot="1">
      <c r="F6390" s="306"/>
      <c r="G6390" s="301" t="s">
        <v>176</v>
      </c>
      <c r="H6390" s="307" t="s">
        <v>177</v>
      </c>
      <c r="I6390" s="429" t="s">
        <v>171</v>
      </c>
      <c r="J6390" s="371">
        <v>0.01</v>
      </c>
      <c r="K6390" s="309">
        <f>VLOOKUP(G6390,Upah,8,FALSE)</f>
        <v>170000</v>
      </c>
      <c r="L6390" s="310">
        <f>J6390*K6390</f>
        <v>1700</v>
      </c>
    </row>
    <row r="6391" spans="6:12" ht="15" customHeight="1" thickBot="1">
      <c r="F6391" s="316"/>
      <c r="G6391" s="317"/>
      <c r="H6391" s="318"/>
      <c r="I6391" s="318"/>
      <c r="J6391" s="319" t="s">
        <v>178</v>
      </c>
      <c r="K6391" s="320"/>
      <c r="L6391" s="321">
        <f>SUM(L6387:L6390)</f>
        <v>126600</v>
      </c>
    </row>
    <row r="6392" spans="6:12" ht="15" customHeight="1">
      <c r="F6392" s="300" t="s">
        <v>179</v>
      </c>
      <c r="G6392" s="301" t="s">
        <v>180</v>
      </c>
      <c r="H6392" s="302"/>
      <c r="I6392" s="302"/>
      <c r="J6392" s="351"/>
      <c r="K6392" s="328"/>
      <c r="L6392" s="310"/>
    </row>
    <row r="6393" spans="6:12" ht="15" customHeight="1">
      <c r="F6393" s="306"/>
      <c r="G6393" s="301" t="s">
        <v>1160</v>
      </c>
      <c r="H6393" s="302"/>
      <c r="I6393" s="429" t="s">
        <v>44</v>
      </c>
      <c r="J6393" s="371">
        <v>2.8000000000000001E-2</v>
      </c>
      <c r="K6393" s="328">
        <f>VLOOKUP(G6393,Bahan,6,FALSE)</f>
        <v>5715000</v>
      </c>
      <c r="L6393" s="310">
        <f>J6393*K6393</f>
        <v>160020</v>
      </c>
    </row>
    <row r="6394" spans="6:12" ht="15" customHeight="1">
      <c r="F6394" s="306"/>
      <c r="G6394" s="301" t="s">
        <v>415</v>
      </c>
      <c r="H6394" s="302"/>
      <c r="I6394" s="429" t="s">
        <v>38</v>
      </c>
      <c r="J6394" s="371">
        <v>0.15</v>
      </c>
      <c r="K6394" s="328">
        <f>VLOOKUP(G6394,Bahan,6,FALSE)</f>
        <v>27970</v>
      </c>
      <c r="L6394" s="310">
        <f>J6394*K6394</f>
        <v>4195.5</v>
      </c>
    </row>
    <row r="6395" spans="6:12" ht="15" customHeight="1">
      <c r="F6395" s="306"/>
      <c r="G6395" s="301" t="s">
        <v>226</v>
      </c>
      <c r="H6395" s="302"/>
      <c r="I6395" s="307" t="s">
        <v>423</v>
      </c>
      <c r="J6395" s="371">
        <v>0.86</v>
      </c>
      <c r="K6395" s="328">
        <f>VLOOKUP(G6395,Bahan,6,FALSE)</f>
        <v>78000</v>
      </c>
      <c r="L6395" s="310">
        <f>J6395*K6395</f>
        <v>67080</v>
      </c>
    </row>
    <row r="6396" spans="6:12" ht="15" customHeight="1" thickBot="1">
      <c r="F6396" s="306"/>
      <c r="G6396" s="301" t="s">
        <v>880</v>
      </c>
      <c r="H6396" s="302"/>
      <c r="I6396" s="429" t="s">
        <v>38</v>
      </c>
      <c r="J6396" s="371">
        <v>0.56000000000000005</v>
      </c>
      <c r="K6396" s="328">
        <f>VLOOKUP(G6396,Bahan,6,FALSE)</f>
        <v>15210</v>
      </c>
      <c r="L6396" s="310">
        <f>J6396*K6396</f>
        <v>8517.6</v>
      </c>
    </row>
    <row r="6397" spans="6:12" ht="15" customHeight="1" thickBot="1">
      <c r="F6397" s="316"/>
      <c r="G6397" s="317"/>
      <c r="H6397" s="318"/>
      <c r="I6397" s="318"/>
      <c r="J6397" s="319" t="s">
        <v>189</v>
      </c>
      <c r="K6397" s="320"/>
      <c r="L6397" s="321">
        <f>SUM(L6393:L6396)</f>
        <v>239813.1</v>
      </c>
    </row>
    <row r="6398" spans="6:12" ht="15" customHeight="1" thickBot="1">
      <c r="F6398" s="300" t="s">
        <v>190</v>
      </c>
      <c r="G6398" s="301" t="s">
        <v>191</v>
      </c>
      <c r="H6398" s="318"/>
      <c r="I6398" s="302"/>
      <c r="J6398" s="351"/>
      <c r="K6398" s="328">
        <v>0</v>
      </c>
      <c r="L6398" s="310">
        <f>J6398*K6398</f>
        <v>0</v>
      </c>
    </row>
    <row r="6399" spans="6:12" ht="15" customHeight="1" thickBot="1">
      <c r="F6399" s="316"/>
      <c r="G6399" s="317"/>
      <c r="H6399" s="318"/>
      <c r="I6399" s="318"/>
      <c r="J6399" s="319" t="s">
        <v>192</v>
      </c>
      <c r="K6399" s="320"/>
      <c r="L6399" s="321">
        <f>L6398</f>
        <v>0</v>
      </c>
    </row>
    <row r="6400" spans="6:12" ht="15" customHeight="1">
      <c r="F6400" s="344" t="s">
        <v>193</v>
      </c>
      <c r="G6400" s="345" t="s">
        <v>194</v>
      </c>
      <c r="H6400" s="346"/>
      <c r="I6400" s="346"/>
      <c r="J6400" s="347"/>
      <c r="K6400" s="348">
        <v>0</v>
      </c>
      <c r="L6400" s="310">
        <f>SUM(L6387:L6399)/2</f>
        <v>366413.1</v>
      </c>
    </row>
    <row r="6401" spans="5:13" ht="15" customHeight="1" thickBot="1">
      <c r="F6401" s="331" t="s">
        <v>195</v>
      </c>
      <c r="G6401" s="332" t="s">
        <v>196</v>
      </c>
      <c r="H6401" s="333"/>
      <c r="I6401" s="333"/>
      <c r="J6401" s="350">
        <v>0.1</v>
      </c>
      <c r="K6401" s="335"/>
      <c r="L6401" s="330">
        <f>J6401*L6400</f>
        <v>36641.31</v>
      </c>
    </row>
    <row r="6402" spans="5:13" ht="15" customHeight="1" thickBot="1">
      <c r="F6402" s="340" t="s">
        <v>197</v>
      </c>
      <c r="G6402" s="341" t="s">
        <v>198</v>
      </c>
      <c r="H6402" s="318"/>
      <c r="I6402" s="318"/>
      <c r="J6402" s="342"/>
      <c r="K6402" s="320">
        <v>0</v>
      </c>
      <c r="L6402" s="321">
        <f>ROUNDDOWN(L6400+L6401,0)</f>
        <v>403054</v>
      </c>
    </row>
    <row r="6403" spans="5:13" ht="15" customHeight="1">
      <c r="F6403" s="298"/>
      <c r="G6403" s="298"/>
      <c r="J6403" s="343"/>
    </row>
    <row r="6404" spans="5:13" ht="15" customHeight="1" thickBot="1">
      <c r="E6404" s="356" t="s">
        <v>1164</v>
      </c>
      <c r="F6404" s="295" t="s">
        <v>1165</v>
      </c>
      <c r="J6404" s="343"/>
      <c r="M6404" s="299">
        <f>L6421</f>
        <v>455645</v>
      </c>
    </row>
    <row r="6405" spans="5:13" ht="15" customHeight="1" thickBot="1">
      <c r="F6405" s="340" t="s">
        <v>136</v>
      </c>
      <c r="G6405" s="341" t="s">
        <v>162</v>
      </c>
      <c r="H6405" s="352" t="s">
        <v>163</v>
      </c>
      <c r="I6405" s="352" t="s">
        <v>138</v>
      </c>
      <c r="J6405" s="353" t="s">
        <v>164</v>
      </c>
      <c r="K6405" s="341" t="s">
        <v>165</v>
      </c>
      <c r="L6405" s="354" t="s">
        <v>166</v>
      </c>
    </row>
    <row r="6406" spans="5:13" ht="15" customHeight="1">
      <c r="F6406" s="300" t="s">
        <v>167</v>
      </c>
      <c r="G6406" s="301" t="s">
        <v>168</v>
      </c>
      <c r="H6406" s="302"/>
      <c r="I6406" s="302"/>
      <c r="J6406" s="351"/>
      <c r="K6406" s="328"/>
      <c r="L6406" s="310"/>
    </row>
    <row r="6407" spans="5:13" ht="15" customHeight="1">
      <c r="F6407" s="306"/>
      <c r="G6407" s="301" t="s">
        <v>169</v>
      </c>
      <c r="H6407" s="307" t="s">
        <v>170</v>
      </c>
      <c r="I6407" s="429" t="s">
        <v>171</v>
      </c>
      <c r="J6407" s="432">
        <v>0.6</v>
      </c>
      <c r="K6407" s="309">
        <f>VLOOKUP(G6407,Upah,8,FALSE)</f>
        <v>125000</v>
      </c>
      <c r="L6407" s="310">
        <f>J6407*K6407</f>
        <v>75000</v>
      </c>
    </row>
    <row r="6408" spans="5:13" ht="15" customHeight="1">
      <c r="F6408" s="306"/>
      <c r="G6408" s="301" t="s">
        <v>413</v>
      </c>
      <c r="H6408" s="307" t="s">
        <v>173</v>
      </c>
      <c r="I6408" s="429" t="s">
        <v>171</v>
      </c>
      <c r="J6408" s="432">
        <v>1.8</v>
      </c>
      <c r="K6408" s="309">
        <f>VLOOKUP(G6408,Upah,8,FALSE)</f>
        <v>150000</v>
      </c>
      <c r="L6408" s="310">
        <f>J6408*K6408</f>
        <v>270000</v>
      </c>
    </row>
    <row r="6409" spans="5:13" ht="15" customHeight="1">
      <c r="F6409" s="306"/>
      <c r="G6409" s="301" t="s">
        <v>232</v>
      </c>
      <c r="H6409" s="307" t="s">
        <v>175</v>
      </c>
      <c r="I6409" s="429" t="s">
        <v>171</v>
      </c>
      <c r="J6409" s="432">
        <v>0.18</v>
      </c>
      <c r="K6409" s="309">
        <f>VLOOKUP(G6409,Upah,8,FALSE)</f>
        <v>165000</v>
      </c>
      <c r="L6409" s="310">
        <f>J6409*K6409</f>
        <v>29700</v>
      </c>
    </row>
    <row r="6410" spans="5:13" ht="15" customHeight="1" thickBot="1">
      <c r="F6410" s="306"/>
      <c r="G6410" s="301" t="s">
        <v>176</v>
      </c>
      <c r="H6410" s="307" t="s">
        <v>177</v>
      </c>
      <c r="I6410" s="429" t="s">
        <v>171</v>
      </c>
      <c r="J6410" s="432">
        <v>0.03</v>
      </c>
      <c r="K6410" s="309">
        <f>VLOOKUP(G6410,Upah,8,FALSE)</f>
        <v>170000</v>
      </c>
      <c r="L6410" s="310">
        <f>J6410*K6410</f>
        <v>5100</v>
      </c>
    </row>
    <row r="6411" spans="5:13" ht="15" customHeight="1" thickBot="1">
      <c r="F6411" s="316"/>
      <c r="G6411" s="317"/>
      <c r="H6411" s="318"/>
      <c r="I6411" s="318"/>
      <c r="J6411" s="319" t="s">
        <v>178</v>
      </c>
      <c r="K6411" s="320"/>
      <c r="L6411" s="321">
        <f>SUM(L6407:L6410)</f>
        <v>379800</v>
      </c>
    </row>
    <row r="6412" spans="5:13" ht="15" customHeight="1">
      <c r="F6412" s="300" t="s">
        <v>179</v>
      </c>
      <c r="G6412" s="301" t="s">
        <v>180</v>
      </c>
      <c r="H6412" s="302"/>
      <c r="I6412" s="302"/>
      <c r="J6412" s="351"/>
      <c r="K6412" s="328"/>
      <c r="L6412" s="310"/>
    </row>
    <row r="6413" spans="5:13" ht="15" customHeight="1">
      <c r="F6413" s="306"/>
      <c r="G6413" s="301" t="s">
        <v>1126</v>
      </c>
      <c r="H6413" s="302"/>
      <c r="I6413" s="429" t="s">
        <v>44</v>
      </c>
      <c r="J6413" s="432">
        <v>7.0000000000000001E-3</v>
      </c>
      <c r="K6413" s="328">
        <f>VLOOKUP(G6413,Bahan,6,FALSE)</f>
        <v>4500000</v>
      </c>
      <c r="L6413" s="310">
        <f>J6413*K6413</f>
        <v>31500</v>
      </c>
    </row>
    <row r="6414" spans="5:13" ht="15" customHeight="1">
      <c r="F6414" s="306"/>
      <c r="G6414" s="301" t="s">
        <v>415</v>
      </c>
      <c r="H6414" s="302"/>
      <c r="I6414" s="429" t="s">
        <v>38</v>
      </c>
      <c r="J6414" s="432">
        <v>0.1</v>
      </c>
      <c r="K6414" s="328">
        <f>VLOOKUP(G6414,Bahan,6,FALSE)</f>
        <v>27970</v>
      </c>
      <c r="L6414" s="310">
        <f>J6414*K6414</f>
        <v>2797</v>
      </c>
    </row>
    <row r="6415" spans="5:13" ht="15" customHeight="1" thickBot="1">
      <c r="F6415" s="306"/>
      <c r="G6415" s="301" t="s">
        <v>586</v>
      </c>
      <c r="H6415" s="302"/>
      <c r="I6415" s="429" t="s">
        <v>38</v>
      </c>
      <c r="J6415" s="432">
        <v>0.15</v>
      </c>
      <c r="K6415" s="328">
        <f>VLOOKUP(G6415,Bahan,6,FALSE)</f>
        <v>840</v>
      </c>
      <c r="L6415" s="310">
        <f>J6415*K6415</f>
        <v>126</v>
      </c>
    </row>
    <row r="6416" spans="5:13" ht="15" customHeight="1" thickBot="1">
      <c r="F6416" s="316"/>
      <c r="G6416" s="317"/>
      <c r="H6416" s="318"/>
      <c r="I6416" s="318"/>
      <c r="J6416" s="319" t="s">
        <v>189</v>
      </c>
      <c r="K6416" s="320"/>
      <c r="L6416" s="321">
        <f>SUM(L6413:L6415)</f>
        <v>34423</v>
      </c>
    </row>
    <row r="6417" spans="5:13" ht="15" customHeight="1" thickBot="1">
      <c r="F6417" s="300" t="s">
        <v>190</v>
      </c>
      <c r="G6417" s="301" t="s">
        <v>191</v>
      </c>
      <c r="H6417" s="302"/>
      <c r="I6417" s="302"/>
      <c r="J6417" s="351"/>
      <c r="K6417" s="328">
        <v>0</v>
      </c>
      <c r="L6417" s="310">
        <f>J6417*K6417</f>
        <v>0</v>
      </c>
    </row>
    <row r="6418" spans="5:13" ht="15" customHeight="1" thickBot="1">
      <c r="F6418" s="316"/>
      <c r="G6418" s="317"/>
      <c r="H6418" s="318"/>
      <c r="I6418" s="318"/>
      <c r="J6418" s="319" t="s">
        <v>192</v>
      </c>
      <c r="K6418" s="320"/>
      <c r="L6418" s="321">
        <f>L6417</f>
        <v>0</v>
      </c>
    </row>
    <row r="6419" spans="5:13" ht="15" customHeight="1">
      <c r="F6419" s="344" t="s">
        <v>193</v>
      </c>
      <c r="G6419" s="345" t="s">
        <v>194</v>
      </c>
      <c r="H6419" s="346"/>
      <c r="I6419" s="346"/>
      <c r="J6419" s="347"/>
      <c r="K6419" s="348">
        <v>0</v>
      </c>
      <c r="L6419" s="310">
        <f>SUM(L6407:L6418)/2</f>
        <v>414223</v>
      </c>
    </row>
    <row r="6420" spans="5:13" ht="15" customHeight="1" thickBot="1">
      <c r="F6420" s="331" t="s">
        <v>195</v>
      </c>
      <c r="G6420" s="332" t="s">
        <v>196</v>
      </c>
      <c r="H6420" s="333"/>
      <c r="I6420" s="333"/>
      <c r="J6420" s="350">
        <v>0.1</v>
      </c>
      <c r="K6420" s="335"/>
      <c r="L6420" s="330">
        <f>J6420*L6419</f>
        <v>41422.300000000003</v>
      </c>
    </row>
    <row r="6421" spans="5:13" ht="15" customHeight="1" thickBot="1">
      <c r="F6421" s="340" t="s">
        <v>197</v>
      </c>
      <c r="G6421" s="341" t="s">
        <v>198</v>
      </c>
      <c r="H6421" s="318"/>
      <c r="I6421" s="318"/>
      <c r="J6421" s="342"/>
      <c r="K6421" s="320">
        <v>0</v>
      </c>
      <c r="L6421" s="321">
        <f>ROUNDDOWN(L6419+L6420,0)</f>
        <v>455645</v>
      </c>
    </row>
    <row r="6422" spans="5:13" ht="15" customHeight="1">
      <c r="F6422" s="298"/>
      <c r="G6422" s="298"/>
      <c r="J6422" s="343"/>
    </row>
    <row r="6423" spans="5:13" ht="15" customHeight="1" thickBot="1">
      <c r="E6423" s="356" t="s">
        <v>1166</v>
      </c>
      <c r="F6423" s="295" t="s">
        <v>1167</v>
      </c>
      <c r="J6423" s="343"/>
      <c r="M6423" s="299">
        <f>L6439</f>
        <v>53309</v>
      </c>
    </row>
    <row r="6424" spans="5:13" ht="15" customHeight="1" thickBot="1">
      <c r="F6424" s="340" t="s">
        <v>136</v>
      </c>
      <c r="G6424" s="341" t="s">
        <v>162</v>
      </c>
      <c r="H6424" s="352" t="s">
        <v>163</v>
      </c>
      <c r="I6424" s="352" t="s">
        <v>138</v>
      </c>
      <c r="J6424" s="353" t="s">
        <v>164</v>
      </c>
      <c r="K6424" s="341" t="s">
        <v>165</v>
      </c>
      <c r="L6424" s="354" t="s">
        <v>166</v>
      </c>
    </row>
    <row r="6425" spans="5:13" ht="15" customHeight="1">
      <c r="F6425" s="300" t="s">
        <v>167</v>
      </c>
      <c r="G6425" s="301" t="s">
        <v>168</v>
      </c>
      <c r="H6425" s="302"/>
      <c r="I6425" s="302"/>
      <c r="J6425" s="351"/>
      <c r="K6425" s="328"/>
      <c r="L6425" s="310"/>
    </row>
    <row r="6426" spans="5:13" ht="15" customHeight="1">
      <c r="F6426" s="306"/>
      <c r="G6426" s="301" t="s">
        <v>169</v>
      </c>
      <c r="H6426" s="307" t="s">
        <v>170</v>
      </c>
      <c r="I6426" s="429" t="s">
        <v>171</v>
      </c>
      <c r="J6426" s="432">
        <v>2.5000000000000001E-2</v>
      </c>
      <c r="K6426" s="309">
        <f>VLOOKUP(G6426,Upah,8,FALSE)</f>
        <v>125000</v>
      </c>
      <c r="L6426" s="310">
        <f>J6426*K6426</f>
        <v>3125</v>
      </c>
    </row>
    <row r="6427" spans="5:13" ht="15" customHeight="1">
      <c r="F6427" s="306"/>
      <c r="G6427" s="301" t="s">
        <v>413</v>
      </c>
      <c r="H6427" s="307" t="s">
        <v>173</v>
      </c>
      <c r="I6427" s="429" t="s">
        <v>171</v>
      </c>
      <c r="J6427" s="432">
        <v>7.4999999999999997E-2</v>
      </c>
      <c r="K6427" s="309">
        <f>VLOOKUP(G6427,Upah,8,FALSE)</f>
        <v>150000</v>
      </c>
      <c r="L6427" s="310">
        <f>J6427*K6427</f>
        <v>11250</v>
      </c>
    </row>
    <row r="6428" spans="5:13" ht="15" customHeight="1">
      <c r="F6428" s="306"/>
      <c r="G6428" s="301" t="s">
        <v>232</v>
      </c>
      <c r="H6428" s="307" t="s">
        <v>175</v>
      </c>
      <c r="I6428" s="429" t="s">
        <v>171</v>
      </c>
      <c r="J6428" s="432">
        <v>8.0000000000000002E-3</v>
      </c>
      <c r="K6428" s="309">
        <f>VLOOKUP(G6428,Upah,8,FALSE)</f>
        <v>165000</v>
      </c>
      <c r="L6428" s="310">
        <f>J6428*K6428</f>
        <v>1320</v>
      </c>
    </row>
    <row r="6429" spans="5:13" ht="15" customHeight="1" thickBot="1">
      <c r="F6429" s="306"/>
      <c r="G6429" s="301" t="s">
        <v>176</v>
      </c>
      <c r="H6429" s="307" t="s">
        <v>177</v>
      </c>
      <c r="I6429" s="429" t="s">
        <v>171</v>
      </c>
      <c r="J6429" s="432">
        <v>1E-3</v>
      </c>
      <c r="K6429" s="309">
        <f>VLOOKUP(G6429,Upah,8,FALSE)</f>
        <v>170000</v>
      </c>
      <c r="L6429" s="310">
        <f>J6429*K6429</f>
        <v>170</v>
      </c>
    </row>
    <row r="6430" spans="5:13" ht="15" customHeight="1" thickBot="1">
      <c r="F6430" s="316"/>
      <c r="G6430" s="317"/>
      <c r="H6430" s="318"/>
      <c r="I6430" s="318"/>
      <c r="J6430" s="319" t="s">
        <v>178</v>
      </c>
      <c r="K6430" s="320"/>
      <c r="L6430" s="321">
        <f>SUM(L6426:L6429)</f>
        <v>15865</v>
      </c>
    </row>
    <row r="6431" spans="5:13" ht="15" customHeight="1">
      <c r="F6431" s="300" t="s">
        <v>179</v>
      </c>
      <c r="G6431" s="301" t="s">
        <v>180</v>
      </c>
      <c r="H6431" s="302"/>
      <c r="I6431" s="302"/>
      <c r="J6431" s="351"/>
      <c r="K6431" s="328"/>
      <c r="L6431" s="310"/>
    </row>
    <row r="6432" spans="5:13" ht="15" customHeight="1">
      <c r="F6432" s="306"/>
      <c r="G6432" s="301" t="s">
        <v>226</v>
      </c>
      <c r="H6432" s="302"/>
      <c r="I6432" s="429" t="s">
        <v>44</v>
      </c>
      <c r="J6432" s="432">
        <v>0.4</v>
      </c>
      <c r="K6432" s="328">
        <f>VLOOKUP(G6432,Bahan,6,FALSE)</f>
        <v>78000</v>
      </c>
      <c r="L6432" s="310">
        <f>J6432*K6432</f>
        <v>31200</v>
      </c>
    </row>
    <row r="6433" spans="5:13" ht="15" customHeight="1" thickBot="1">
      <c r="F6433" s="306"/>
      <c r="G6433" s="301" t="s">
        <v>415</v>
      </c>
      <c r="H6433" s="302"/>
      <c r="I6433" s="429" t="s">
        <v>38</v>
      </c>
      <c r="J6433" s="432">
        <v>0.05</v>
      </c>
      <c r="K6433" s="328">
        <f>VLOOKUP(G6433,Bahan,6,FALSE)</f>
        <v>27970</v>
      </c>
      <c r="L6433" s="310">
        <f>J6433*K6433</f>
        <v>1398.5</v>
      </c>
    </row>
    <row r="6434" spans="5:13" ht="15" customHeight="1" thickBot="1">
      <c r="F6434" s="316"/>
      <c r="G6434" s="317"/>
      <c r="H6434" s="318"/>
      <c r="I6434" s="318"/>
      <c r="J6434" s="319" t="s">
        <v>189</v>
      </c>
      <c r="K6434" s="320"/>
      <c r="L6434" s="321">
        <f>SUM(L6432:L6433)</f>
        <v>32598.5</v>
      </c>
    </row>
    <row r="6435" spans="5:13" ht="15" customHeight="1" thickBot="1">
      <c r="F6435" s="300" t="s">
        <v>190</v>
      </c>
      <c r="G6435" s="301" t="s">
        <v>191</v>
      </c>
      <c r="H6435" s="302"/>
      <c r="I6435" s="302"/>
      <c r="J6435" s="351"/>
      <c r="K6435" s="328">
        <v>0</v>
      </c>
      <c r="L6435" s="310">
        <f>J6435*K6435</f>
        <v>0</v>
      </c>
    </row>
    <row r="6436" spans="5:13" ht="15" customHeight="1" thickBot="1">
      <c r="F6436" s="316"/>
      <c r="G6436" s="317"/>
      <c r="H6436" s="318"/>
      <c r="I6436" s="318"/>
      <c r="J6436" s="319" t="s">
        <v>192</v>
      </c>
      <c r="K6436" s="320"/>
      <c r="L6436" s="321">
        <f>L6435</f>
        <v>0</v>
      </c>
    </row>
    <row r="6437" spans="5:13" ht="15" customHeight="1">
      <c r="F6437" s="344" t="s">
        <v>193</v>
      </c>
      <c r="G6437" s="345" t="s">
        <v>194</v>
      </c>
      <c r="H6437" s="346"/>
      <c r="I6437" s="346"/>
      <c r="J6437" s="347"/>
      <c r="K6437" s="348">
        <v>0</v>
      </c>
      <c r="L6437" s="310">
        <f>SUM(L6426:L6436)/2</f>
        <v>48463.5</v>
      </c>
    </row>
    <row r="6438" spans="5:13" ht="15" customHeight="1" thickBot="1">
      <c r="F6438" s="331" t="s">
        <v>195</v>
      </c>
      <c r="G6438" s="332" t="s">
        <v>196</v>
      </c>
      <c r="H6438" s="333"/>
      <c r="I6438" s="333"/>
      <c r="J6438" s="350">
        <v>0.1</v>
      </c>
      <c r="K6438" s="335"/>
      <c r="L6438" s="330">
        <f>J6438*L6437</f>
        <v>4846.3500000000004</v>
      </c>
    </row>
    <row r="6439" spans="5:13" ht="15" customHeight="1" thickBot="1">
      <c r="F6439" s="340" t="s">
        <v>197</v>
      </c>
      <c r="G6439" s="341" t="s">
        <v>198</v>
      </c>
      <c r="H6439" s="318"/>
      <c r="I6439" s="318"/>
      <c r="J6439" s="342"/>
      <c r="K6439" s="320">
        <v>0</v>
      </c>
      <c r="L6439" s="321">
        <f>ROUNDDOWN(L6437+L6438,0)</f>
        <v>53309</v>
      </c>
    </row>
    <row r="6440" spans="5:13" ht="15" customHeight="1">
      <c r="F6440" s="298"/>
      <c r="G6440" s="298"/>
      <c r="J6440" s="343"/>
    </row>
    <row r="6441" spans="5:13" ht="15" customHeight="1" thickBot="1">
      <c r="E6441" s="356" t="s">
        <v>1168</v>
      </c>
      <c r="F6441" s="295" t="s">
        <v>1169</v>
      </c>
      <c r="J6441" s="343"/>
      <c r="M6441" s="299">
        <f>L6459</f>
        <v>300388</v>
      </c>
    </row>
    <row r="6442" spans="5:13" ht="15" customHeight="1" thickBot="1">
      <c r="F6442" s="340" t="s">
        <v>136</v>
      </c>
      <c r="G6442" s="341" t="s">
        <v>162</v>
      </c>
      <c r="H6442" s="352" t="s">
        <v>163</v>
      </c>
      <c r="I6442" s="352" t="s">
        <v>138</v>
      </c>
      <c r="J6442" s="353" t="s">
        <v>164</v>
      </c>
      <c r="K6442" s="341" t="s">
        <v>165</v>
      </c>
      <c r="L6442" s="354" t="s">
        <v>166</v>
      </c>
    </row>
    <row r="6443" spans="5:13" ht="15" customHeight="1">
      <c r="F6443" s="300" t="s">
        <v>167</v>
      </c>
      <c r="G6443" s="301" t="s">
        <v>168</v>
      </c>
      <c r="H6443" s="302"/>
      <c r="I6443" s="302"/>
      <c r="J6443" s="351"/>
      <c r="K6443" s="328"/>
      <c r="L6443" s="310"/>
    </row>
    <row r="6444" spans="5:13" ht="15" customHeight="1">
      <c r="F6444" s="306"/>
      <c r="G6444" s="301" t="s">
        <v>169</v>
      </c>
      <c r="H6444" s="307" t="s">
        <v>170</v>
      </c>
      <c r="I6444" s="429" t="s">
        <v>171</v>
      </c>
      <c r="J6444" s="432">
        <v>0.1</v>
      </c>
      <c r="K6444" s="309">
        <f>VLOOKUP(G6444,Upah,8,FALSE)</f>
        <v>125000</v>
      </c>
      <c r="L6444" s="310">
        <f>J6444*K6444</f>
        <v>12500</v>
      </c>
    </row>
    <row r="6445" spans="5:13" ht="15" customHeight="1">
      <c r="F6445" s="306"/>
      <c r="G6445" s="301" t="s">
        <v>413</v>
      </c>
      <c r="H6445" s="307" t="s">
        <v>173</v>
      </c>
      <c r="I6445" s="429" t="s">
        <v>171</v>
      </c>
      <c r="J6445" s="432">
        <v>0.05</v>
      </c>
      <c r="K6445" s="309">
        <f>VLOOKUP(G6445,Upah,8,FALSE)</f>
        <v>150000</v>
      </c>
      <c r="L6445" s="310">
        <f>J6445*K6445</f>
        <v>7500</v>
      </c>
    </row>
    <row r="6446" spans="5:13" ht="15" customHeight="1">
      <c r="F6446" s="306"/>
      <c r="G6446" s="301" t="s">
        <v>232</v>
      </c>
      <c r="H6446" s="307" t="s">
        <v>175</v>
      </c>
      <c r="I6446" s="429" t="s">
        <v>171</v>
      </c>
      <c r="J6446" s="432">
        <v>5.0000000000000001E-3</v>
      </c>
      <c r="K6446" s="309">
        <f>VLOOKUP(G6446,Upah,8,FALSE)</f>
        <v>165000</v>
      </c>
      <c r="L6446" s="310">
        <f>J6446*K6446</f>
        <v>825</v>
      </c>
    </row>
    <row r="6447" spans="5:13" ht="15" customHeight="1" thickBot="1">
      <c r="F6447" s="306"/>
      <c r="G6447" s="301" t="s">
        <v>176</v>
      </c>
      <c r="H6447" s="307" t="s">
        <v>177</v>
      </c>
      <c r="I6447" s="429" t="s">
        <v>171</v>
      </c>
      <c r="J6447" s="432">
        <v>5.0000000000000001E-3</v>
      </c>
      <c r="K6447" s="309">
        <f>VLOOKUP(G6447,Upah,8,FALSE)</f>
        <v>170000</v>
      </c>
      <c r="L6447" s="310">
        <f>J6447*K6447</f>
        <v>850</v>
      </c>
    </row>
    <row r="6448" spans="5:13" ht="15" customHeight="1" thickBot="1">
      <c r="F6448" s="316"/>
      <c r="G6448" s="317"/>
      <c r="H6448" s="318"/>
      <c r="I6448" s="318"/>
      <c r="J6448" s="319" t="s">
        <v>178</v>
      </c>
      <c r="K6448" s="320"/>
      <c r="L6448" s="321">
        <f>SUM(L6444:L6447)</f>
        <v>21675</v>
      </c>
    </row>
    <row r="6449" spans="4:13" ht="15" customHeight="1">
      <c r="F6449" s="300" t="s">
        <v>179</v>
      </c>
      <c r="G6449" s="301" t="s">
        <v>180</v>
      </c>
      <c r="H6449" s="302"/>
      <c r="I6449" s="302"/>
      <c r="J6449" s="351"/>
      <c r="K6449" s="328"/>
      <c r="L6449" s="310"/>
    </row>
    <row r="6450" spans="4:13" ht="15" customHeight="1">
      <c r="F6450" s="306"/>
      <c r="G6450" s="301" t="s">
        <v>1170</v>
      </c>
      <c r="H6450" s="302"/>
      <c r="I6450" s="429" t="s">
        <v>23</v>
      </c>
      <c r="J6450" s="432">
        <v>1.5</v>
      </c>
      <c r="K6450" s="328">
        <f>VLOOKUP(G6450,Bahan,6,FALSE)</f>
        <v>92250</v>
      </c>
      <c r="L6450" s="310">
        <f>J6450*K6450</f>
        <v>138375</v>
      </c>
    </row>
    <row r="6451" spans="4:13" ht="15" customHeight="1">
      <c r="F6451" s="306"/>
      <c r="G6451" s="295" t="s">
        <v>185</v>
      </c>
      <c r="H6451" s="302"/>
      <c r="I6451" s="429" t="s">
        <v>44</v>
      </c>
      <c r="J6451" s="432">
        <v>1.4E-2</v>
      </c>
      <c r="K6451" s="328">
        <f>VLOOKUP(G6451,Bahan,6,FALSE)</f>
        <v>6765000</v>
      </c>
      <c r="L6451" s="310">
        <f>J6451*K6451</f>
        <v>94710</v>
      </c>
    </row>
    <row r="6452" spans="4:13" ht="15" customHeight="1">
      <c r="F6452" s="306"/>
      <c r="G6452" s="301" t="s">
        <v>415</v>
      </c>
      <c r="H6452" s="302"/>
      <c r="I6452" s="429" t="s">
        <v>38</v>
      </c>
      <c r="J6452" s="432">
        <v>1.2E-2</v>
      </c>
      <c r="K6452" s="328">
        <f>VLOOKUP(G6452,Bahan,6,FALSE)</f>
        <v>27970</v>
      </c>
      <c r="L6452" s="310">
        <f>J6452*K6452</f>
        <v>335.64</v>
      </c>
    </row>
    <row r="6453" spans="4:13" ht="15" customHeight="1" thickBot="1">
      <c r="F6453" s="306"/>
      <c r="G6453" s="301" t="s">
        <v>1171</v>
      </c>
      <c r="H6453" s="302"/>
      <c r="I6453" s="429" t="s">
        <v>44</v>
      </c>
      <c r="J6453" s="432">
        <v>3.0000000000000001E-3</v>
      </c>
      <c r="K6453" s="328">
        <f>VLOOKUP(G6453,Bahan,6,FALSE)</f>
        <v>5995000</v>
      </c>
      <c r="L6453" s="310">
        <f>J6453*K6453</f>
        <v>17985</v>
      </c>
    </row>
    <row r="6454" spans="4:13" ht="15" customHeight="1" thickBot="1">
      <c r="F6454" s="316"/>
      <c r="G6454" s="317"/>
      <c r="H6454" s="318"/>
      <c r="I6454" s="318"/>
      <c r="J6454" s="319" t="s">
        <v>189</v>
      </c>
      <c r="K6454" s="320"/>
      <c r="L6454" s="321">
        <f>SUM(L6450:L6453)</f>
        <v>251405.64</v>
      </c>
    </row>
    <row r="6455" spans="4:13" ht="15" customHeight="1" thickBot="1">
      <c r="F6455" s="300" t="s">
        <v>190</v>
      </c>
      <c r="G6455" s="301" t="s">
        <v>191</v>
      </c>
      <c r="H6455" s="302"/>
      <c r="I6455" s="302"/>
      <c r="J6455" s="351"/>
      <c r="K6455" s="328">
        <v>0</v>
      </c>
      <c r="L6455" s="310">
        <f>J6455*K6455</f>
        <v>0</v>
      </c>
    </row>
    <row r="6456" spans="4:13" ht="15" customHeight="1" thickBot="1">
      <c r="F6456" s="316"/>
      <c r="G6456" s="317"/>
      <c r="H6456" s="318"/>
      <c r="I6456" s="318"/>
      <c r="J6456" s="319" t="s">
        <v>192</v>
      </c>
      <c r="K6456" s="320"/>
      <c r="L6456" s="321">
        <f>L6455</f>
        <v>0</v>
      </c>
    </row>
    <row r="6457" spans="4:13" ht="15" customHeight="1">
      <c r="F6457" s="344" t="s">
        <v>193</v>
      </c>
      <c r="G6457" s="345" t="s">
        <v>194</v>
      </c>
      <c r="H6457" s="346"/>
      <c r="I6457" s="346"/>
      <c r="J6457" s="347"/>
      <c r="K6457" s="348">
        <v>0</v>
      </c>
      <c r="L6457" s="310">
        <f>SUM(L6444:L6456)/2</f>
        <v>273080.64</v>
      </c>
    </row>
    <row r="6458" spans="4:13" ht="15" customHeight="1" thickBot="1">
      <c r="F6458" s="331" t="s">
        <v>195</v>
      </c>
      <c r="G6458" s="332" t="s">
        <v>196</v>
      </c>
      <c r="H6458" s="333"/>
      <c r="I6458" s="333"/>
      <c r="J6458" s="350">
        <v>0.1</v>
      </c>
      <c r="K6458" s="335"/>
      <c r="L6458" s="330">
        <f>J6458*L6457</f>
        <v>27308.064000000002</v>
      </c>
    </row>
    <row r="6459" spans="4:13" ht="15" customHeight="1" thickBot="1">
      <c r="F6459" s="340" t="s">
        <v>197</v>
      </c>
      <c r="G6459" s="341" t="s">
        <v>198</v>
      </c>
      <c r="H6459" s="318"/>
      <c r="I6459" s="318"/>
      <c r="J6459" s="342"/>
      <c r="K6459" s="320">
        <v>0</v>
      </c>
      <c r="L6459" s="321">
        <f>ROUNDDOWN(L6457+L6458,0)</f>
        <v>300388</v>
      </c>
    </row>
    <row r="6460" spans="4:13" ht="15" customHeight="1">
      <c r="F6460" s="298"/>
      <c r="G6460" s="298"/>
      <c r="J6460" s="343"/>
    </row>
    <row r="6461" spans="4:13" ht="15" customHeight="1">
      <c r="D6461" s="560" t="s">
        <v>1172</v>
      </c>
      <c r="E6461" s="358" t="s">
        <v>1173</v>
      </c>
      <c r="J6461" s="343"/>
    </row>
    <row r="6462" spans="4:13" ht="15" customHeight="1" thickBot="1">
      <c r="E6462" s="356" t="s">
        <v>1174</v>
      </c>
      <c r="F6462" s="295" t="s">
        <v>1175</v>
      </c>
      <c r="J6462" s="343"/>
      <c r="M6462" s="299">
        <f>L6477</f>
        <v>465201</v>
      </c>
    </row>
    <row r="6463" spans="4:13" ht="15" customHeight="1" thickBot="1">
      <c r="F6463" s="340" t="s">
        <v>136</v>
      </c>
      <c r="G6463" s="341" t="s">
        <v>162</v>
      </c>
      <c r="H6463" s="352" t="s">
        <v>163</v>
      </c>
      <c r="I6463" s="352" t="s">
        <v>138</v>
      </c>
      <c r="J6463" s="353" t="s">
        <v>164</v>
      </c>
      <c r="K6463" s="341" t="s">
        <v>165</v>
      </c>
      <c r="L6463" s="354" t="s">
        <v>166</v>
      </c>
    </row>
    <row r="6464" spans="4:13" ht="15" customHeight="1">
      <c r="F6464" s="300" t="s">
        <v>167</v>
      </c>
      <c r="G6464" s="301" t="s">
        <v>168</v>
      </c>
      <c r="H6464" s="302"/>
      <c r="I6464" s="302"/>
      <c r="J6464" s="351"/>
      <c r="K6464" s="328"/>
      <c r="L6464" s="310"/>
    </row>
    <row r="6465" spans="5:13" ht="15" customHeight="1">
      <c r="F6465" s="306"/>
      <c r="G6465" s="301" t="s">
        <v>169</v>
      </c>
      <c r="H6465" s="307" t="s">
        <v>170</v>
      </c>
      <c r="I6465" s="307" t="s">
        <v>171</v>
      </c>
      <c r="J6465" s="432">
        <v>0.06</v>
      </c>
      <c r="K6465" s="309">
        <f>VLOOKUP(G6465,Upah,8,FALSE)</f>
        <v>125000</v>
      </c>
      <c r="L6465" s="310">
        <f>J6465*K6465</f>
        <v>7500</v>
      </c>
    </row>
    <row r="6466" spans="5:13" ht="15" customHeight="1">
      <c r="F6466" s="306"/>
      <c r="G6466" s="301" t="s">
        <v>413</v>
      </c>
      <c r="H6466" s="307" t="s">
        <v>173</v>
      </c>
      <c r="I6466" s="307" t="s">
        <v>171</v>
      </c>
      <c r="J6466" s="432">
        <v>0.6</v>
      </c>
      <c r="K6466" s="309">
        <f>VLOOKUP(G6466,Upah,8,FALSE)</f>
        <v>150000</v>
      </c>
      <c r="L6466" s="310">
        <f>J6466*K6466</f>
        <v>90000</v>
      </c>
    </row>
    <row r="6467" spans="5:13" ht="15" customHeight="1">
      <c r="F6467" s="306"/>
      <c r="G6467" s="301" t="s">
        <v>232</v>
      </c>
      <c r="H6467" s="307" t="s">
        <v>175</v>
      </c>
      <c r="I6467" s="307" t="s">
        <v>171</v>
      </c>
      <c r="J6467" s="432">
        <v>0.06</v>
      </c>
      <c r="K6467" s="309">
        <f>VLOOKUP(G6467,Upah,8,FALSE)</f>
        <v>165000</v>
      </c>
      <c r="L6467" s="310">
        <f>J6467*K6467</f>
        <v>9900</v>
      </c>
    </row>
    <row r="6468" spans="5:13" ht="15" customHeight="1" thickBot="1">
      <c r="F6468" s="306"/>
      <c r="G6468" s="301" t="s">
        <v>176</v>
      </c>
      <c r="H6468" s="307" t="s">
        <v>177</v>
      </c>
      <c r="I6468" s="307" t="s">
        <v>171</v>
      </c>
      <c r="J6468" s="432">
        <v>3.0000000000000001E-3</v>
      </c>
      <c r="K6468" s="309">
        <f>VLOOKUP(G6468,Upah,8,FALSE)</f>
        <v>170000</v>
      </c>
      <c r="L6468" s="310">
        <f>J6468*K6468</f>
        <v>510</v>
      </c>
    </row>
    <row r="6469" spans="5:13" ht="15" customHeight="1" thickBot="1">
      <c r="F6469" s="316"/>
      <c r="G6469" s="317"/>
      <c r="H6469" s="318"/>
      <c r="I6469" s="318"/>
      <c r="J6469" s="319" t="s">
        <v>178</v>
      </c>
      <c r="K6469" s="320"/>
      <c r="L6469" s="321">
        <f>SUM(L6465:L6468)</f>
        <v>107910</v>
      </c>
    </row>
    <row r="6470" spans="5:13" ht="15" customHeight="1">
      <c r="F6470" s="300" t="s">
        <v>179</v>
      </c>
      <c r="G6470" s="301" t="s">
        <v>180</v>
      </c>
      <c r="H6470" s="302"/>
      <c r="I6470" s="302"/>
      <c r="J6470" s="351"/>
      <c r="K6470" s="328"/>
      <c r="L6470" s="310"/>
    </row>
    <row r="6471" spans="5:13" ht="15" customHeight="1" thickBot="1">
      <c r="F6471" s="306"/>
      <c r="G6471" s="301" t="s">
        <v>1176</v>
      </c>
      <c r="H6471" s="302"/>
      <c r="I6471" s="307" t="s">
        <v>221</v>
      </c>
      <c r="J6471" s="432">
        <v>1</v>
      </c>
      <c r="K6471" s="328">
        <f>VLOOKUP(G6471,Bahan,6,FALSE)</f>
        <v>315000</v>
      </c>
      <c r="L6471" s="310">
        <f>J6471*K6471</f>
        <v>315000</v>
      </c>
    </row>
    <row r="6472" spans="5:13" ht="15" customHeight="1" thickBot="1">
      <c r="F6472" s="316"/>
      <c r="G6472" s="317"/>
      <c r="H6472" s="318"/>
      <c r="I6472" s="318"/>
      <c r="J6472" s="319" t="s">
        <v>189</v>
      </c>
      <c r="K6472" s="320"/>
      <c r="L6472" s="321">
        <f>SUM(L6470:L6471)</f>
        <v>315000</v>
      </c>
    </row>
    <row r="6473" spans="5:13" ht="15" customHeight="1" thickBot="1">
      <c r="F6473" s="300" t="s">
        <v>190</v>
      </c>
      <c r="G6473" s="301" t="s">
        <v>191</v>
      </c>
      <c r="H6473" s="302"/>
      <c r="I6473" s="302"/>
      <c r="J6473" s="351"/>
      <c r="K6473" s="328">
        <v>0</v>
      </c>
      <c r="L6473" s="310">
        <f>J6473*K6473</f>
        <v>0</v>
      </c>
    </row>
    <row r="6474" spans="5:13" ht="15" customHeight="1" thickBot="1">
      <c r="F6474" s="316"/>
      <c r="G6474" s="317"/>
      <c r="H6474" s="318"/>
      <c r="I6474" s="318"/>
      <c r="J6474" s="319" t="s">
        <v>192</v>
      </c>
      <c r="K6474" s="320"/>
      <c r="L6474" s="321">
        <f>L6473</f>
        <v>0</v>
      </c>
    </row>
    <row r="6475" spans="5:13" ht="15" customHeight="1">
      <c r="F6475" s="344" t="s">
        <v>193</v>
      </c>
      <c r="G6475" s="345" t="s">
        <v>194</v>
      </c>
      <c r="H6475" s="346"/>
      <c r="I6475" s="346"/>
      <c r="J6475" s="347"/>
      <c r="K6475" s="348">
        <v>0</v>
      </c>
      <c r="L6475" s="310">
        <f>SUM(L6464:L6474)/2</f>
        <v>422910</v>
      </c>
    </row>
    <row r="6476" spans="5:13" ht="15" customHeight="1" thickBot="1">
      <c r="F6476" s="331" t="s">
        <v>195</v>
      </c>
      <c r="G6476" s="332" t="s">
        <v>196</v>
      </c>
      <c r="H6476" s="333"/>
      <c r="I6476" s="333"/>
      <c r="J6476" s="350">
        <v>0.1</v>
      </c>
      <c r="K6476" s="335"/>
      <c r="L6476" s="330">
        <f>J6476*L6475</f>
        <v>42291</v>
      </c>
    </row>
    <row r="6477" spans="5:13" ht="15" customHeight="1" thickBot="1">
      <c r="F6477" s="340" t="s">
        <v>197</v>
      </c>
      <c r="G6477" s="341" t="s">
        <v>198</v>
      </c>
      <c r="H6477" s="318"/>
      <c r="I6477" s="318"/>
      <c r="J6477" s="342"/>
      <c r="K6477" s="320">
        <v>0</v>
      </c>
      <c r="L6477" s="321">
        <f>ROUNDDOWN(L6475+L6476,0)</f>
        <v>465201</v>
      </c>
    </row>
    <row r="6478" spans="5:13" ht="15" customHeight="1">
      <c r="F6478" s="298"/>
      <c r="G6478" s="298"/>
      <c r="J6478" s="343"/>
    </row>
    <row r="6479" spans="5:13" ht="15" customHeight="1" thickBot="1">
      <c r="E6479" s="356" t="s">
        <v>1177</v>
      </c>
      <c r="F6479" s="295" t="s">
        <v>1178</v>
      </c>
      <c r="J6479" s="343"/>
      <c r="M6479" s="299">
        <f>L6494</f>
        <v>269775</v>
      </c>
    </row>
    <row r="6480" spans="5:13" ht="15" customHeight="1" thickBot="1">
      <c r="F6480" s="340" t="s">
        <v>136</v>
      </c>
      <c r="G6480" s="341" t="s">
        <v>162</v>
      </c>
      <c r="H6480" s="352" t="s">
        <v>163</v>
      </c>
      <c r="I6480" s="352" t="s">
        <v>138</v>
      </c>
      <c r="J6480" s="353" t="s">
        <v>164</v>
      </c>
      <c r="K6480" s="341" t="s">
        <v>165</v>
      </c>
      <c r="L6480" s="354" t="s">
        <v>166</v>
      </c>
    </row>
    <row r="6481" spans="5:13" ht="15" customHeight="1">
      <c r="F6481" s="300" t="s">
        <v>167</v>
      </c>
      <c r="G6481" s="301" t="s">
        <v>168</v>
      </c>
      <c r="H6481" s="302"/>
      <c r="I6481" s="302"/>
      <c r="J6481" s="351"/>
      <c r="K6481" s="328"/>
      <c r="L6481" s="310"/>
    </row>
    <row r="6482" spans="5:13" ht="15" customHeight="1">
      <c r="F6482" s="306"/>
      <c r="G6482" s="301" t="s">
        <v>169</v>
      </c>
      <c r="H6482" s="307" t="s">
        <v>170</v>
      </c>
      <c r="I6482" s="307" t="s">
        <v>171</v>
      </c>
      <c r="J6482" s="432">
        <v>0.01</v>
      </c>
      <c r="K6482" s="309">
        <f>VLOOKUP(G6482,Upah,8,FALSE)</f>
        <v>125000</v>
      </c>
      <c r="L6482" s="310">
        <f>J6482*K6482</f>
        <v>1250</v>
      </c>
    </row>
    <row r="6483" spans="5:13" ht="15" customHeight="1">
      <c r="F6483" s="306"/>
      <c r="G6483" s="301" t="s">
        <v>413</v>
      </c>
      <c r="H6483" s="307" t="s">
        <v>173</v>
      </c>
      <c r="I6483" s="307" t="s">
        <v>171</v>
      </c>
      <c r="J6483" s="432">
        <v>0.5</v>
      </c>
      <c r="K6483" s="309">
        <f>VLOOKUP(G6483,Upah,8,FALSE)</f>
        <v>150000</v>
      </c>
      <c r="L6483" s="310">
        <f>J6483*K6483</f>
        <v>75000</v>
      </c>
    </row>
    <row r="6484" spans="5:13" ht="15" customHeight="1">
      <c r="F6484" s="306"/>
      <c r="G6484" s="301" t="s">
        <v>232</v>
      </c>
      <c r="H6484" s="307" t="s">
        <v>175</v>
      </c>
      <c r="I6484" s="307" t="s">
        <v>171</v>
      </c>
      <c r="J6484" s="432">
        <v>0.05</v>
      </c>
      <c r="K6484" s="309">
        <f>VLOOKUP(G6484,Upah,8,FALSE)</f>
        <v>165000</v>
      </c>
      <c r="L6484" s="310">
        <f>J6484*K6484</f>
        <v>8250</v>
      </c>
    </row>
    <row r="6485" spans="5:13" ht="15" customHeight="1" thickBot="1">
      <c r="F6485" s="306"/>
      <c r="G6485" s="301" t="s">
        <v>176</v>
      </c>
      <c r="H6485" s="307" t="s">
        <v>177</v>
      </c>
      <c r="I6485" s="307" t="s">
        <v>171</v>
      </c>
      <c r="J6485" s="432">
        <v>5.0000000000000001E-3</v>
      </c>
      <c r="K6485" s="309">
        <f>VLOOKUP(G6485,Upah,8,FALSE)</f>
        <v>170000</v>
      </c>
      <c r="L6485" s="310">
        <f>J6485*K6485</f>
        <v>850</v>
      </c>
    </row>
    <row r="6486" spans="5:13" ht="15" customHeight="1" thickBot="1">
      <c r="F6486" s="316"/>
      <c r="G6486" s="317"/>
      <c r="H6486" s="318"/>
      <c r="I6486" s="318"/>
      <c r="J6486" s="319" t="s">
        <v>178</v>
      </c>
      <c r="K6486" s="320"/>
      <c r="L6486" s="321">
        <f>SUM(L6482:L6485)</f>
        <v>85350</v>
      </c>
    </row>
    <row r="6487" spans="5:13" ht="15" customHeight="1">
      <c r="F6487" s="300" t="s">
        <v>179</v>
      </c>
      <c r="G6487" s="301" t="s">
        <v>180</v>
      </c>
      <c r="H6487" s="302"/>
      <c r="I6487" s="302"/>
      <c r="J6487" s="351"/>
      <c r="K6487" s="328"/>
      <c r="L6487" s="310"/>
    </row>
    <row r="6488" spans="5:13" ht="15" customHeight="1" thickBot="1">
      <c r="F6488" s="306"/>
      <c r="G6488" s="301" t="s">
        <v>1179</v>
      </c>
      <c r="H6488" s="302"/>
      <c r="I6488" s="307" t="s">
        <v>221</v>
      </c>
      <c r="J6488" s="432">
        <v>1</v>
      </c>
      <c r="K6488" s="328">
        <f>VLOOKUP(G6488,Bahan,6,FALSE)</f>
        <v>159900</v>
      </c>
      <c r="L6488" s="310">
        <f>J6488*K6488</f>
        <v>159900</v>
      </c>
    </row>
    <row r="6489" spans="5:13" ht="15" customHeight="1" thickBot="1">
      <c r="F6489" s="316"/>
      <c r="G6489" s="317"/>
      <c r="H6489" s="318"/>
      <c r="I6489" s="318"/>
      <c r="J6489" s="319" t="s">
        <v>189</v>
      </c>
      <c r="K6489" s="320"/>
      <c r="L6489" s="321">
        <f>SUM(L6487:L6488)</f>
        <v>159900</v>
      </c>
    </row>
    <row r="6490" spans="5:13" ht="15" customHeight="1" thickBot="1">
      <c r="F6490" s="300" t="s">
        <v>190</v>
      </c>
      <c r="G6490" s="301" t="s">
        <v>191</v>
      </c>
      <c r="H6490" s="302"/>
      <c r="I6490" s="302"/>
      <c r="J6490" s="351"/>
      <c r="K6490" s="328">
        <v>0</v>
      </c>
      <c r="L6490" s="310">
        <f>J6490*K6490</f>
        <v>0</v>
      </c>
    </row>
    <row r="6491" spans="5:13" ht="15" customHeight="1" thickBot="1">
      <c r="F6491" s="316"/>
      <c r="G6491" s="317"/>
      <c r="H6491" s="318"/>
      <c r="I6491" s="318"/>
      <c r="J6491" s="319" t="s">
        <v>192</v>
      </c>
      <c r="K6491" s="320"/>
      <c r="L6491" s="321">
        <f>L6490</f>
        <v>0</v>
      </c>
    </row>
    <row r="6492" spans="5:13" ht="15" customHeight="1">
      <c r="F6492" s="344" t="s">
        <v>193</v>
      </c>
      <c r="G6492" s="345" t="s">
        <v>194</v>
      </c>
      <c r="H6492" s="346"/>
      <c r="I6492" s="346"/>
      <c r="J6492" s="347"/>
      <c r="K6492" s="348">
        <v>0</v>
      </c>
      <c r="L6492" s="310">
        <f>SUM(L6481:L6491)/2</f>
        <v>245250</v>
      </c>
    </row>
    <row r="6493" spans="5:13" ht="15" customHeight="1" thickBot="1">
      <c r="F6493" s="331" t="s">
        <v>195</v>
      </c>
      <c r="G6493" s="332" t="s">
        <v>196</v>
      </c>
      <c r="H6493" s="333"/>
      <c r="I6493" s="333"/>
      <c r="J6493" s="350">
        <v>0.1</v>
      </c>
      <c r="K6493" s="335"/>
      <c r="L6493" s="330">
        <f>J6493*L6492</f>
        <v>24525</v>
      </c>
    </row>
    <row r="6494" spans="5:13" ht="15" customHeight="1" thickBot="1">
      <c r="F6494" s="340" t="s">
        <v>197</v>
      </c>
      <c r="G6494" s="341" t="s">
        <v>198</v>
      </c>
      <c r="H6494" s="318"/>
      <c r="I6494" s="318"/>
      <c r="J6494" s="342"/>
      <c r="K6494" s="320">
        <v>0</v>
      </c>
      <c r="L6494" s="321">
        <f>ROUNDDOWN(L6492+L6493,0)</f>
        <v>269775</v>
      </c>
    </row>
    <row r="6495" spans="5:13" ht="15" customHeight="1">
      <c r="F6495" s="298"/>
      <c r="G6495" s="298"/>
      <c r="J6495" s="343"/>
    </row>
    <row r="6496" spans="5:13" ht="15" customHeight="1" thickBot="1">
      <c r="E6496" s="356" t="s">
        <v>1180</v>
      </c>
      <c r="F6496" s="295" t="s">
        <v>1181</v>
      </c>
      <c r="J6496" s="343"/>
      <c r="M6496" s="299">
        <f>L6511</f>
        <v>157173</v>
      </c>
    </row>
    <row r="6497" spans="6:12" ht="15" customHeight="1" thickBot="1">
      <c r="F6497" s="340" t="s">
        <v>136</v>
      </c>
      <c r="G6497" s="341" t="s">
        <v>162</v>
      </c>
      <c r="H6497" s="352" t="s">
        <v>163</v>
      </c>
      <c r="I6497" s="352" t="s">
        <v>138</v>
      </c>
      <c r="J6497" s="353" t="s">
        <v>164</v>
      </c>
      <c r="K6497" s="341" t="s">
        <v>165</v>
      </c>
      <c r="L6497" s="354" t="s">
        <v>166</v>
      </c>
    </row>
    <row r="6498" spans="6:12" ht="15" customHeight="1">
      <c r="F6498" s="300" t="s">
        <v>167</v>
      </c>
      <c r="G6498" s="301" t="s">
        <v>168</v>
      </c>
      <c r="H6498" s="302"/>
      <c r="I6498" s="302"/>
      <c r="J6498" s="351"/>
      <c r="K6498" s="328"/>
      <c r="L6498" s="310"/>
    </row>
    <row r="6499" spans="6:12" ht="15" customHeight="1">
      <c r="F6499" s="306"/>
      <c r="G6499" s="301" t="s">
        <v>169</v>
      </c>
      <c r="H6499" s="307" t="s">
        <v>170</v>
      </c>
      <c r="I6499" s="307" t="s">
        <v>171</v>
      </c>
      <c r="J6499" s="432">
        <v>5.0000000000000001E-3</v>
      </c>
      <c r="K6499" s="309">
        <f>VLOOKUP(G6499,Upah,8,FALSE)</f>
        <v>125000</v>
      </c>
      <c r="L6499" s="310">
        <f>J6499*K6499</f>
        <v>625</v>
      </c>
    </row>
    <row r="6500" spans="6:12" ht="15" customHeight="1">
      <c r="F6500" s="306"/>
      <c r="G6500" s="301" t="s">
        <v>413</v>
      </c>
      <c r="H6500" s="307" t="s">
        <v>173</v>
      </c>
      <c r="I6500" s="307" t="s">
        <v>171</v>
      </c>
      <c r="J6500" s="432">
        <v>0.5</v>
      </c>
      <c r="K6500" s="309">
        <f>VLOOKUP(G6500,Upah,8,FALSE)</f>
        <v>150000</v>
      </c>
      <c r="L6500" s="310">
        <f>J6500*K6500</f>
        <v>75000</v>
      </c>
    </row>
    <row r="6501" spans="6:12" ht="15" customHeight="1">
      <c r="F6501" s="306"/>
      <c r="G6501" s="301" t="s">
        <v>232</v>
      </c>
      <c r="H6501" s="307" t="s">
        <v>175</v>
      </c>
      <c r="I6501" s="307" t="s">
        <v>171</v>
      </c>
      <c r="J6501" s="432">
        <v>0.05</v>
      </c>
      <c r="K6501" s="309">
        <f>VLOOKUP(G6501,Upah,8,FALSE)</f>
        <v>165000</v>
      </c>
      <c r="L6501" s="310">
        <f>J6501*K6501</f>
        <v>8250</v>
      </c>
    </row>
    <row r="6502" spans="6:12" ht="15" customHeight="1" thickBot="1">
      <c r="F6502" s="306"/>
      <c r="G6502" s="301" t="s">
        <v>176</v>
      </c>
      <c r="H6502" s="307" t="s">
        <v>177</v>
      </c>
      <c r="I6502" s="307" t="s">
        <v>171</v>
      </c>
      <c r="J6502" s="432">
        <v>3.0000000000000001E-3</v>
      </c>
      <c r="K6502" s="309">
        <f>VLOOKUP(G6502,Upah,8,FALSE)</f>
        <v>170000</v>
      </c>
      <c r="L6502" s="310">
        <f>J6502*K6502</f>
        <v>510</v>
      </c>
    </row>
    <row r="6503" spans="6:12" ht="15" customHeight="1" thickBot="1">
      <c r="F6503" s="316"/>
      <c r="G6503" s="317"/>
      <c r="H6503" s="318"/>
      <c r="I6503" s="318"/>
      <c r="J6503" s="319" t="s">
        <v>178</v>
      </c>
      <c r="K6503" s="320"/>
      <c r="L6503" s="321">
        <f>SUM(L6499:L6502)</f>
        <v>84385</v>
      </c>
    </row>
    <row r="6504" spans="6:12" ht="15" customHeight="1">
      <c r="F6504" s="300" t="s">
        <v>179</v>
      </c>
      <c r="G6504" s="301" t="s">
        <v>180</v>
      </c>
      <c r="H6504" s="302"/>
      <c r="I6504" s="302"/>
      <c r="J6504" s="351"/>
      <c r="K6504" s="328"/>
      <c r="L6504" s="310"/>
    </row>
    <row r="6505" spans="6:12" ht="15" customHeight="1" thickBot="1">
      <c r="F6505" s="306"/>
      <c r="G6505" s="301" t="s">
        <v>1182</v>
      </c>
      <c r="H6505" s="302"/>
      <c r="I6505" s="307" t="s">
        <v>221</v>
      </c>
      <c r="J6505" s="432">
        <v>1</v>
      </c>
      <c r="K6505" s="328">
        <f>VLOOKUP(G6505,Bahan,6,FALSE)</f>
        <v>58500</v>
      </c>
      <c r="L6505" s="310">
        <f>J6505*K6505</f>
        <v>58500</v>
      </c>
    </row>
    <row r="6506" spans="6:12" ht="15" customHeight="1" thickBot="1">
      <c r="F6506" s="316"/>
      <c r="G6506" s="317"/>
      <c r="H6506" s="318"/>
      <c r="I6506" s="318"/>
      <c r="J6506" s="319" t="s">
        <v>189</v>
      </c>
      <c r="K6506" s="320"/>
      <c r="L6506" s="321">
        <f>SUM(L6504:L6505)</f>
        <v>58500</v>
      </c>
    </row>
    <row r="6507" spans="6:12" ht="15" customHeight="1" thickBot="1">
      <c r="F6507" s="300" t="s">
        <v>190</v>
      </c>
      <c r="G6507" s="301" t="s">
        <v>191</v>
      </c>
      <c r="H6507" s="302"/>
      <c r="I6507" s="302"/>
      <c r="J6507" s="351"/>
      <c r="K6507" s="328">
        <v>0</v>
      </c>
      <c r="L6507" s="310">
        <f>J6507*K6507</f>
        <v>0</v>
      </c>
    </row>
    <row r="6508" spans="6:12" ht="15" customHeight="1" thickBot="1">
      <c r="F6508" s="316"/>
      <c r="G6508" s="317"/>
      <c r="H6508" s="318"/>
      <c r="I6508" s="318"/>
      <c r="J6508" s="319" t="s">
        <v>192</v>
      </c>
      <c r="K6508" s="320"/>
      <c r="L6508" s="321">
        <f>L6507</f>
        <v>0</v>
      </c>
    </row>
    <row r="6509" spans="6:12" ht="15" customHeight="1">
      <c r="F6509" s="344" t="s">
        <v>193</v>
      </c>
      <c r="G6509" s="345" t="s">
        <v>194</v>
      </c>
      <c r="H6509" s="346"/>
      <c r="I6509" s="346"/>
      <c r="J6509" s="347"/>
      <c r="K6509" s="348">
        <v>0</v>
      </c>
      <c r="L6509" s="310">
        <f>SUM(L6498:L6508)/2</f>
        <v>142885</v>
      </c>
    </row>
    <row r="6510" spans="6:12" ht="15" customHeight="1" thickBot="1">
      <c r="F6510" s="331" t="s">
        <v>195</v>
      </c>
      <c r="G6510" s="332" t="s">
        <v>196</v>
      </c>
      <c r="H6510" s="333"/>
      <c r="I6510" s="333"/>
      <c r="J6510" s="350">
        <v>0.1</v>
      </c>
      <c r="K6510" s="335"/>
      <c r="L6510" s="330">
        <f>J6510*L6509</f>
        <v>14288.5</v>
      </c>
    </row>
    <row r="6511" spans="6:12" ht="15" customHeight="1" thickBot="1">
      <c r="F6511" s="340" t="s">
        <v>197</v>
      </c>
      <c r="G6511" s="341" t="s">
        <v>198</v>
      </c>
      <c r="H6511" s="318"/>
      <c r="I6511" s="318"/>
      <c r="J6511" s="342"/>
      <c r="K6511" s="320">
        <v>0</v>
      </c>
      <c r="L6511" s="321">
        <f>ROUNDDOWN(L6509+L6510,0)</f>
        <v>157173</v>
      </c>
    </row>
    <row r="6512" spans="6:12" ht="15" customHeight="1">
      <c r="F6512" s="298"/>
      <c r="G6512" s="298"/>
      <c r="J6512" s="343"/>
    </row>
    <row r="6513" spans="5:13" ht="15" customHeight="1" thickBot="1">
      <c r="E6513" s="356" t="s">
        <v>1183</v>
      </c>
      <c r="F6513" s="295" t="s">
        <v>1184</v>
      </c>
      <c r="J6513" s="343"/>
      <c r="M6513" s="299">
        <f>L6528</f>
        <v>189348</v>
      </c>
    </row>
    <row r="6514" spans="5:13" ht="15" customHeight="1" thickBot="1">
      <c r="F6514" s="340" t="s">
        <v>136</v>
      </c>
      <c r="G6514" s="341" t="s">
        <v>162</v>
      </c>
      <c r="H6514" s="352" t="s">
        <v>163</v>
      </c>
      <c r="I6514" s="352" t="s">
        <v>138</v>
      </c>
      <c r="J6514" s="353" t="s">
        <v>164</v>
      </c>
      <c r="K6514" s="341" t="s">
        <v>165</v>
      </c>
      <c r="L6514" s="354" t="s">
        <v>166</v>
      </c>
    </row>
    <row r="6515" spans="5:13" ht="15" customHeight="1">
      <c r="F6515" s="300" t="s">
        <v>167</v>
      </c>
      <c r="G6515" s="301" t="s">
        <v>168</v>
      </c>
      <c r="H6515" s="302"/>
      <c r="I6515" s="302"/>
      <c r="J6515" s="351"/>
      <c r="K6515" s="328"/>
      <c r="L6515" s="310"/>
    </row>
    <row r="6516" spans="5:13" ht="15" customHeight="1">
      <c r="F6516" s="306"/>
      <c r="G6516" s="301" t="s">
        <v>169</v>
      </c>
      <c r="H6516" s="307" t="s">
        <v>170</v>
      </c>
      <c r="I6516" s="307" t="s">
        <v>171</v>
      </c>
      <c r="J6516" s="432">
        <v>5.0000000000000001E-3</v>
      </c>
      <c r="K6516" s="309">
        <f>VLOOKUP(G6516,Upah,8,FALSE)</f>
        <v>125000</v>
      </c>
      <c r="L6516" s="310">
        <f>J6516*K6516</f>
        <v>625</v>
      </c>
    </row>
    <row r="6517" spans="5:13" ht="15" customHeight="1">
      <c r="F6517" s="306"/>
      <c r="G6517" s="301" t="s">
        <v>413</v>
      </c>
      <c r="H6517" s="307" t="s">
        <v>173</v>
      </c>
      <c r="I6517" s="307" t="s">
        <v>171</v>
      </c>
      <c r="J6517" s="432">
        <v>0.5</v>
      </c>
      <c r="K6517" s="309">
        <f>VLOOKUP(G6517,Upah,8,FALSE)</f>
        <v>150000</v>
      </c>
      <c r="L6517" s="310">
        <f>J6517*K6517</f>
        <v>75000</v>
      </c>
    </row>
    <row r="6518" spans="5:13" ht="15" customHeight="1">
      <c r="F6518" s="306"/>
      <c r="G6518" s="301" t="s">
        <v>232</v>
      </c>
      <c r="H6518" s="307" t="s">
        <v>175</v>
      </c>
      <c r="I6518" s="307" t="s">
        <v>171</v>
      </c>
      <c r="J6518" s="432">
        <v>0.05</v>
      </c>
      <c r="K6518" s="309">
        <f>VLOOKUP(G6518,Upah,8,FALSE)</f>
        <v>165000</v>
      </c>
      <c r="L6518" s="310">
        <f>J6518*K6518</f>
        <v>8250</v>
      </c>
    </row>
    <row r="6519" spans="5:13" ht="15" customHeight="1" thickBot="1">
      <c r="F6519" s="306"/>
      <c r="G6519" s="301" t="s">
        <v>176</v>
      </c>
      <c r="H6519" s="307" t="s">
        <v>177</v>
      </c>
      <c r="I6519" s="307" t="s">
        <v>171</v>
      </c>
      <c r="J6519" s="432">
        <v>3.0000000000000001E-3</v>
      </c>
      <c r="K6519" s="309">
        <f>VLOOKUP(G6519,Upah,8,FALSE)</f>
        <v>170000</v>
      </c>
      <c r="L6519" s="310">
        <f>J6519*K6519</f>
        <v>510</v>
      </c>
    </row>
    <row r="6520" spans="5:13" ht="15" customHeight="1" thickBot="1">
      <c r="F6520" s="316"/>
      <c r="G6520" s="317"/>
      <c r="H6520" s="318"/>
      <c r="I6520" s="318"/>
      <c r="J6520" s="319" t="s">
        <v>178</v>
      </c>
      <c r="K6520" s="320"/>
      <c r="L6520" s="321">
        <f>SUM(L6516:L6519)</f>
        <v>84385</v>
      </c>
    </row>
    <row r="6521" spans="5:13" ht="15" customHeight="1">
      <c r="F6521" s="300" t="s">
        <v>179</v>
      </c>
      <c r="G6521" s="301" t="s">
        <v>180</v>
      </c>
      <c r="H6521" s="302"/>
      <c r="I6521" s="302"/>
      <c r="J6521" s="351"/>
      <c r="K6521" s="328"/>
      <c r="L6521" s="310"/>
    </row>
    <row r="6522" spans="5:13" ht="15" customHeight="1" thickBot="1">
      <c r="F6522" s="306"/>
      <c r="G6522" s="301" t="s">
        <v>1185</v>
      </c>
      <c r="H6522" s="302"/>
      <c r="I6522" s="307" t="s">
        <v>221</v>
      </c>
      <c r="J6522" s="432">
        <v>1</v>
      </c>
      <c r="K6522" s="328">
        <f>VLOOKUP(G6522,Bahan,6,FALSE)</f>
        <v>87750</v>
      </c>
      <c r="L6522" s="310">
        <f>J6522*K6522</f>
        <v>87750</v>
      </c>
    </row>
    <row r="6523" spans="5:13" ht="15" customHeight="1" thickBot="1">
      <c r="F6523" s="316"/>
      <c r="G6523" s="317"/>
      <c r="H6523" s="318"/>
      <c r="I6523" s="318"/>
      <c r="J6523" s="319" t="s">
        <v>189</v>
      </c>
      <c r="K6523" s="320"/>
      <c r="L6523" s="321">
        <f>SUM(L6521:L6522)</f>
        <v>87750</v>
      </c>
    </row>
    <row r="6524" spans="5:13" ht="15" customHeight="1" thickBot="1">
      <c r="F6524" s="300" t="s">
        <v>190</v>
      </c>
      <c r="G6524" s="301" t="s">
        <v>191</v>
      </c>
      <c r="H6524" s="302"/>
      <c r="I6524" s="302"/>
      <c r="J6524" s="351"/>
      <c r="K6524" s="328">
        <v>0</v>
      </c>
      <c r="L6524" s="310">
        <f>J6524*K6524</f>
        <v>0</v>
      </c>
    </row>
    <row r="6525" spans="5:13" ht="15" customHeight="1" thickBot="1">
      <c r="F6525" s="316"/>
      <c r="G6525" s="317"/>
      <c r="H6525" s="318"/>
      <c r="I6525" s="318"/>
      <c r="J6525" s="319" t="s">
        <v>192</v>
      </c>
      <c r="K6525" s="320"/>
      <c r="L6525" s="321">
        <f>L6524</f>
        <v>0</v>
      </c>
    </row>
    <row r="6526" spans="5:13" ht="15" customHeight="1">
      <c r="F6526" s="344" t="s">
        <v>193</v>
      </c>
      <c r="G6526" s="345" t="s">
        <v>194</v>
      </c>
      <c r="H6526" s="346"/>
      <c r="I6526" s="346"/>
      <c r="J6526" s="347"/>
      <c r="K6526" s="348">
        <v>0</v>
      </c>
      <c r="L6526" s="310">
        <f>SUM(L6515:L6525)/2</f>
        <v>172135</v>
      </c>
    </row>
    <row r="6527" spans="5:13" ht="15" customHeight="1" thickBot="1">
      <c r="F6527" s="331" t="s">
        <v>195</v>
      </c>
      <c r="G6527" s="332" t="s">
        <v>196</v>
      </c>
      <c r="H6527" s="333"/>
      <c r="I6527" s="333"/>
      <c r="J6527" s="350">
        <v>0.1</v>
      </c>
      <c r="K6527" s="335"/>
      <c r="L6527" s="330">
        <f>J6527*L6526</f>
        <v>17213.5</v>
      </c>
    </row>
    <row r="6528" spans="5:13" ht="15" customHeight="1" thickBot="1">
      <c r="F6528" s="340" t="s">
        <v>197</v>
      </c>
      <c r="G6528" s="341" t="s">
        <v>198</v>
      </c>
      <c r="H6528" s="318"/>
      <c r="I6528" s="318"/>
      <c r="J6528" s="342"/>
      <c r="K6528" s="320">
        <v>0</v>
      </c>
      <c r="L6528" s="321">
        <f>ROUNDDOWN(L6526+L6527,0)</f>
        <v>189348</v>
      </c>
    </row>
    <row r="6529" spans="5:13" ht="15" customHeight="1">
      <c r="F6529" s="298"/>
      <c r="G6529" s="298"/>
      <c r="J6529" s="343"/>
    </row>
    <row r="6530" spans="5:13" ht="15" customHeight="1" thickBot="1">
      <c r="E6530" s="356" t="s">
        <v>1186</v>
      </c>
      <c r="F6530" s="295" t="s">
        <v>1187</v>
      </c>
      <c r="J6530" s="343"/>
      <c r="M6530" s="299">
        <f>L6545</f>
        <v>53246</v>
      </c>
    </row>
    <row r="6531" spans="5:13" ht="15" customHeight="1" thickBot="1">
      <c r="F6531" s="340" t="s">
        <v>136</v>
      </c>
      <c r="G6531" s="341" t="s">
        <v>162</v>
      </c>
      <c r="H6531" s="352" t="s">
        <v>163</v>
      </c>
      <c r="I6531" s="352" t="s">
        <v>138</v>
      </c>
      <c r="J6531" s="353" t="s">
        <v>164</v>
      </c>
      <c r="K6531" s="341" t="s">
        <v>165</v>
      </c>
      <c r="L6531" s="354" t="s">
        <v>166</v>
      </c>
    </row>
    <row r="6532" spans="5:13" ht="15" customHeight="1">
      <c r="F6532" s="300" t="s">
        <v>167</v>
      </c>
      <c r="G6532" s="301" t="s">
        <v>168</v>
      </c>
      <c r="H6532" s="302"/>
      <c r="I6532" s="302"/>
      <c r="J6532" s="351"/>
      <c r="K6532" s="328"/>
      <c r="L6532" s="310"/>
    </row>
    <row r="6533" spans="5:13" ht="15" customHeight="1">
      <c r="F6533" s="306"/>
      <c r="G6533" s="301" t="s">
        <v>169</v>
      </c>
      <c r="H6533" s="307" t="s">
        <v>170</v>
      </c>
      <c r="I6533" s="307" t="s">
        <v>171</v>
      </c>
      <c r="J6533" s="432">
        <v>1.4999999999999999E-2</v>
      </c>
      <c r="K6533" s="309">
        <f>VLOOKUP(G6533,Upah,8,FALSE)</f>
        <v>125000</v>
      </c>
      <c r="L6533" s="310">
        <f>J6533*K6533</f>
        <v>1875</v>
      </c>
    </row>
    <row r="6534" spans="5:13" ht="15" customHeight="1">
      <c r="F6534" s="306"/>
      <c r="G6534" s="301" t="s">
        <v>413</v>
      </c>
      <c r="H6534" s="307" t="s">
        <v>173</v>
      </c>
      <c r="I6534" s="307" t="s">
        <v>171</v>
      </c>
      <c r="J6534" s="432">
        <v>0.15</v>
      </c>
      <c r="K6534" s="309">
        <f>VLOOKUP(G6534,Upah,8,FALSE)</f>
        <v>150000</v>
      </c>
      <c r="L6534" s="310">
        <f>J6534*K6534</f>
        <v>22500</v>
      </c>
    </row>
    <row r="6535" spans="5:13" ht="15" customHeight="1">
      <c r="F6535" s="306"/>
      <c r="G6535" s="301" t="s">
        <v>232</v>
      </c>
      <c r="H6535" s="307" t="s">
        <v>175</v>
      </c>
      <c r="I6535" s="307" t="s">
        <v>171</v>
      </c>
      <c r="J6535" s="432">
        <v>1.4999999999999999E-2</v>
      </c>
      <c r="K6535" s="309">
        <f>VLOOKUP(G6535,Upah,8,FALSE)</f>
        <v>165000</v>
      </c>
      <c r="L6535" s="310">
        <f>J6535*K6535</f>
        <v>2475</v>
      </c>
    </row>
    <row r="6536" spans="5:13" ht="15" customHeight="1" thickBot="1">
      <c r="F6536" s="306"/>
      <c r="G6536" s="301" t="s">
        <v>176</v>
      </c>
      <c r="H6536" s="307" t="s">
        <v>177</v>
      </c>
      <c r="I6536" s="307" t="s">
        <v>171</v>
      </c>
      <c r="J6536" s="432">
        <v>8.0000000000000004E-4</v>
      </c>
      <c r="K6536" s="309">
        <f>VLOOKUP(G6536,Upah,8,FALSE)</f>
        <v>170000</v>
      </c>
      <c r="L6536" s="310">
        <f>J6536*K6536</f>
        <v>136</v>
      </c>
    </row>
    <row r="6537" spans="5:13" ht="15" customHeight="1" thickBot="1">
      <c r="F6537" s="316"/>
      <c r="G6537" s="317"/>
      <c r="H6537" s="318"/>
      <c r="I6537" s="318"/>
      <c r="J6537" s="319" t="s">
        <v>178</v>
      </c>
      <c r="K6537" s="320"/>
      <c r="L6537" s="321">
        <f>SUM(L6533:L6536)</f>
        <v>26986</v>
      </c>
    </row>
    <row r="6538" spans="5:13" ht="15" customHeight="1">
      <c r="F6538" s="300" t="s">
        <v>179</v>
      </c>
      <c r="G6538" s="301" t="s">
        <v>180</v>
      </c>
      <c r="H6538" s="302"/>
      <c r="I6538" s="302"/>
      <c r="J6538" s="351"/>
      <c r="K6538" s="328"/>
      <c r="L6538" s="310"/>
    </row>
    <row r="6539" spans="5:13" ht="15" customHeight="1" thickBot="1">
      <c r="F6539" s="306"/>
      <c r="G6539" s="301" t="s">
        <v>1188</v>
      </c>
      <c r="H6539" s="302"/>
      <c r="I6539" s="307" t="s">
        <v>221</v>
      </c>
      <c r="J6539" s="432">
        <v>1</v>
      </c>
      <c r="K6539" s="328">
        <f>VLOOKUP(G6539,Bahan,6,FALSE)</f>
        <v>21420</v>
      </c>
      <c r="L6539" s="310">
        <f>J6539*K6539</f>
        <v>21420</v>
      </c>
    </row>
    <row r="6540" spans="5:13" ht="15" customHeight="1" thickBot="1">
      <c r="F6540" s="316"/>
      <c r="G6540" s="317"/>
      <c r="H6540" s="318"/>
      <c r="I6540" s="318"/>
      <c r="J6540" s="319" t="s">
        <v>189</v>
      </c>
      <c r="K6540" s="320"/>
      <c r="L6540" s="321">
        <f>SUM(L6538:L6539)</f>
        <v>21420</v>
      </c>
    </row>
    <row r="6541" spans="5:13" ht="15" customHeight="1" thickBot="1">
      <c r="F6541" s="300" t="s">
        <v>190</v>
      </c>
      <c r="G6541" s="301" t="s">
        <v>191</v>
      </c>
      <c r="H6541" s="302"/>
      <c r="I6541" s="302"/>
      <c r="J6541" s="351"/>
      <c r="K6541" s="328">
        <v>0</v>
      </c>
      <c r="L6541" s="310">
        <f>J6541*K6541</f>
        <v>0</v>
      </c>
    </row>
    <row r="6542" spans="5:13" ht="15" customHeight="1" thickBot="1">
      <c r="F6542" s="316"/>
      <c r="G6542" s="317"/>
      <c r="H6542" s="318"/>
      <c r="I6542" s="318"/>
      <c r="J6542" s="319" t="s">
        <v>192</v>
      </c>
      <c r="K6542" s="320"/>
      <c r="L6542" s="321">
        <f>L6541</f>
        <v>0</v>
      </c>
    </row>
    <row r="6543" spans="5:13" ht="15" customHeight="1">
      <c r="F6543" s="344" t="s">
        <v>193</v>
      </c>
      <c r="G6543" s="345" t="s">
        <v>194</v>
      </c>
      <c r="H6543" s="346"/>
      <c r="I6543" s="346"/>
      <c r="J6543" s="347"/>
      <c r="K6543" s="348">
        <v>0</v>
      </c>
      <c r="L6543" s="310">
        <f>SUM(L6532:L6542)/2</f>
        <v>48406</v>
      </c>
    </row>
    <row r="6544" spans="5:13" ht="15" customHeight="1" thickBot="1">
      <c r="F6544" s="331" t="s">
        <v>195</v>
      </c>
      <c r="G6544" s="332" t="s">
        <v>196</v>
      </c>
      <c r="H6544" s="333"/>
      <c r="I6544" s="333"/>
      <c r="J6544" s="350">
        <v>0.1</v>
      </c>
      <c r="K6544" s="335"/>
      <c r="L6544" s="330">
        <f>J6544*L6543</f>
        <v>4840.6000000000004</v>
      </c>
    </row>
    <row r="6545" spans="5:13" ht="15" customHeight="1" thickBot="1">
      <c r="F6545" s="340" t="s">
        <v>197</v>
      </c>
      <c r="G6545" s="341" t="s">
        <v>198</v>
      </c>
      <c r="H6545" s="318"/>
      <c r="I6545" s="318"/>
      <c r="J6545" s="342"/>
      <c r="K6545" s="320">
        <v>0</v>
      </c>
      <c r="L6545" s="321">
        <f>ROUNDDOWN(L6543+L6544,0)</f>
        <v>53246</v>
      </c>
    </row>
    <row r="6546" spans="5:13" ht="15" customHeight="1">
      <c r="F6546" s="298"/>
      <c r="G6546" s="298"/>
      <c r="J6546" s="343"/>
    </row>
    <row r="6547" spans="5:13" ht="15" customHeight="1" thickBot="1">
      <c r="E6547" s="356" t="s">
        <v>1189</v>
      </c>
      <c r="F6547" s="295" t="s">
        <v>1190</v>
      </c>
      <c r="J6547" s="343"/>
      <c r="M6547" s="299">
        <f>L6562</f>
        <v>44863</v>
      </c>
    </row>
    <row r="6548" spans="5:13" ht="15" customHeight="1" thickBot="1">
      <c r="F6548" s="340" t="s">
        <v>136</v>
      </c>
      <c r="G6548" s="341" t="s">
        <v>162</v>
      </c>
      <c r="H6548" s="352" t="s">
        <v>163</v>
      </c>
      <c r="I6548" s="352" t="s">
        <v>138</v>
      </c>
      <c r="J6548" s="353" t="s">
        <v>164</v>
      </c>
      <c r="K6548" s="341" t="s">
        <v>165</v>
      </c>
      <c r="L6548" s="354" t="s">
        <v>166</v>
      </c>
    </row>
    <row r="6549" spans="5:13" ht="15" customHeight="1">
      <c r="F6549" s="300" t="s">
        <v>167</v>
      </c>
      <c r="G6549" s="301" t="s">
        <v>168</v>
      </c>
      <c r="H6549" s="302"/>
      <c r="I6549" s="302"/>
      <c r="J6549" s="351"/>
      <c r="K6549" s="328"/>
      <c r="L6549" s="310"/>
    </row>
    <row r="6550" spans="5:13" ht="15" customHeight="1">
      <c r="F6550" s="306"/>
      <c r="G6550" s="301" t="s">
        <v>169</v>
      </c>
      <c r="H6550" s="307" t="s">
        <v>170</v>
      </c>
      <c r="I6550" s="307" t="s">
        <v>171</v>
      </c>
      <c r="J6550" s="432">
        <v>0.01</v>
      </c>
      <c r="K6550" s="309">
        <f>VLOOKUP(G6550,Upah,8,FALSE)</f>
        <v>125000</v>
      </c>
      <c r="L6550" s="310">
        <f>J6550*K6550</f>
        <v>1250</v>
      </c>
    </row>
    <row r="6551" spans="5:13" ht="15" customHeight="1">
      <c r="F6551" s="306"/>
      <c r="G6551" s="301" t="s">
        <v>413</v>
      </c>
      <c r="H6551" s="307" t="s">
        <v>173</v>
      </c>
      <c r="I6551" s="307" t="s">
        <v>171</v>
      </c>
      <c r="J6551" s="432">
        <v>0.1</v>
      </c>
      <c r="K6551" s="309">
        <f>VLOOKUP(G6551,Upah,8,FALSE)</f>
        <v>150000</v>
      </c>
      <c r="L6551" s="310">
        <f>J6551*K6551</f>
        <v>15000</v>
      </c>
    </row>
    <row r="6552" spans="5:13" ht="15" customHeight="1">
      <c r="F6552" s="306"/>
      <c r="G6552" s="301" t="s">
        <v>232</v>
      </c>
      <c r="H6552" s="307" t="s">
        <v>175</v>
      </c>
      <c r="I6552" s="307" t="s">
        <v>171</v>
      </c>
      <c r="J6552" s="432">
        <v>0.01</v>
      </c>
      <c r="K6552" s="309">
        <f>VLOOKUP(G6552,Upah,8,FALSE)</f>
        <v>165000</v>
      </c>
      <c r="L6552" s="310">
        <f>J6552*K6552</f>
        <v>1650</v>
      </c>
    </row>
    <row r="6553" spans="5:13" ht="15" customHeight="1" thickBot="1">
      <c r="F6553" s="306"/>
      <c r="G6553" s="301" t="s">
        <v>176</v>
      </c>
      <c r="H6553" s="307" t="s">
        <v>177</v>
      </c>
      <c r="I6553" s="307" t="s">
        <v>171</v>
      </c>
      <c r="J6553" s="432">
        <v>5.0000000000000001E-4</v>
      </c>
      <c r="K6553" s="309">
        <f>VLOOKUP(G6553,Upah,8,FALSE)</f>
        <v>170000</v>
      </c>
      <c r="L6553" s="310">
        <f>J6553*K6553</f>
        <v>85</v>
      </c>
    </row>
    <row r="6554" spans="5:13" ht="15" customHeight="1" thickBot="1">
      <c r="F6554" s="316"/>
      <c r="G6554" s="317"/>
      <c r="H6554" s="318"/>
      <c r="I6554" s="318"/>
      <c r="J6554" s="319" t="s">
        <v>178</v>
      </c>
      <c r="K6554" s="320"/>
      <c r="L6554" s="321">
        <f>SUM(L6550:L6553)</f>
        <v>17985</v>
      </c>
    </row>
    <row r="6555" spans="5:13" ht="15" customHeight="1">
      <c r="F6555" s="300" t="s">
        <v>179</v>
      </c>
      <c r="G6555" s="301" t="s">
        <v>180</v>
      </c>
      <c r="H6555" s="302"/>
      <c r="I6555" s="302"/>
      <c r="J6555" s="351"/>
      <c r="K6555" s="328"/>
      <c r="L6555" s="310"/>
    </row>
    <row r="6556" spans="5:13" ht="15" customHeight="1" thickBot="1">
      <c r="F6556" s="306"/>
      <c r="G6556" s="301" t="s">
        <v>1191</v>
      </c>
      <c r="H6556" s="302"/>
      <c r="I6556" s="307" t="s">
        <v>221</v>
      </c>
      <c r="J6556" s="432">
        <v>1</v>
      </c>
      <c r="K6556" s="328">
        <f>VLOOKUP(G6556,Bahan,6,FALSE)</f>
        <v>22800</v>
      </c>
      <c r="L6556" s="310">
        <f>J6556*K6556</f>
        <v>22800</v>
      </c>
    </row>
    <row r="6557" spans="5:13" ht="15" customHeight="1" thickBot="1">
      <c r="F6557" s="316"/>
      <c r="G6557" s="317"/>
      <c r="H6557" s="318"/>
      <c r="I6557" s="318"/>
      <c r="J6557" s="319" t="s">
        <v>189</v>
      </c>
      <c r="K6557" s="320"/>
      <c r="L6557" s="321">
        <f>SUM(L6555:L6556)</f>
        <v>22800</v>
      </c>
    </row>
    <row r="6558" spans="5:13" ht="15" customHeight="1" thickBot="1">
      <c r="F6558" s="300" t="s">
        <v>190</v>
      </c>
      <c r="G6558" s="301" t="s">
        <v>191</v>
      </c>
      <c r="H6558" s="302"/>
      <c r="I6558" s="302"/>
      <c r="J6558" s="351"/>
      <c r="K6558" s="328">
        <v>0</v>
      </c>
      <c r="L6558" s="310">
        <f>J6558*K6558</f>
        <v>0</v>
      </c>
    </row>
    <row r="6559" spans="5:13" ht="15" customHeight="1" thickBot="1">
      <c r="F6559" s="316"/>
      <c r="G6559" s="317"/>
      <c r="H6559" s="318"/>
      <c r="I6559" s="318"/>
      <c r="J6559" s="319" t="s">
        <v>192</v>
      </c>
      <c r="K6559" s="320"/>
      <c r="L6559" s="321">
        <f>L6558</f>
        <v>0</v>
      </c>
    </row>
    <row r="6560" spans="5:13" ht="15" customHeight="1">
      <c r="F6560" s="344" t="s">
        <v>193</v>
      </c>
      <c r="G6560" s="345" t="s">
        <v>194</v>
      </c>
      <c r="H6560" s="346"/>
      <c r="I6560" s="346"/>
      <c r="J6560" s="347"/>
      <c r="K6560" s="348">
        <v>0</v>
      </c>
      <c r="L6560" s="310">
        <f>SUM(L6549:L6559)/2</f>
        <v>40785</v>
      </c>
    </row>
    <row r="6561" spans="5:13" ht="15" customHeight="1" thickBot="1">
      <c r="F6561" s="331" t="s">
        <v>195</v>
      </c>
      <c r="G6561" s="332" t="s">
        <v>196</v>
      </c>
      <c r="H6561" s="333"/>
      <c r="I6561" s="333"/>
      <c r="J6561" s="350">
        <v>0.1</v>
      </c>
      <c r="K6561" s="335"/>
      <c r="L6561" s="330">
        <f>J6561*L6560</f>
        <v>4078.5</v>
      </c>
    </row>
    <row r="6562" spans="5:13" ht="15" customHeight="1" thickBot="1">
      <c r="F6562" s="340" t="s">
        <v>197</v>
      </c>
      <c r="G6562" s="341" t="s">
        <v>198</v>
      </c>
      <c r="H6562" s="318"/>
      <c r="I6562" s="318"/>
      <c r="J6562" s="342"/>
      <c r="K6562" s="320">
        <v>0</v>
      </c>
      <c r="L6562" s="321">
        <f>ROUNDDOWN(L6560+L6561,0)</f>
        <v>44863</v>
      </c>
    </row>
    <row r="6563" spans="5:13" ht="15" customHeight="1">
      <c r="F6563" s="298"/>
      <c r="G6563" s="298"/>
      <c r="J6563" s="343"/>
    </row>
    <row r="6564" spans="5:13" ht="15" customHeight="1" thickBot="1">
      <c r="E6564" s="356" t="s">
        <v>1192</v>
      </c>
      <c r="F6564" s="295" t="s">
        <v>1193</v>
      </c>
      <c r="J6564" s="343"/>
      <c r="M6564" s="299">
        <f>L6580</f>
        <v>61033</v>
      </c>
    </row>
    <row r="6565" spans="5:13" ht="15" customHeight="1" thickBot="1">
      <c r="F6565" s="340" t="s">
        <v>136</v>
      </c>
      <c r="G6565" s="341" t="s">
        <v>162</v>
      </c>
      <c r="H6565" s="352" t="s">
        <v>163</v>
      </c>
      <c r="I6565" s="352" t="s">
        <v>138</v>
      </c>
      <c r="J6565" s="353" t="s">
        <v>164</v>
      </c>
      <c r="K6565" s="341" t="s">
        <v>165</v>
      </c>
      <c r="L6565" s="354" t="s">
        <v>166</v>
      </c>
    </row>
    <row r="6566" spans="5:13" ht="15" customHeight="1">
      <c r="F6566" s="300" t="s">
        <v>167</v>
      </c>
      <c r="G6566" s="301" t="s">
        <v>168</v>
      </c>
      <c r="H6566" s="302"/>
      <c r="I6566" s="302"/>
      <c r="J6566" s="351"/>
      <c r="K6566" s="328"/>
      <c r="L6566" s="310"/>
    </row>
    <row r="6567" spans="5:13" ht="15" customHeight="1">
      <c r="F6567" s="300" t="s">
        <v>167</v>
      </c>
      <c r="G6567" s="301" t="s">
        <v>168</v>
      </c>
      <c r="H6567" s="302"/>
      <c r="I6567" s="302"/>
      <c r="J6567" s="351"/>
      <c r="K6567" s="328">
        <v>0</v>
      </c>
      <c r="L6567" s="310">
        <f>J6567*K6567</f>
        <v>0</v>
      </c>
    </row>
    <row r="6568" spans="5:13" ht="15" customHeight="1">
      <c r="F6568" s="306"/>
      <c r="G6568" s="301" t="s">
        <v>169</v>
      </c>
      <c r="H6568" s="307" t="s">
        <v>170</v>
      </c>
      <c r="I6568" s="307" t="s">
        <v>171</v>
      </c>
      <c r="J6568" s="432">
        <v>0.1</v>
      </c>
      <c r="K6568" s="309">
        <f>VLOOKUP(G6568,Upah,8,FALSE)</f>
        <v>125000</v>
      </c>
      <c r="L6568" s="310">
        <f>J6568*K6568</f>
        <v>12500</v>
      </c>
    </row>
    <row r="6569" spans="5:13" ht="15" customHeight="1">
      <c r="F6569" s="306"/>
      <c r="G6569" s="301" t="s">
        <v>413</v>
      </c>
      <c r="H6569" s="307" t="s">
        <v>173</v>
      </c>
      <c r="I6569" s="307" t="s">
        <v>171</v>
      </c>
      <c r="J6569" s="432">
        <v>0.2</v>
      </c>
      <c r="K6569" s="309">
        <f>VLOOKUP(G6569,Upah,8,FALSE)</f>
        <v>150000</v>
      </c>
      <c r="L6569" s="310">
        <f>J6569*K6569</f>
        <v>30000</v>
      </c>
    </row>
    <row r="6570" spans="5:13" ht="15" customHeight="1">
      <c r="F6570" s="306"/>
      <c r="G6570" s="301" t="s">
        <v>232</v>
      </c>
      <c r="H6570" s="307" t="s">
        <v>175</v>
      </c>
      <c r="I6570" s="307" t="s">
        <v>171</v>
      </c>
      <c r="J6570" s="432">
        <v>0.02</v>
      </c>
      <c r="K6570" s="309">
        <f>VLOOKUP(G6570,Upah,8,FALSE)</f>
        <v>165000</v>
      </c>
      <c r="L6570" s="310">
        <f>J6570*K6570</f>
        <v>3300</v>
      </c>
    </row>
    <row r="6571" spans="5:13" ht="15" customHeight="1" thickBot="1">
      <c r="F6571" s="306"/>
      <c r="G6571" s="301" t="s">
        <v>176</v>
      </c>
      <c r="H6571" s="307" t="s">
        <v>177</v>
      </c>
      <c r="I6571" s="307" t="s">
        <v>171</v>
      </c>
      <c r="J6571" s="432">
        <v>5.0000000000000001E-4</v>
      </c>
      <c r="K6571" s="309">
        <f>VLOOKUP(G6571,Upah,8,FALSE)</f>
        <v>170000</v>
      </c>
      <c r="L6571" s="310">
        <f>J6571*K6571</f>
        <v>85</v>
      </c>
    </row>
    <row r="6572" spans="5:13" ht="15" customHeight="1" thickBot="1">
      <c r="F6572" s="316"/>
      <c r="G6572" s="317"/>
      <c r="H6572" s="318"/>
      <c r="I6572" s="318"/>
      <c r="J6572" s="319" t="s">
        <v>178</v>
      </c>
      <c r="K6572" s="320"/>
      <c r="L6572" s="321">
        <f>SUM(L6568:L6571)</f>
        <v>45885</v>
      </c>
    </row>
    <row r="6573" spans="5:13" ht="15" customHeight="1">
      <c r="F6573" s="300" t="s">
        <v>179</v>
      </c>
      <c r="G6573" s="301" t="s">
        <v>180</v>
      </c>
      <c r="H6573" s="302"/>
      <c r="I6573" s="302"/>
      <c r="J6573" s="351"/>
      <c r="K6573" s="328"/>
      <c r="L6573" s="310"/>
    </row>
    <row r="6574" spans="5:13" ht="15" customHeight="1" thickBot="1">
      <c r="F6574" s="306"/>
      <c r="G6574" s="301" t="s">
        <v>1194</v>
      </c>
      <c r="H6574" s="302"/>
      <c r="I6574" s="307" t="s">
        <v>221</v>
      </c>
      <c r="J6574" s="432">
        <v>1</v>
      </c>
      <c r="K6574" s="328">
        <f>VLOOKUP(G6574,Bahan,6,FALSE)</f>
        <v>9600</v>
      </c>
      <c r="L6574" s="310">
        <f>J6574*K6574</f>
        <v>9600</v>
      </c>
    </row>
    <row r="6575" spans="5:13" ht="15" customHeight="1" thickBot="1">
      <c r="F6575" s="316"/>
      <c r="G6575" s="317"/>
      <c r="H6575" s="318"/>
      <c r="I6575" s="318"/>
      <c r="J6575" s="319" t="s">
        <v>189</v>
      </c>
      <c r="K6575" s="320"/>
      <c r="L6575" s="321">
        <f>SUM(L6573:L6574)</f>
        <v>9600</v>
      </c>
    </row>
    <row r="6576" spans="5:13" ht="15" customHeight="1" thickBot="1">
      <c r="F6576" s="300" t="s">
        <v>190</v>
      </c>
      <c r="G6576" s="301" t="s">
        <v>191</v>
      </c>
      <c r="H6576" s="302"/>
      <c r="I6576" s="302"/>
      <c r="J6576" s="351"/>
      <c r="K6576" s="328">
        <v>0</v>
      </c>
      <c r="L6576" s="310">
        <f>J6576*K6576</f>
        <v>0</v>
      </c>
    </row>
    <row r="6577" spans="5:13" ht="15" customHeight="1" thickBot="1">
      <c r="F6577" s="316"/>
      <c r="G6577" s="317"/>
      <c r="H6577" s="318"/>
      <c r="I6577" s="318"/>
      <c r="J6577" s="319" t="s">
        <v>192</v>
      </c>
      <c r="K6577" s="320"/>
      <c r="L6577" s="321">
        <f>L6576</f>
        <v>0</v>
      </c>
    </row>
    <row r="6578" spans="5:13" ht="15" customHeight="1">
      <c r="F6578" s="344" t="s">
        <v>193</v>
      </c>
      <c r="G6578" s="345" t="s">
        <v>194</v>
      </c>
      <c r="H6578" s="346"/>
      <c r="I6578" s="346"/>
      <c r="J6578" s="347"/>
      <c r="K6578" s="348">
        <v>0</v>
      </c>
      <c r="L6578" s="310">
        <f>SUM(L6567:L6577)/2</f>
        <v>55485</v>
      </c>
    </row>
    <row r="6579" spans="5:13" ht="15" customHeight="1" thickBot="1">
      <c r="F6579" s="331" t="s">
        <v>195</v>
      </c>
      <c r="G6579" s="332" t="s">
        <v>196</v>
      </c>
      <c r="H6579" s="333"/>
      <c r="I6579" s="333"/>
      <c r="J6579" s="350">
        <v>0.1</v>
      </c>
      <c r="K6579" s="335"/>
      <c r="L6579" s="330">
        <f>J6579*L6578</f>
        <v>5548.5</v>
      </c>
    </row>
    <row r="6580" spans="5:13" ht="15" customHeight="1" thickBot="1">
      <c r="F6580" s="340" t="s">
        <v>197</v>
      </c>
      <c r="G6580" s="341" t="s">
        <v>198</v>
      </c>
      <c r="H6580" s="318"/>
      <c r="I6580" s="318"/>
      <c r="J6580" s="342"/>
      <c r="K6580" s="320">
        <v>0</v>
      </c>
      <c r="L6580" s="321">
        <f>ROUNDDOWN(L6578+L6579,0)</f>
        <v>61033</v>
      </c>
    </row>
    <row r="6581" spans="5:13" ht="15" customHeight="1">
      <c r="F6581" s="298"/>
      <c r="G6581" s="298"/>
      <c r="J6581" s="343"/>
    </row>
    <row r="6582" spans="5:13" ht="15" customHeight="1" thickBot="1">
      <c r="E6582" s="356" t="s">
        <v>1195</v>
      </c>
      <c r="F6582" s="295" t="s">
        <v>1196</v>
      </c>
      <c r="J6582" s="343"/>
      <c r="M6582" s="299">
        <f>L6598</f>
        <v>40766</v>
      </c>
    </row>
    <row r="6583" spans="5:13" ht="15" customHeight="1" thickBot="1">
      <c r="F6583" s="340" t="s">
        <v>136</v>
      </c>
      <c r="G6583" s="341" t="s">
        <v>162</v>
      </c>
      <c r="H6583" s="352" t="s">
        <v>163</v>
      </c>
      <c r="I6583" s="352" t="s">
        <v>138</v>
      </c>
      <c r="J6583" s="353" t="s">
        <v>164</v>
      </c>
      <c r="K6583" s="341" t="s">
        <v>165</v>
      </c>
      <c r="L6583" s="354" t="s">
        <v>166</v>
      </c>
    </row>
    <row r="6584" spans="5:13" ht="15" customHeight="1">
      <c r="F6584" s="300" t="s">
        <v>167</v>
      </c>
      <c r="G6584" s="301" t="s">
        <v>168</v>
      </c>
      <c r="H6584" s="302"/>
      <c r="I6584" s="302"/>
      <c r="J6584" s="351"/>
      <c r="K6584" s="328"/>
      <c r="L6584" s="310"/>
    </row>
    <row r="6585" spans="5:13" ht="15" customHeight="1">
      <c r="F6585" s="300" t="s">
        <v>167</v>
      </c>
      <c r="G6585" s="301" t="s">
        <v>168</v>
      </c>
      <c r="H6585" s="302"/>
      <c r="I6585" s="302"/>
      <c r="J6585" s="351"/>
      <c r="K6585" s="328">
        <v>0</v>
      </c>
      <c r="L6585" s="310">
        <f>J6585*K6585</f>
        <v>0</v>
      </c>
    </row>
    <row r="6586" spans="5:13" ht="15" customHeight="1">
      <c r="F6586" s="306"/>
      <c r="G6586" s="301" t="s">
        <v>169</v>
      </c>
      <c r="H6586" s="307" t="s">
        <v>170</v>
      </c>
      <c r="I6586" s="307" t="s">
        <v>171</v>
      </c>
      <c r="J6586" s="432">
        <v>1.4999999999999999E-2</v>
      </c>
      <c r="K6586" s="309">
        <f>VLOOKUP(G6586,Upah,8,FALSE)</f>
        <v>125000</v>
      </c>
      <c r="L6586" s="310">
        <f>J6586*K6586</f>
        <v>1875</v>
      </c>
    </row>
    <row r="6587" spans="5:13" ht="15" customHeight="1">
      <c r="F6587" s="306"/>
      <c r="G6587" s="301" t="s">
        <v>413</v>
      </c>
      <c r="H6587" s="307" t="s">
        <v>173</v>
      </c>
      <c r="I6587" s="307" t="s">
        <v>171</v>
      </c>
      <c r="J6587" s="432">
        <v>0.15</v>
      </c>
      <c r="K6587" s="309">
        <f>VLOOKUP(G6587,Upah,8,FALSE)</f>
        <v>150000</v>
      </c>
      <c r="L6587" s="310">
        <f>J6587*K6587</f>
        <v>22500</v>
      </c>
    </row>
    <row r="6588" spans="5:13" ht="15" customHeight="1">
      <c r="F6588" s="306"/>
      <c r="G6588" s="301" t="s">
        <v>232</v>
      </c>
      <c r="H6588" s="307" t="s">
        <v>175</v>
      </c>
      <c r="I6588" s="307" t="s">
        <v>171</v>
      </c>
      <c r="J6588" s="432">
        <v>1.4999999999999999E-2</v>
      </c>
      <c r="K6588" s="309">
        <f>VLOOKUP(G6588,Upah,8,FALSE)</f>
        <v>165000</v>
      </c>
      <c r="L6588" s="310">
        <f>J6588*K6588</f>
        <v>2475</v>
      </c>
    </row>
    <row r="6589" spans="5:13" ht="15" customHeight="1" thickBot="1">
      <c r="F6589" s="306"/>
      <c r="G6589" s="301" t="s">
        <v>176</v>
      </c>
      <c r="H6589" s="307" t="s">
        <v>177</v>
      </c>
      <c r="I6589" s="307" t="s">
        <v>171</v>
      </c>
      <c r="J6589" s="432">
        <v>8.0000000000000002E-3</v>
      </c>
      <c r="K6589" s="309">
        <f>VLOOKUP(G6589,Upah,8,FALSE)</f>
        <v>170000</v>
      </c>
      <c r="L6589" s="310">
        <f>J6589*K6589</f>
        <v>1360</v>
      </c>
    </row>
    <row r="6590" spans="5:13" ht="15" customHeight="1" thickBot="1">
      <c r="F6590" s="316"/>
      <c r="G6590" s="317"/>
      <c r="H6590" s="318"/>
      <c r="I6590" s="318"/>
      <c r="J6590" s="319" t="s">
        <v>178</v>
      </c>
      <c r="K6590" s="320"/>
      <c r="L6590" s="321">
        <f>SUM(L6586:L6589)</f>
        <v>28210</v>
      </c>
    </row>
    <row r="6591" spans="5:13" ht="15" customHeight="1">
      <c r="F6591" s="300" t="s">
        <v>179</v>
      </c>
      <c r="G6591" s="301" t="s">
        <v>180</v>
      </c>
      <c r="H6591" s="302"/>
      <c r="I6591" s="302"/>
      <c r="J6591" s="351"/>
      <c r="K6591" s="328"/>
      <c r="L6591" s="310"/>
    </row>
    <row r="6592" spans="5:13" ht="15" customHeight="1" thickBot="1">
      <c r="F6592" s="306"/>
      <c r="G6592" s="301" t="s">
        <v>1197</v>
      </c>
      <c r="H6592" s="302"/>
      <c r="I6592" s="307" t="s">
        <v>221</v>
      </c>
      <c r="J6592" s="432">
        <v>1</v>
      </c>
      <c r="K6592" s="328">
        <f>VLOOKUP(G6592,Bahan,6,FALSE)</f>
        <v>8850</v>
      </c>
      <c r="L6592" s="310">
        <f>J6592*K6592</f>
        <v>8850</v>
      </c>
    </row>
    <row r="6593" spans="5:13" ht="15" customHeight="1" thickBot="1">
      <c r="F6593" s="316"/>
      <c r="G6593" s="317"/>
      <c r="H6593" s="318"/>
      <c r="I6593" s="318"/>
      <c r="J6593" s="319" t="s">
        <v>189</v>
      </c>
      <c r="K6593" s="320"/>
      <c r="L6593" s="321">
        <f>SUM(L6591:L6592)</f>
        <v>8850</v>
      </c>
    </row>
    <row r="6594" spans="5:13" ht="15" customHeight="1" thickBot="1">
      <c r="F6594" s="300" t="s">
        <v>190</v>
      </c>
      <c r="G6594" s="301" t="s">
        <v>191</v>
      </c>
      <c r="H6594" s="302"/>
      <c r="I6594" s="302"/>
      <c r="J6594" s="351"/>
      <c r="K6594" s="328">
        <v>0</v>
      </c>
      <c r="L6594" s="310">
        <f>J6594*K6594</f>
        <v>0</v>
      </c>
    </row>
    <row r="6595" spans="5:13" ht="15" customHeight="1" thickBot="1">
      <c r="F6595" s="316"/>
      <c r="G6595" s="317"/>
      <c r="H6595" s="318"/>
      <c r="I6595" s="318"/>
      <c r="J6595" s="319" t="s">
        <v>192</v>
      </c>
      <c r="K6595" s="320"/>
      <c r="L6595" s="321">
        <f>L6594</f>
        <v>0</v>
      </c>
    </row>
    <row r="6596" spans="5:13" ht="15" customHeight="1">
      <c r="F6596" s="344" t="s">
        <v>193</v>
      </c>
      <c r="G6596" s="345" t="s">
        <v>194</v>
      </c>
      <c r="H6596" s="346"/>
      <c r="I6596" s="346"/>
      <c r="J6596" s="347"/>
      <c r="K6596" s="348">
        <v>0</v>
      </c>
      <c r="L6596" s="310">
        <f>SUM(L6585:L6595)/2</f>
        <v>37060</v>
      </c>
    </row>
    <row r="6597" spans="5:13" ht="15" customHeight="1" thickBot="1">
      <c r="F6597" s="331" t="s">
        <v>195</v>
      </c>
      <c r="G6597" s="332" t="s">
        <v>196</v>
      </c>
      <c r="H6597" s="333"/>
      <c r="I6597" s="333"/>
      <c r="J6597" s="350">
        <v>0.1</v>
      </c>
      <c r="K6597" s="335"/>
      <c r="L6597" s="330">
        <f>J6597*L6596</f>
        <v>3706</v>
      </c>
    </row>
    <row r="6598" spans="5:13" ht="15" customHeight="1" thickBot="1">
      <c r="F6598" s="340" t="s">
        <v>197</v>
      </c>
      <c r="G6598" s="341" t="s">
        <v>198</v>
      </c>
      <c r="H6598" s="318"/>
      <c r="I6598" s="318"/>
      <c r="J6598" s="342"/>
      <c r="K6598" s="320">
        <v>0</v>
      </c>
      <c r="L6598" s="321">
        <f>ROUNDDOWN(L6596+L6597,0)</f>
        <v>40766</v>
      </c>
    </row>
    <row r="6599" spans="5:13" ht="15" customHeight="1">
      <c r="F6599" s="298"/>
      <c r="G6599" s="298"/>
      <c r="J6599" s="343"/>
    </row>
    <row r="6600" spans="5:13" ht="15" customHeight="1" thickBot="1">
      <c r="E6600" s="356" t="s">
        <v>1198</v>
      </c>
      <c r="F6600" s="295" t="s">
        <v>1199</v>
      </c>
      <c r="J6600" s="343"/>
      <c r="M6600" s="299">
        <f>L6615</f>
        <v>38291</v>
      </c>
    </row>
    <row r="6601" spans="5:13" ht="15" customHeight="1" thickBot="1">
      <c r="F6601" s="340" t="s">
        <v>136</v>
      </c>
      <c r="G6601" s="341" t="s">
        <v>162</v>
      </c>
      <c r="H6601" s="352" t="s">
        <v>163</v>
      </c>
      <c r="I6601" s="352" t="s">
        <v>138</v>
      </c>
      <c r="J6601" s="353" t="s">
        <v>164</v>
      </c>
      <c r="K6601" s="341" t="s">
        <v>165</v>
      </c>
      <c r="L6601" s="354" t="s">
        <v>166</v>
      </c>
    </row>
    <row r="6602" spans="5:13" ht="15" customHeight="1">
      <c r="F6602" s="300" t="s">
        <v>167</v>
      </c>
      <c r="G6602" s="301" t="s">
        <v>168</v>
      </c>
      <c r="H6602" s="302"/>
      <c r="I6602" s="302"/>
      <c r="J6602" s="351"/>
      <c r="K6602" s="328"/>
      <c r="L6602" s="310"/>
    </row>
    <row r="6603" spans="5:13" ht="15" customHeight="1">
      <c r="F6603" s="306"/>
      <c r="G6603" s="301" t="s">
        <v>169</v>
      </c>
      <c r="H6603" s="307" t="s">
        <v>170</v>
      </c>
      <c r="I6603" s="307" t="s">
        <v>171</v>
      </c>
      <c r="J6603" s="432">
        <v>1.4999999999999999E-2</v>
      </c>
      <c r="K6603" s="309">
        <f>VLOOKUP(G6603,Upah,8,FALSE)</f>
        <v>125000</v>
      </c>
      <c r="L6603" s="310">
        <f>J6603*K6603</f>
        <v>1875</v>
      </c>
    </row>
    <row r="6604" spans="5:13" ht="15" customHeight="1">
      <c r="F6604" s="306"/>
      <c r="G6604" s="301" t="s">
        <v>413</v>
      </c>
      <c r="H6604" s="307" t="s">
        <v>173</v>
      </c>
      <c r="I6604" s="307" t="s">
        <v>171</v>
      </c>
      <c r="J6604" s="432">
        <v>0.15</v>
      </c>
      <c r="K6604" s="309">
        <f>VLOOKUP(G6604,Upah,8,FALSE)</f>
        <v>150000</v>
      </c>
      <c r="L6604" s="310">
        <f>J6604*K6604</f>
        <v>22500</v>
      </c>
    </row>
    <row r="6605" spans="5:13" ht="15" customHeight="1">
      <c r="F6605" s="306"/>
      <c r="G6605" s="301" t="s">
        <v>232</v>
      </c>
      <c r="H6605" s="307" t="s">
        <v>175</v>
      </c>
      <c r="I6605" s="307" t="s">
        <v>171</v>
      </c>
      <c r="J6605" s="432">
        <v>1.4999999999999999E-2</v>
      </c>
      <c r="K6605" s="309">
        <f>VLOOKUP(G6605,Upah,8,FALSE)</f>
        <v>165000</v>
      </c>
      <c r="L6605" s="310">
        <f>J6605*K6605</f>
        <v>2475</v>
      </c>
    </row>
    <row r="6606" spans="5:13" ht="15" customHeight="1" thickBot="1">
      <c r="F6606" s="306"/>
      <c r="G6606" s="301" t="s">
        <v>176</v>
      </c>
      <c r="H6606" s="307" t="s">
        <v>177</v>
      </c>
      <c r="I6606" s="307" t="s">
        <v>171</v>
      </c>
      <c r="J6606" s="432">
        <v>8.0000000000000002E-3</v>
      </c>
      <c r="K6606" s="309">
        <f>VLOOKUP(G6606,Upah,8,FALSE)</f>
        <v>170000</v>
      </c>
      <c r="L6606" s="310">
        <f>J6606*K6606</f>
        <v>1360</v>
      </c>
    </row>
    <row r="6607" spans="5:13" ht="15" customHeight="1" thickBot="1">
      <c r="F6607" s="316"/>
      <c r="G6607" s="317"/>
      <c r="H6607" s="318"/>
      <c r="I6607" s="318"/>
      <c r="J6607" s="319" t="s">
        <v>178</v>
      </c>
      <c r="K6607" s="320"/>
      <c r="L6607" s="321">
        <f>SUM(L6603:L6606)</f>
        <v>28210</v>
      </c>
    </row>
    <row r="6608" spans="5:13" ht="15" customHeight="1">
      <c r="F6608" s="300" t="s">
        <v>179</v>
      </c>
      <c r="G6608" s="301" t="s">
        <v>180</v>
      </c>
      <c r="H6608" s="302"/>
      <c r="I6608" s="302"/>
      <c r="J6608" s="351"/>
      <c r="K6608" s="328"/>
      <c r="L6608" s="310"/>
    </row>
    <row r="6609" spans="5:13" ht="15" customHeight="1" thickBot="1">
      <c r="F6609" s="306"/>
      <c r="G6609" s="301" t="s">
        <v>1200</v>
      </c>
      <c r="H6609" s="302"/>
      <c r="I6609" s="307" t="s">
        <v>221</v>
      </c>
      <c r="J6609" s="432">
        <v>1</v>
      </c>
      <c r="K6609" s="328">
        <f>VLOOKUP(G6609,Bahan,6,FALSE)</f>
        <v>6600</v>
      </c>
      <c r="L6609" s="310">
        <f>J6609*K6609</f>
        <v>6600</v>
      </c>
    </row>
    <row r="6610" spans="5:13" ht="15" customHeight="1" thickBot="1">
      <c r="F6610" s="316"/>
      <c r="G6610" s="317"/>
      <c r="H6610" s="318"/>
      <c r="I6610" s="318"/>
      <c r="J6610" s="319" t="s">
        <v>189</v>
      </c>
      <c r="K6610" s="320"/>
      <c r="L6610" s="321">
        <f>SUM(L6608:L6609)</f>
        <v>6600</v>
      </c>
    </row>
    <row r="6611" spans="5:13" ht="15" customHeight="1" thickBot="1">
      <c r="F6611" s="300" t="s">
        <v>190</v>
      </c>
      <c r="G6611" s="301" t="s">
        <v>191</v>
      </c>
      <c r="H6611" s="302"/>
      <c r="I6611" s="302"/>
      <c r="J6611" s="351"/>
      <c r="K6611" s="328">
        <v>0</v>
      </c>
      <c r="L6611" s="310">
        <f>J6611*K6611</f>
        <v>0</v>
      </c>
    </row>
    <row r="6612" spans="5:13" ht="15" customHeight="1" thickBot="1">
      <c r="F6612" s="316"/>
      <c r="G6612" s="317"/>
      <c r="H6612" s="318"/>
      <c r="I6612" s="318"/>
      <c r="J6612" s="319" t="s">
        <v>192</v>
      </c>
      <c r="K6612" s="320"/>
      <c r="L6612" s="321">
        <f>L6611</f>
        <v>0</v>
      </c>
    </row>
    <row r="6613" spans="5:13" ht="15" customHeight="1">
      <c r="F6613" s="344" t="s">
        <v>193</v>
      </c>
      <c r="G6613" s="345" t="s">
        <v>194</v>
      </c>
      <c r="H6613" s="346"/>
      <c r="I6613" s="346"/>
      <c r="J6613" s="347"/>
      <c r="K6613" s="348">
        <v>0</v>
      </c>
      <c r="L6613" s="310">
        <f>SUM(L6602:L6612)/2</f>
        <v>34810</v>
      </c>
    </row>
    <row r="6614" spans="5:13" ht="15" customHeight="1" thickBot="1">
      <c r="F6614" s="331" t="s">
        <v>195</v>
      </c>
      <c r="G6614" s="332" t="s">
        <v>196</v>
      </c>
      <c r="H6614" s="333"/>
      <c r="I6614" s="333"/>
      <c r="J6614" s="350">
        <v>0.1</v>
      </c>
      <c r="K6614" s="335"/>
      <c r="L6614" s="330">
        <f>J6614*L6613</f>
        <v>3481</v>
      </c>
    </row>
    <row r="6615" spans="5:13" ht="15" customHeight="1" thickBot="1">
      <c r="F6615" s="340" t="s">
        <v>197</v>
      </c>
      <c r="G6615" s="341" t="s">
        <v>198</v>
      </c>
      <c r="H6615" s="318"/>
      <c r="I6615" s="318"/>
      <c r="J6615" s="342"/>
      <c r="K6615" s="320">
        <v>0</v>
      </c>
      <c r="L6615" s="321">
        <f>ROUNDDOWN(L6613+L6614,0)</f>
        <v>38291</v>
      </c>
    </row>
    <row r="6616" spans="5:13" ht="15" customHeight="1">
      <c r="F6616" s="298"/>
      <c r="G6616" s="298"/>
      <c r="J6616" s="343"/>
    </row>
    <row r="6617" spans="5:13" ht="15" customHeight="1" thickBot="1">
      <c r="E6617" s="356" t="s">
        <v>1201</v>
      </c>
      <c r="F6617" s="295" t="s">
        <v>1202</v>
      </c>
      <c r="J6617" s="343"/>
      <c r="M6617" s="299">
        <f>L6632</f>
        <v>434511</v>
      </c>
    </row>
    <row r="6618" spans="5:13" ht="15" customHeight="1" thickBot="1">
      <c r="F6618" s="340" t="s">
        <v>136</v>
      </c>
      <c r="G6618" s="341" t="s">
        <v>162</v>
      </c>
      <c r="H6618" s="352" t="s">
        <v>163</v>
      </c>
      <c r="I6618" s="352" t="s">
        <v>138</v>
      </c>
      <c r="J6618" s="353" t="s">
        <v>164</v>
      </c>
      <c r="K6618" s="341" t="s">
        <v>165</v>
      </c>
      <c r="L6618" s="354" t="s">
        <v>166</v>
      </c>
    </row>
    <row r="6619" spans="5:13" ht="15" customHeight="1">
      <c r="F6619" s="300" t="s">
        <v>167</v>
      </c>
      <c r="G6619" s="301" t="s">
        <v>168</v>
      </c>
      <c r="H6619" s="302"/>
      <c r="I6619" s="302"/>
      <c r="J6619" s="351"/>
      <c r="K6619" s="328"/>
      <c r="L6619" s="310"/>
    </row>
    <row r="6620" spans="5:13" ht="15" customHeight="1">
      <c r="F6620" s="306"/>
      <c r="G6620" s="301" t="s">
        <v>169</v>
      </c>
      <c r="H6620" s="307" t="s">
        <v>170</v>
      </c>
      <c r="I6620" s="307" t="s">
        <v>171</v>
      </c>
      <c r="J6620" s="432">
        <v>0.05</v>
      </c>
      <c r="K6620" s="309">
        <f>VLOOKUP(G6620,Upah,8,FALSE)</f>
        <v>125000</v>
      </c>
      <c r="L6620" s="310">
        <f>J6620*K6620</f>
        <v>6250</v>
      </c>
    </row>
    <row r="6621" spans="5:13" ht="15" customHeight="1">
      <c r="F6621" s="306"/>
      <c r="G6621" s="301" t="s">
        <v>413</v>
      </c>
      <c r="H6621" s="307" t="s">
        <v>173</v>
      </c>
      <c r="I6621" s="307" t="s">
        <v>171</v>
      </c>
      <c r="J6621" s="432">
        <v>0.5</v>
      </c>
      <c r="K6621" s="309">
        <f>VLOOKUP(G6621,Upah,8,FALSE)</f>
        <v>150000</v>
      </c>
      <c r="L6621" s="310">
        <f>J6621*K6621</f>
        <v>75000</v>
      </c>
    </row>
    <row r="6622" spans="5:13" ht="15" customHeight="1">
      <c r="F6622" s="306"/>
      <c r="G6622" s="301" t="s">
        <v>232</v>
      </c>
      <c r="H6622" s="307" t="s">
        <v>175</v>
      </c>
      <c r="I6622" s="307" t="s">
        <v>171</v>
      </c>
      <c r="J6622" s="432">
        <v>0.05</v>
      </c>
      <c r="K6622" s="309">
        <f>VLOOKUP(G6622,Upah,8,FALSE)</f>
        <v>165000</v>
      </c>
      <c r="L6622" s="310">
        <f>J6622*K6622</f>
        <v>8250</v>
      </c>
    </row>
    <row r="6623" spans="5:13" ht="15" customHeight="1" thickBot="1">
      <c r="F6623" s="306"/>
      <c r="G6623" s="301" t="s">
        <v>176</v>
      </c>
      <c r="H6623" s="307" t="s">
        <v>177</v>
      </c>
      <c r="I6623" s="307" t="s">
        <v>171</v>
      </c>
      <c r="J6623" s="432">
        <v>3.0000000000000001E-3</v>
      </c>
      <c r="K6623" s="309">
        <f>VLOOKUP(G6623,Upah,8,FALSE)</f>
        <v>170000</v>
      </c>
      <c r="L6623" s="310">
        <f>J6623*K6623</f>
        <v>510</v>
      </c>
    </row>
    <row r="6624" spans="5:13" ht="15" customHeight="1" thickBot="1">
      <c r="F6624" s="316"/>
      <c r="G6624" s="317"/>
      <c r="H6624" s="318"/>
      <c r="I6624" s="318"/>
      <c r="J6624" s="319" t="s">
        <v>178</v>
      </c>
      <c r="K6624" s="320"/>
      <c r="L6624" s="321">
        <f>SUM(L6620:L6623)</f>
        <v>90010</v>
      </c>
    </row>
    <row r="6625" spans="5:13" ht="15" customHeight="1">
      <c r="F6625" s="300" t="s">
        <v>179</v>
      </c>
      <c r="G6625" s="301" t="s">
        <v>180</v>
      </c>
      <c r="H6625" s="302"/>
      <c r="I6625" s="302"/>
      <c r="J6625" s="351"/>
      <c r="K6625" s="328"/>
      <c r="L6625" s="310"/>
    </row>
    <row r="6626" spans="5:13" ht="15" customHeight="1" thickBot="1">
      <c r="F6626" s="306"/>
      <c r="G6626" s="301" t="s">
        <v>1203</v>
      </c>
      <c r="H6626" s="302"/>
      <c r="I6626" s="307" t="s">
        <v>1204</v>
      </c>
      <c r="J6626" s="432">
        <v>1</v>
      </c>
      <c r="K6626" s="328">
        <f>VLOOKUP(G6626,Bahan,6,FALSE)</f>
        <v>305000</v>
      </c>
      <c r="L6626" s="310">
        <f>J6626*K6626</f>
        <v>305000</v>
      </c>
    </row>
    <row r="6627" spans="5:13" ht="15" customHeight="1" thickBot="1">
      <c r="F6627" s="316"/>
      <c r="G6627" s="317"/>
      <c r="H6627" s="318"/>
      <c r="I6627" s="318"/>
      <c r="J6627" s="319" t="s">
        <v>189</v>
      </c>
      <c r="K6627" s="320"/>
      <c r="L6627" s="321">
        <f>SUM(L6625:L6626)</f>
        <v>305000</v>
      </c>
    </row>
    <row r="6628" spans="5:13" ht="15" customHeight="1" thickBot="1">
      <c r="F6628" s="300" t="s">
        <v>190</v>
      </c>
      <c r="G6628" s="301" t="s">
        <v>191</v>
      </c>
      <c r="H6628" s="302"/>
      <c r="I6628" s="302"/>
      <c r="J6628" s="351"/>
      <c r="K6628" s="328">
        <v>0</v>
      </c>
      <c r="L6628" s="310">
        <f>J6628*K6628</f>
        <v>0</v>
      </c>
    </row>
    <row r="6629" spans="5:13" ht="15" customHeight="1" thickBot="1">
      <c r="F6629" s="316"/>
      <c r="G6629" s="317"/>
      <c r="H6629" s="318"/>
      <c r="I6629" s="318"/>
      <c r="J6629" s="319" t="s">
        <v>192</v>
      </c>
      <c r="K6629" s="320"/>
      <c r="L6629" s="321">
        <f>L6628</f>
        <v>0</v>
      </c>
    </row>
    <row r="6630" spans="5:13" ht="15" customHeight="1">
      <c r="F6630" s="344" t="s">
        <v>193</v>
      </c>
      <c r="G6630" s="345" t="s">
        <v>194</v>
      </c>
      <c r="H6630" s="346"/>
      <c r="I6630" s="346"/>
      <c r="J6630" s="347"/>
      <c r="K6630" s="348">
        <v>0</v>
      </c>
      <c r="L6630" s="310">
        <f>SUM(L6619:L6629)/2</f>
        <v>395010</v>
      </c>
    </row>
    <row r="6631" spans="5:13" ht="15" customHeight="1" thickBot="1">
      <c r="F6631" s="331" t="s">
        <v>195</v>
      </c>
      <c r="G6631" s="332" t="s">
        <v>196</v>
      </c>
      <c r="H6631" s="333"/>
      <c r="I6631" s="333"/>
      <c r="J6631" s="350">
        <v>0.1</v>
      </c>
      <c r="K6631" s="335"/>
      <c r="L6631" s="330">
        <f>J6631*L6630</f>
        <v>39501</v>
      </c>
    </row>
    <row r="6632" spans="5:13" ht="15" customHeight="1" thickBot="1">
      <c r="F6632" s="340" t="s">
        <v>197</v>
      </c>
      <c r="G6632" s="341" t="s">
        <v>198</v>
      </c>
      <c r="H6632" s="318"/>
      <c r="I6632" s="318"/>
      <c r="J6632" s="342"/>
      <c r="K6632" s="320">
        <v>0</v>
      </c>
      <c r="L6632" s="321">
        <f>ROUNDDOWN(L6630+L6631,0)</f>
        <v>434511</v>
      </c>
    </row>
    <row r="6633" spans="5:13" ht="15" customHeight="1">
      <c r="F6633" s="298"/>
      <c r="G6633" s="298"/>
      <c r="J6633" s="343"/>
    </row>
    <row r="6634" spans="5:13" ht="15" customHeight="1" thickBot="1">
      <c r="E6634" s="356" t="s">
        <v>1205</v>
      </c>
      <c r="F6634" s="295" t="s">
        <v>1206</v>
      </c>
      <c r="J6634" s="343"/>
      <c r="M6634" s="299">
        <f>L6649</f>
        <v>108317</v>
      </c>
    </row>
    <row r="6635" spans="5:13" ht="15" customHeight="1" thickBot="1">
      <c r="F6635" s="340" t="s">
        <v>136</v>
      </c>
      <c r="G6635" s="341" t="s">
        <v>162</v>
      </c>
      <c r="H6635" s="352" t="s">
        <v>163</v>
      </c>
      <c r="I6635" s="352" t="s">
        <v>138</v>
      </c>
      <c r="J6635" s="353" t="s">
        <v>164</v>
      </c>
      <c r="K6635" s="341" t="s">
        <v>165</v>
      </c>
      <c r="L6635" s="354" t="s">
        <v>166</v>
      </c>
    </row>
    <row r="6636" spans="5:13" ht="15" customHeight="1">
      <c r="F6636" s="300" t="s">
        <v>167</v>
      </c>
      <c r="G6636" s="301" t="s">
        <v>168</v>
      </c>
      <c r="H6636" s="302"/>
      <c r="I6636" s="302"/>
      <c r="J6636" s="351"/>
      <c r="K6636" s="328"/>
      <c r="L6636" s="310"/>
    </row>
    <row r="6637" spans="5:13" ht="15" customHeight="1">
      <c r="F6637" s="306"/>
      <c r="G6637" s="301" t="s">
        <v>169</v>
      </c>
      <c r="H6637" s="307" t="s">
        <v>170</v>
      </c>
      <c r="I6637" s="307" t="s">
        <v>171</v>
      </c>
      <c r="J6637" s="432">
        <v>0.02</v>
      </c>
      <c r="K6637" s="309">
        <f>VLOOKUP(G6637,Upah,8,FALSE)</f>
        <v>125000</v>
      </c>
      <c r="L6637" s="310">
        <f>J6637*K6637</f>
        <v>2500</v>
      </c>
    </row>
    <row r="6638" spans="5:13" ht="15" customHeight="1">
      <c r="F6638" s="306"/>
      <c r="G6638" s="301" t="s">
        <v>413</v>
      </c>
      <c r="H6638" s="307" t="s">
        <v>173</v>
      </c>
      <c r="I6638" s="307" t="s">
        <v>171</v>
      </c>
      <c r="J6638" s="432">
        <v>0.2</v>
      </c>
      <c r="K6638" s="309">
        <f>VLOOKUP(G6638,Upah,8,FALSE)</f>
        <v>150000</v>
      </c>
      <c r="L6638" s="310">
        <f>J6638*K6638</f>
        <v>30000</v>
      </c>
    </row>
    <row r="6639" spans="5:13" ht="15" customHeight="1">
      <c r="F6639" s="306"/>
      <c r="G6639" s="301" t="s">
        <v>232</v>
      </c>
      <c r="H6639" s="307" t="s">
        <v>175</v>
      </c>
      <c r="I6639" s="307" t="s">
        <v>171</v>
      </c>
      <c r="J6639" s="432">
        <v>0.02</v>
      </c>
      <c r="K6639" s="309">
        <f>VLOOKUP(G6639,Upah,8,FALSE)</f>
        <v>165000</v>
      </c>
      <c r="L6639" s="310">
        <f>J6639*K6639</f>
        <v>3300</v>
      </c>
    </row>
    <row r="6640" spans="5:13" ht="15" customHeight="1" thickBot="1">
      <c r="F6640" s="306"/>
      <c r="G6640" s="301" t="s">
        <v>176</v>
      </c>
      <c r="H6640" s="307" t="s">
        <v>177</v>
      </c>
      <c r="I6640" s="307" t="s">
        <v>171</v>
      </c>
      <c r="J6640" s="432">
        <v>1E-3</v>
      </c>
      <c r="K6640" s="309">
        <f>VLOOKUP(G6640,Upah,8,FALSE)</f>
        <v>170000</v>
      </c>
      <c r="L6640" s="310">
        <f>J6640*K6640</f>
        <v>170</v>
      </c>
    </row>
    <row r="6641" spans="5:13" ht="15" customHeight="1" thickBot="1">
      <c r="F6641" s="316"/>
      <c r="G6641" s="317"/>
      <c r="H6641" s="318"/>
      <c r="I6641" s="318"/>
      <c r="J6641" s="319" t="s">
        <v>178</v>
      </c>
      <c r="K6641" s="320"/>
      <c r="L6641" s="321">
        <f>SUM(L6637:L6640)</f>
        <v>35970</v>
      </c>
    </row>
    <row r="6642" spans="5:13" ht="15" customHeight="1">
      <c r="F6642" s="300" t="s">
        <v>179</v>
      </c>
      <c r="G6642" s="301" t="s">
        <v>180</v>
      </c>
      <c r="H6642" s="302"/>
      <c r="I6642" s="302"/>
      <c r="J6642" s="351"/>
      <c r="K6642" s="328"/>
      <c r="L6642" s="310"/>
    </row>
    <row r="6643" spans="5:13" ht="15" customHeight="1" thickBot="1">
      <c r="F6643" s="306"/>
      <c r="G6643" s="301" t="s">
        <v>1207</v>
      </c>
      <c r="H6643" s="302"/>
      <c r="I6643" s="307" t="s">
        <v>221</v>
      </c>
      <c r="J6643" s="432">
        <v>1</v>
      </c>
      <c r="K6643" s="328">
        <f>VLOOKUP(G6643,Bahan,6,FALSE)</f>
        <v>62500</v>
      </c>
      <c r="L6643" s="310">
        <f>J6643*K6643</f>
        <v>62500</v>
      </c>
    </row>
    <row r="6644" spans="5:13" ht="15" customHeight="1" thickBot="1">
      <c r="F6644" s="316"/>
      <c r="G6644" s="317"/>
      <c r="H6644" s="318"/>
      <c r="I6644" s="318"/>
      <c r="J6644" s="319" t="s">
        <v>189</v>
      </c>
      <c r="K6644" s="320"/>
      <c r="L6644" s="321">
        <f>SUM(L6642:L6643)</f>
        <v>62500</v>
      </c>
    </row>
    <row r="6645" spans="5:13" ht="15" customHeight="1" thickBot="1">
      <c r="F6645" s="300" t="s">
        <v>190</v>
      </c>
      <c r="G6645" s="301" t="s">
        <v>191</v>
      </c>
      <c r="H6645" s="302"/>
      <c r="I6645" s="302"/>
      <c r="J6645" s="351"/>
      <c r="K6645" s="328">
        <v>0</v>
      </c>
      <c r="L6645" s="310">
        <f>J6645*K6645</f>
        <v>0</v>
      </c>
    </row>
    <row r="6646" spans="5:13" ht="15" customHeight="1" thickBot="1">
      <c r="F6646" s="316"/>
      <c r="G6646" s="317"/>
      <c r="H6646" s="318"/>
      <c r="I6646" s="318"/>
      <c r="J6646" s="319" t="s">
        <v>192</v>
      </c>
      <c r="K6646" s="320"/>
      <c r="L6646" s="321">
        <f>L6645</f>
        <v>0</v>
      </c>
    </row>
    <row r="6647" spans="5:13" ht="15" customHeight="1">
      <c r="F6647" s="344" t="s">
        <v>193</v>
      </c>
      <c r="G6647" s="345" t="s">
        <v>194</v>
      </c>
      <c r="H6647" s="346"/>
      <c r="I6647" s="346"/>
      <c r="J6647" s="347"/>
      <c r="K6647" s="348">
        <v>0</v>
      </c>
      <c r="L6647" s="310">
        <f>SUM(L6636:L6646)/2</f>
        <v>98470</v>
      </c>
    </row>
    <row r="6648" spans="5:13" ht="15" customHeight="1" thickBot="1">
      <c r="F6648" s="331" t="s">
        <v>195</v>
      </c>
      <c r="G6648" s="332" t="s">
        <v>196</v>
      </c>
      <c r="H6648" s="333"/>
      <c r="I6648" s="333"/>
      <c r="J6648" s="350">
        <v>0.1</v>
      </c>
      <c r="K6648" s="335"/>
      <c r="L6648" s="330">
        <f>J6648*L6647</f>
        <v>9847</v>
      </c>
    </row>
    <row r="6649" spans="5:13" ht="15" customHeight="1" thickBot="1">
      <c r="F6649" s="340" t="s">
        <v>197</v>
      </c>
      <c r="G6649" s="341" t="s">
        <v>198</v>
      </c>
      <c r="H6649" s="318"/>
      <c r="I6649" s="318"/>
      <c r="J6649" s="342"/>
      <c r="K6649" s="320">
        <v>0</v>
      </c>
      <c r="L6649" s="321">
        <f>ROUNDDOWN(L6647+L6648,0)</f>
        <v>108317</v>
      </c>
    </row>
    <row r="6650" spans="5:13" ht="15" customHeight="1">
      <c r="F6650" s="298"/>
      <c r="G6650" s="298"/>
      <c r="J6650" s="343"/>
    </row>
    <row r="6651" spans="5:13" ht="15" customHeight="1" thickBot="1">
      <c r="E6651" s="356" t="s">
        <v>1208</v>
      </c>
      <c r="F6651" s="295" t="s">
        <v>1209</v>
      </c>
      <c r="J6651" s="343"/>
      <c r="M6651" s="299">
        <f>L6666</f>
        <v>232386</v>
      </c>
    </row>
    <row r="6652" spans="5:13" ht="15" customHeight="1" thickBot="1">
      <c r="F6652" s="340" t="s">
        <v>136</v>
      </c>
      <c r="G6652" s="341" t="s">
        <v>162</v>
      </c>
      <c r="H6652" s="352" t="s">
        <v>163</v>
      </c>
      <c r="I6652" s="352" t="s">
        <v>138</v>
      </c>
      <c r="J6652" s="353" t="s">
        <v>164</v>
      </c>
      <c r="K6652" s="341" t="s">
        <v>165</v>
      </c>
      <c r="L6652" s="354" t="s">
        <v>166</v>
      </c>
    </row>
    <row r="6653" spans="5:13" ht="15" customHeight="1">
      <c r="F6653" s="300" t="s">
        <v>167</v>
      </c>
      <c r="G6653" s="301" t="s">
        <v>168</v>
      </c>
      <c r="H6653" s="302"/>
      <c r="I6653" s="302"/>
      <c r="J6653" s="351"/>
      <c r="K6653" s="328"/>
      <c r="L6653" s="310"/>
    </row>
    <row r="6654" spans="5:13" ht="15" customHeight="1">
      <c r="F6654" s="306"/>
      <c r="G6654" s="301" t="s">
        <v>169</v>
      </c>
      <c r="H6654" s="307" t="s">
        <v>170</v>
      </c>
      <c r="I6654" s="307" t="s">
        <v>171</v>
      </c>
      <c r="J6654" s="432">
        <v>0.05</v>
      </c>
      <c r="K6654" s="309">
        <f>VLOOKUP(G6654,Upah,8,FALSE)</f>
        <v>125000</v>
      </c>
      <c r="L6654" s="310">
        <f>J6654*K6654</f>
        <v>6250</v>
      </c>
    </row>
    <row r="6655" spans="5:13" ht="15" customHeight="1">
      <c r="F6655" s="306"/>
      <c r="G6655" s="301" t="s">
        <v>413</v>
      </c>
      <c r="H6655" s="307" t="s">
        <v>173</v>
      </c>
      <c r="I6655" s="307" t="s">
        <v>171</v>
      </c>
      <c r="J6655" s="432">
        <v>0.5</v>
      </c>
      <c r="K6655" s="309">
        <f>VLOOKUP(G6655,Upah,8,FALSE)</f>
        <v>150000</v>
      </c>
      <c r="L6655" s="310">
        <f>J6655*K6655</f>
        <v>75000</v>
      </c>
    </row>
    <row r="6656" spans="5:13" ht="15" customHeight="1">
      <c r="F6656" s="306"/>
      <c r="G6656" s="301" t="s">
        <v>232</v>
      </c>
      <c r="H6656" s="307" t="s">
        <v>175</v>
      </c>
      <c r="I6656" s="307" t="s">
        <v>171</v>
      </c>
      <c r="J6656" s="432">
        <v>0.05</v>
      </c>
      <c r="K6656" s="309">
        <f>VLOOKUP(G6656,Upah,8,FALSE)</f>
        <v>165000</v>
      </c>
      <c r="L6656" s="310">
        <f>J6656*K6656</f>
        <v>8250</v>
      </c>
    </row>
    <row r="6657" spans="5:13" ht="15" customHeight="1" thickBot="1">
      <c r="F6657" s="306"/>
      <c r="G6657" s="301" t="s">
        <v>176</v>
      </c>
      <c r="H6657" s="307" t="s">
        <v>177</v>
      </c>
      <c r="I6657" s="307" t="s">
        <v>171</v>
      </c>
      <c r="J6657" s="432">
        <v>3.0000000000000001E-3</v>
      </c>
      <c r="K6657" s="309">
        <f>VLOOKUP(G6657,Upah,8,FALSE)</f>
        <v>170000</v>
      </c>
      <c r="L6657" s="310">
        <f>J6657*K6657</f>
        <v>510</v>
      </c>
    </row>
    <row r="6658" spans="5:13" ht="15" customHeight="1" thickBot="1">
      <c r="F6658" s="316"/>
      <c r="G6658" s="317"/>
      <c r="H6658" s="318"/>
      <c r="I6658" s="318"/>
      <c r="J6658" s="319" t="s">
        <v>178</v>
      </c>
      <c r="K6658" s="320"/>
      <c r="L6658" s="321">
        <f>SUM(L6654:L6657)</f>
        <v>90010</v>
      </c>
    </row>
    <row r="6659" spans="5:13" ht="15" customHeight="1">
      <c r="F6659" s="300" t="s">
        <v>179</v>
      </c>
      <c r="G6659" s="301" t="s">
        <v>180</v>
      </c>
      <c r="H6659" s="302"/>
      <c r="I6659" s="302"/>
      <c r="J6659" s="351"/>
      <c r="K6659" s="328"/>
      <c r="L6659" s="310"/>
    </row>
    <row r="6660" spans="5:13" ht="15" customHeight="1" thickBot="1">
      <c r="F6660" s="306"/>
      <c r="G6660" s="301" t="s">
        <v>1210</v>
      </c>
      <c r="H6660" s="302"/>
      <c r="I6660" s="307" t="s">
        <v>221</v>
      </c>
      <c r="J6660" s="432">
        <v>1</v>
      </c>
      <c r="K6660" s="328">
        <f>VLOOKUP(G6660,Bahan,6,FALSE)</f>
        <v>121250</v>
      </c>
      <c r="L6660" s="310">
        <f>J6660*K6660</f>
        <v>121250</v>
      </c>
    </row>
    <row r="6661" spans="5:13" ht="15" customHeight="1" thickBot="1">
      <c r="F6661" s="316"/>
      <c r="G6661" s="317"/>
      <c r="H6661" s="318"/>
      <c r="I6661" s="318"/>
      <c r="J6661" s="319" t="s">
        <v>189</v>
      </c>
      <c r="K6661" s="320"/>
      <c r="L6661" s="321">
        <f>SUM(L6659:L6660)</f>
        <v>121250</v>
      </c>
    </row>
    <row r="6662" spans="5:13" ht="15" customHeight="1" thickBot="1">
      <c r="F6662" s="300" t="s">
        <v>190</v>
      </c>
      <c r="G6662" s="301" t="s">
        <v>191</v>
      </c>
      <c r="H6662" s="302"/>
      <c r="I6662" s="302"/>
      <c r="J6662" s="351"/>
      <c r="K6662" s="328">
        <v>0</v>
      </c>
      <c r="L6662" s="310">
        <f>J6662*K6662</f>
        <v>0</v>
      </c>
    </row>
    <row r="6663" spans="5:13" ht="15" customHeight="1" thickBot="1">
      <c r="F6663" s="316"/>
      <c r="G6663" s="317"/>
      <c r="H6663" s="318"/>
      <c r="I6663" s="318"/>
      <c r="J6663" s="319" t="s">
        <v>192</v>
      </c>
      <c r="K6663" s="320"/>
      <c r="L6663" s="321">
        <f>L6662</f>
        <v>0</v>
      </c>
    </row>
    <row r="6664" spans="5:13" ht="15" customHeight="1">
      <c r="F6664" s="344" t="s">
        <v>193</v>
      </c>
      <c r="G6664" s="345" t="s">
        <v>194</v>
      </c>
      <c r="H6664" s="346"/>
      <c r="I6664" s="346"/>
      <c r="J6664" s="347"/>
      <c r="K6664" s="348">
        <v>0</v>
      </c>
      <c r="L6664" s="310">
        <f>SUM(L6653:L6663)/2</f>
        <v>211260</v>
      </c>
    </row>
    <row r="6665" spans="5:13" ht="15" customHeight="1" thickBot="1">
      <c r="F6665" s="331" t="s">
        <v>195</v>
      </c>
      <c r="G6665" s="332" t="s">
        <v>196</v>
      </c>
      <c r="H6665" s="333"/>
      <c r="I6665" s="333"/>
      <c r="J6665" s="350">
        <v>0.1</v>
      </c>
      <c r="K6665" s="335"/>
      <c r="L6665" s="330">
        <f>J6665*L6664</f>
        <v>21126</v>
      </c>
    </row>
    <row r="6666" spans="5:13" ht="15" customHeight="1" thickBot="1">
      <c r="F6666" s="340" t="s">
        <v>197</v>
      </c>
      <c r="G6666" s="341" t="s">
        <v>198</v>
      </c>
      <c r="H6666" s="318"/>
      <c r="I6666" s="318"/>
      <c r="J6666" s="342"/>
      <c r="K6666" s="320">
        <v>0</v>
      </c>
      <c r="L6666" s="321">
        <f>ROUNDDOWN(L6664+L6665,0)</f>
        <v>232386</v>
      </c>
    </row>
    <row r="6667" spans="5:13" ht="15" customHeight="1">
      <c r="F6667" s="298"/>
      <c r="G6667" s="298"/>
      <c r="J6667" s="343"/>
    </row>
    <row r="6668" spans="5:13" ht="15" customHeight="1" thickBot="1">
      <c r="E6668" s="356" t="s">
        <v>1211</v>
      </c>
      <c r="F6668" s="295" t="s">
        <v>1212</v>
      </c>
      <c r="J6668" s="343"/>
      <c r="M6668" s="299">
        <f>L6683</f>
        <v>146751</v>
      </c>
    </row>
    <row r="6669" spans="5:13" ht="15" customHeight="1" thickBot="1">
      <c r="F6669" s="340" t="s">
        <v>136</v>
      </c>
      <c r="G6669" s="341" t="s">
        <v>162</v>
      </c>
      <c r="H6669" s="352" t="s">
        <v>163</v>
      </c>
      <c r="I6669" s="352" t="s">
        <v>138</v>
      </c>
      <c r="J6669" s="353" t="s">
        <v>164</v>
      </c>
      <c r="K6669" s="341" t="s">
        <v>165</v>
      </c>
      <c r="L6669" s="354" t="s">
        <v>166</v>
      </c>
    </row>
    <row r="6670" spans="5:13" ht="15" customHeight="1">
      <c r="F6670" s="300" t="s">
        <v>167</v>
      </c>
      <c r="G6670" s="301" t="s">
        <v>168</v>
      </c>
      <c r="H6670" s="302"/>
      <c r="I6670" s="302"/>
      <c r="J6670" s="351"/>
      <c r="K6670" s="328"/>
      <c r="L6670" s="310"/>
    </row>
    <row r="6671" spans="5:13" ht="15" customHeight="1">
      <c r="F6671" s="306"/>
      <c r="G6671" s="301" t="s">
        <v>169</v>
      </c>
      <c r="H6671" s="307" t="s">
        <v>170</v>
      </c>
      <c r="I6671" s="307" t="s">
        <v>171</v>
      </c>
      <c r="J6671" s="432">
        <v>0.01</v>
      </c>
      <c r="K6671" s="309">
        <f>VLOOKUP(G6671,Upah,8,FALSE)</f>
        <v>125000</v>
      </c>
      <c r="L6671" s="310">
        <f>J6671*K6671</f>
        <v>1250</v>
      </c>
    </row>
    <row r="6672" spans="5:13" ht="15" customHeight="1">
      <c r="F6672" s="306"/>
      <c r="G6672" s="301" t="s">
        <v>413</v>
      </c>
      <c r="H6672" s="307" t="s">
        <v>173</v>
      </c>
      <c r="I6672" s="307" t="s">
        <v>171</v>
      </c>
      <c r="J6672" s="432">
        <v>0.1</v>
      </c>
      <c r="K6672" s="309">
        <f>VLOOKUP(G6672,Upah,8,FALSE)</f>
        <v>150000</v>
      </c>
      <c r="L6672" s="310">
        <f>J6672*K6672</f>
        <v>15000</v>
      </c>
    </row>
    <row r="6673" spans="5:13" ht="15" customHeight="1">
      <c r="F6673" s="306"/>
      <c r="G6673" s="301" t="s">
        <v>232</v>
      </c>
      <c r="H6673" s="307" t="s">
        <v>175</v>
      </c>
      <c r="I6673" s="307" t="s">
        <v>171</v>
      </c>
      <c r="J6673" s="432">
        <v>0.01</v>
      </c>
      <c r="K6673" s="309">
        <f>VLOOKUP(G6673,Upah,8,FALSE)</f>
        <v>165000</v>
      </c>
      <c r="L6673" s="310">
        <f>J6673*K6673</f>
        <v>1650</v>
      </c>
    </row>
    <row r="6674" spans="5:13" ht="15" customHeight="1" thickBot="1">
      <c r="F6674" s="306"/>
      <c r="G6674" s="301" t="s">
        <v>176</v>
      </c>
      <c r="H6674" s="307" t="s">
        <v>177</v>
      </c>
      <c r="I6674" s="307" t="s">
        <v>171</v>
      </c>
      <c r="J6674" s="432">
        <v>5.0000000000000001E-3</v>
      </c>
      <c r="K6674" s="309">
        <f>VLOOKUP(G6674,Upah,8,FALSE)</f>
        <v>170000</v>
      </c>
      <c r="L6674" s="310">
        <f>J6674*K6674</f>
        <v>850</v>
      </c>
    </row>
    <row r="6675" spans="5:13" ht="15" customHeight="1" thickBot="1">
      <c r="F6675" s="316"/>
      <c r="G6675" s="317"/>
      <c r="H6675" s="318"/>
      <c r="I6675" s="318"/>
      <c r="J6675" s="319" t="s">
        <v>178</v>
      </c>
      <c r="K6675" s="320"/>
      <c r="L6675" s="321">
        <f>SUM(L6671:L6674)</f>
        <v>18750</v>
      </c>
    </row>
    <row r="6676" spans="5:13" ht="15" customHeight="1">
      <c r="F6676" s="300" t="s">
        <v>179</v>
      </c>
      <c r="G6676" s="301" t="s">
        <v>180</v>
      </c>
      <c r="H6676" s="302"/>
      <c r="I6676" s="302"/>
      <c r="J6676" s="351"/>
      <c r="K6676" s="328"/>
      <c r="L6676" s="310"/>
    </row>
    <row r="6677" spans="5:13" ht="15" customHeight="1" thickBot="1">
      <c r="F6677" s="306"/>
      <c r="G6677" s="301" t="s">
        <v>1213</v>
      </c>
      <c r="H6677" s="302"/>
      <c r="I6677" s="307" t="s">
        <v>221</v>
      </c>
      <c r="J6677" s="432">
        <v>1</v>
      </c>
      <c r="K6677" s="328">
        <f>VLOOKUP(G6677,Bahan,6,FALSE)</f>
        <v>114660</v>
      </c>
      <c r="L6677" s="310">
        <f>J6677*K6677</f>
        <v>114660</v>
      </c>
    </row>
    <row r="6678" spans="5:13" ht="15" customHeight="1" thickBot="1">
      <c r="F6678" s="316"/>
      <c r="G6678" s="317"/>
      <c r="H6678" s="318"/>
      <c r="I6678" s="318"/>
      <c r="J6678" s="319" t="s">
        <v>189</v>
      </c>
      <c r="K6678" s="320"/>
      <c r="L6678" s="321">
        <f>SUM(L6676:L6677)</f>
        <v>114660</v>
      </c>
    </row>
    <row r="6679" spans="5:13" ht="15" customHeight="1" thickBot="1">
      <c r="F6679" s="300" t="s">
        <v>190</v>
      </c>
      <c r="G6679" s="301" t="s">
        <v>191</v>
      </c>
      <c r="H6679" s="302"/>
      <c r="I6679" s="302"/>
      <c r="J6679" s="351"/>
      <c r="K6679" s="328">
        <v>0</v>
      </c>
      <c r="L6679" s="310">
        <f>J6679*K6679</f>
        <v>0</v>
      </c>
    </row>
    <row r="6680" spans="5:13" ht="15" customHeight="1" thickBot="1">
      <c r="F6680" s="316"/>
      <c r="G6680" s="317"/>
      <c r="H6680" s="318"/>
      <c r="I6680" s="318"/>
      <c r="J6680" s="319" t="s">
        <v>192</v>
      </c>
      <c r="K6680" s="320"/>
      <c r="L6680" s="321">
        <f>L6679</f>
        <v>0</v>
      </c>
    </row>
    <row r="6681" spans="5:13" ht="15" customHeight="1">
      <c r="F6681" s="344" t="s">
        <v>193</v>
      </c>
      <c r="G6681" s="345" t="s">
        <v>194</v>
      </c>
      <c r="H6681" s="346"/>
      <c r="I6681" s="346"/>
      <c r="J6681" s="347"/>
      <c r="K6681" s="348">
        <v>0</v>
      </c>
      <c r="L6681" s="310">
        <f>SUM(L6670:L6680)/2</f>
        <v>133410</v>
      </c>
    </row>
    <row r="6682" spans="5:13" ht="15" customHeight="1" thickBot="1">
      <c r="F6682" s="331" t="s">
        <v>195</v>
      </c>
      <c r="G6682" s="332" t="s">
        <v>196</v>
      </c>
      <c r="H6682" s="333"/>
      <c r="I6682" s="333"/>
      <c r="J6682" s="350">
        <v>0.1</v>
      </c>
      <c r="K6682" s="335"/>
      <c r="L6682" s="330">
        <f>J6682*L6681</f>
        <v>13341</v>
      </c>
    </row>
    <row r="6683" spans="5:13" ht="15" customHeight="1" thickBot="1">
      <c r="F6683" s="340" t="s">
        <v>197</v>
      </c>
      <c r="G6683" s="341" t="s">
        <v>198</v>
      </c>
      <c r="H6683" s="318"/>
      <c r="I6683" s="318"/>
      <c r="J6683" s="342"/>
      <c r="K6683" s="320">
        <v>0</v>
      </c>
      <c r="L6683" s="321">
        <f>ROUNDDOWN(L6681+L6682,0)</f>
        <v>146751</v>
      </c>
    </row>
    <row r="6684" spans="5:13" ht="15" customHeight="1">
      <c r="F6684" s="298"/>
      <c r="G6684" s="298"/>
      <c r="J6684" s="343"/>
    </row>
    <row r="6685" spans="5:13" ht="15" customHeight="1" thickBot="1">
      <c r="E6685" s="356" t="s">
        <v>1214</v>
      </c>
      <c r="F6685" s="295" t="s">
        <v>1215</v>
      </c>
      <c r="J6685" s="343"/>
      <c r="M6685" s="299">
        <f>L6700</f>
        <v>380501</v>
      </c>
    </row>
    <row r="6686" spans="5:13" ht="15" customHeight="1" thickBot="1">
      <c r="F6686" s="340" t="s">
        <v>136</v>
      </c>
      <c r="G6686" s="341" t="s">
        <v>162</v>
      </c>
      <c r="H6686" s="352" t="s">
        <v>163</v>
      </c>
      <c r="I6686" s="352" t="s">
        <v>138</v>
      </c>
      <c r="J6686" s="353" t="s">
        <v>164</v>
      </c>
      <c r="K6686" s="341" t="s">
        <v>165</v>
      </c>
      <c r="L6686" s="354" t="s">
        <v>166</v>
      </c>
    </row>
    <row r="6687" spans="5:13" ht="15" customHeight="1">
      <c r="F6687" s="300" t="s">
        <v>167</v>
      </c>
      <c r="G6687" s="301" t="s">
        <v>168</v>
      </c>
      <c r="H6687" s="302"/>
      <c r="I6687" s="302"/>
      <c r="J6687" s="351"/>
      <c r="K6687" s="328"/>
      <c r="L6687" s="310"/>
    </row>
    <row r="6688" spans="5:13" ht="15" customHeight="1">
      <c r="F6688" s="306"/>
      <c r="G6688" s="301" t="s">
        <v>169</v>
      </c>
      <c r="H6688" s="307" t="s">
        <v>170</v>
      </c>
      <c r="I6688" s="307" t="s">
        <v>171</v>
      </c>
      <c r="J6688" s="432">
        <v>0.06</v>
      </c>
      <c r="K6688" s="309">
        <f>VLOOKUP(G6688,Upah,8,FALSE)</f>
        <v>125000</v>
      </c>
      <c r="L6688" s="310">
        <f>J6688*K6688</f>
        <v>7500</v>
      </c>
    </row>
    <row r="6689" spans="5:13" ht="15" customHeight="1">
      <c r="F6689" s="306"/>
      <c r="G6689" s="301" t="s">
        <v>413</v>
      </c>
      <c r="H6689" s="307" t="s">
        <v>173</v>
      </c>
      <c r="I6689" s="307" t="s">
        <v>171</v>
      </c>
      <c r="J6689" s="432">
        <v>0.6</v>
      </c>
      <c r="K6689" s="309">
        <f>VLOOKUP(G6689,Upah,8,FALSE)</f>
        <v>150000</v>
      </c>
      <c r="L6689" s="310">
        <f>J6689*K6689</f>
        <v>90000</v>
      </c>
    </row>
    <row r="6690" spans="5:13" ht="15" customHeight="1">
      <c r="F6690" s="306"/>
      <c r="G6690" s="301" t="s">
        <v>232</v>
      </c>
      <c r="H6690" s="307" t="s">
        <v>175</v>
      </c>
      <c r="I6690" s="307" t="s">
        <v>171</v>
      </c>
      <c r="J6690" s="432">
        <v>0.06</v>
      </c>
      <c r="K6690" s="309">
        <f>VLOOKUP(G6690,Upah,8,FALSE)</f>
        <v>165000</v>
      </c>
      <c r="L6690" s="310">
        <f>J6690*K6690</f>
        <v>9900</v>
      </c>
    </row>
    <row r="6691" spans="5:13" ht="15" customHeight="1" thickBot="1">
      <c r="F6691" s="306"/>
      <c r="G6691" s="301" t="s">
        <v>176</v>
      </c>
      <c r="H6691" s="307" t="s">
        <v>177</v>
      </c>
      <c r="I6691" s="307" t="s">
        <v>171</v>
      </c>
      <c r="J6691" s="432">
        <v>3.0000000000000001E-3</v>
      </c>
      <c r="K6691" s="309">
        <f>VLOOKUP(G6691,Upah,8,FALSE)</f>
        <v>170000</v>
      </c>
      <c r="L6691" s="310">
        <f>J6691*K6691</f>
        <v>510</v>
      </c>
    </row>
    <row r="6692" spans="5:13" ht="15" customHeight="1" thickBot="1">
      <c r="F6692" s="316"/>
      <c r="G6692" s="317"/>
      <c r="H6692" s="318"/>
      <c r="I6692" s="318"/>
      <c r="J6692" s="319" t="s">
        <v>178</v>
      </c>
      <c r="K6692" s="320"/>
      <c r="L6692" s="321">
        <f>SUM(L6688:L6691)</f>
        <v>107910</v>
      </c>
    </row>
    <row r="6693" spans="5:13" ht="15" customHeight="1">
      <c r="F6693" s="300" t="s">
        <v>179</v>
      </c>
      <c r="G6693" s="301" t="s">
        <v>180</v>
      </c>
      <c r="H6693" s="302"/>
      <c r="I6693" s="302"/>
      <c r="J6693" s="351"/>
      <c r="K6693" s="328"/>
      <c r="L6693" s="310"/>
    </row>
    <row r="6694" spans="5:13" ht="15" customHeight="1" thickBot="1">
      <c r="F6694" s="306"/>
      <c r="G6694" s="301" t="s">
        <v>1216</v>
      </c>
      <c r="H6694" s="302"/>
      <c r="I6694" s="307" t="s">
        <v>1217</v>
      </c>
      <c r="J6694" s="432">
        <v>1</v>
      </c>
      <c r="K6694" s="328">
        <f>VLOOKUP(G6694,Bahan,6,FALSE)</f>
        <v>238000</v>
      </c>
      <c r="L6694" s="310">
        <f>J6694*K6694</f>
        <v>238000</v>
      </c>
    </row>
    <row r="6695" spans="5:13" ht="15" customHeight="1" thickBot="1">
      <c r="F6695" s="316"/>
      <c r="G6695" s="317"/>
      <c r="H6695" s="318"/>
      <c r="I6695" s="318"/>
      <c r="J6695" s="319" t="s">
        <v>189</v>
      </c>
      <c r="K6695" s="320"/>
      <c r="L6695" s="321">
        <f>SUM(L6693:L6694)</f>
        <v>238000</v>
      </c>
    </row>
    <row r="6696" spans="5:13" ht="15" customHeight="1" thickBot="1">
      <c r="F6696" s="300" t="s">
        <v>190</v>
      </c>
      <c r="G6696" s="301" t="s">
        <v>191</v>
      </c>
      <c r="H6696" s="302"/>
      <c r="I6696" s="302"/>
      <c r="J6696" s="351"/>
      <c r="K6696" s="328">
        <v>0</v>
      </c>
      <c r="L6696" s="310">
        <f>J6696*K6696</f>
        <v>0</v>
      </c>
    </row>
    <row r="6697" spans="5:13" ht="15" customHeight="1" thickBot="1">
      <c r="F6697" s="316"/>
      <c r="G6697" s="317"/>
      <c r="H6697" s="318"/>
      <c r="I6697" s="318"/>
      <c r="J6697" s="319" t="s">
        <v>192</v>
      </c>
      <c r="K6697" s="320"/>
      <c r="L6697" s="321">
        <f>L6696</f>
        <v>0</v>
      </c>
    </row>
    <row r="6698" spans="5:13" ht="15" customHeight="1">
      <c r="F6698" s="344" t="s">
        <v>193</v>
      </c>
      <c r="G6698" s="345" t="s">
        <v>194</v>
      </c>
      <c r="H6698" s="346"/>
      <c r="I6698" s="346"/>
      <c r="J6698" s="347"/>
      <c r="K6698" s="348">
        <v>0</v>
      </c>
      <c r="L6698" s="310">
        <f>SUM(L6687:L6697)/2</f>
        <v>345910</v>
      </c>
    </row>
    <row r="6699" spans="5:13" ht="15" customHeight="1" thickBot="1">
      <c r="F6699" s="331" t="s">
        <v>195</v>
      </c>
      <c r="G6699" s="332" t="s">
        <v>196</v>
      </c>
      <c r="H6699" s="333"/>
      <c r="I6699" s="333"/>
      <c r="J6699" s="350">
        <v>0.1</v>
      </c>
      <c r="K6699" s="335"/>
      <c r="L6699" s="330">
        <f>J6699*L6698</f>
        <v>34591</v>
      </c>
    </row>
    <row r="6700" spans="5:13" ht="15" customHeight="1" thickBot="1">
      <c r="F6700" s="340" t="s">
        <v>197</v>
      </c>
      <c r="G6700" s="341" t="s">
        <v>198</v>
      </c>
      <c r="H6700" s="318"/>
      <c r="I6700" s="318"/>
      <c r="J6700" s="342"/>
      <c r="K6700" s="320">
        <v>0</v>
      </c>
      <c r="L6700" s="321">
        <f>ROUNDDOWN(L6698+L6699,0)</f>
        <v>380501</v>
      </c>
    </row>
    <row r="6701" spans="5:13" ht="15" customHeight="1">
      <c r="F6701" s="298"/>
      <c r="G6701" s="298"/>
      <c r="J6701" s="343"/>
    </row>
    <row r="6702" spans="5:13" ht="15" customHeight="1" thickBot="1">
      <c r="E6702" s="356" t="s">
        <v>1218</v>
      </c>
      <c r="F6702" s="295" t="s">
        <v>1219</v>
      </c>
      <c r="J6702" s="343"/>
      <c r="M6702" s="299">
        <f>L6717</f>
        <v>66100</v>
      </c>
    </row>
    <row r="6703" spans="5:13" ht="15" customHeight="1" thickBot="1">
      <c r="F6703" s="340" t="s">
        <v>136</v>
      </c>
      <c r="G6703" s="341" t="s">
        <v>162</v>
      </c>
      <c r="H6703" s="352" t="s">
        <v>163</v>
      </c>
      <c r="I6703" s="352" t="s">
        <v>138</v>
      </c>
      <c r="J6703" s="353" t="s">
        <v>164</v>
      </c>
      <c r="K6703" s="341" t="s">
        <v>165</v>
      </c>
      <c r="L6703" s="354" t="s">
        <v>166</v>
      </c>
    </row>
    <row r="6704" spans="5:13" ht="15" customHeight="1">
      <c r="F6704" s="300" t="s">
        <v>167</v>
      </c>
      <c r="G6704" s="301" t="s">
        <v>168</v>
      </c>
      <c r="H6704" s="302"/>
      <c r="I6704" s="302"/>
      <c r="J6704" s="351"/>
      <c r="K6704" s="328"/>
      <c r="L6704" s="310"/>
    </row>
    <row r="6705" spans="5:13" ht="15" customHeight="1">
      <c r="F6705" s="306"/>
      <c r="G6705" s="301" t="s">
        <v>169</v>
      </c>
      <c r="H6705" s="307" t="s">
        <v>170</v>
      </c>
      <c r="I6705" s="307" t="s">
        <v>171</v>
      </c>
      <c r="J6705" s="432">
        <v>2.5000000000000001E-2</v>
      </c>
      <c r="K6705" s="309">
        <f>VLOOKUP(G6705,Upah,8,FALSE)</f>
        <v>125000</v>
      </c>
      <c r="L6705" s="310">
        <f>J6705*K6705</f>
        <v>3125</v>
      </c>
    </row>
    <row r="6706" spans="5:13" ht="15" customHeight="1">
      <c r="F6706" s="306"/>
      <c r="G6706" s="301" t="s">
        <v>413</v>
      </c>
      <c r="H6706" s="307" t="s">
        <v>173</v>
      </c>
      <c r="I6706" s="307" t="s">
        <v>171</v>
      </c>
      <c r="J6706" s="432">
        <v>0.25</v>
      </c>
      <c r="K6706" s="309">
        <f>VLOOKUP(G6706,Upah,8,FALSE)</f>
        <v>150000</v>
      </c>
      <c r="L6706" s="310">
        <f>J6706*K6706</f>
        <v>37500</v>
      </c>
    </row>
    <row r="6707" spans="5:13" ht="15" customHeight="1">
      <c r="F6707" s="306"/>
      <c r="G6707" s="301" t="s">
        <v>232</v>
      </c>
      <c r="H6707" s="307" t="s">
        <v>175</v>
      </c>
      <c r="I6707" s="307" t="s">
        <v>171</v>
      </c>
      <c r="J6707" s="432">
        <v>2.5000000000000001E-2</v>
      </c>
      <c r="K6707" s="309">
        <f>VLOOKUP(G6707,Upah,8,FALSE)</f>
        <v>165000</v>
      </c>
      <c r="L6707" s="310">
        <f>J6707*K6707</f>
        <v>4125</v>
      </c>
    </row>
    <row r="6708" spans="5:13" ht="15" customHeight="1" thickBot="1">
      <c r="F6708" s="306"/>
      <c r="G6708" s="301" t="s">
        <v>176</v>
      </c>
      <c r="H6708" s="307" t="s">
        <v>177</v>
      </c>
      <c r="I6708" s="307" t="s">
        <v>171</v>
      </c>
      <c r="J6708" s="432">
        <v>1.2999999999999999E-3</v>
      </c>
      <c r="K6708" s="309">
        <f>VLOOKUP(G6708,Upah,8,FALSE)</f>
        <v>170000</v>
      </c>
      <c r="L6708" s="310">
        <f>J6708*K6708</f>
        <v>221</v>
      </c>
    </row>
    <row r="6709" spans="5:13" ht="15" customHeight="1" thickBot="1">
      <c r="F6709" s="316"/>
      <c r="G6709" s="317"/>
      <c r="H6709" s="318"/>
      <c r="I6709" s="318"/>
      <c r="J6709" s="319" t="s">
        <v>178</v>
      </c>
      <c r="K6709" s="320"/>
      <c r="L6709" s="321">
        <f>SUM(L6705:L6708)</f>
        <v>44971</v>
      </c>
    </row>
    <row r="6710" spans="5:13" ht="15" customHeight="1">
      <c r="F6710" s="300" t="s">
        <v>179</v>
      </c>
      <c r="G6710" s="301" t="s">
        <v>180</v>
      </c>
      <c r="H6710" s="302"/>
      <c r="I6710" s="302"/>
      <c r="J6710" s="351"/>
      <c r="K6710" s="328"/>
      <c r="L6710" s="310"/>
    </row>
    <row r="6711" spans="5:13" ht="15" customHeight="1" thickBot="1">
      <c r="F6711" s="306"/>
      <c r="G6711" s="301" t="s">
        <v>1220</v>
      </c>
      <c r="H6711" s="302"/>
      <c r="I6711" s="307" t="s">
        <v>1217</v>
      </c>
      <c r="J6711" s="432">
        <v>1</v>
      </c>
      <c r="K6711" s="328">
        <f>VLOOKUP(G6711,Bahan,6,FALSE)</f>
        <v>15120</v>
      </c>
      <c r="L6711" s="310">
        <f>J6711*K6711</f>
        <v>15120</v>
      </c>
    </row>
    <row r="6712" spans="5:13" ht="15" customHeight="1" thickBot="1">
      <c r="F6712" s="316"/>
      <c r="G6712" s="317"/>
      <c r="H6712" s="318"/>
      <c r="I6712" s="318"/>
      <c r="J6712" s="319" t="s">
        <v>189</v>
      </c>
      <c r="K6712" s="320"/>
      <c r="L6712" s="321">
        <f>SUM(L6710:L6711)</f>
        <v>15120</v>
      </c>
    </row>
    <row r="6713" spans="5:13" ht="15" customHeight="1" thickBot="1">
      <c r="F6713" s="300" t="s">
        <v>190</v>
      </c>
      <c r="G6713" s="301" t="s">
        <v>191</v>
      </c>
      <c r="H6713" s="302"/>
      <c r="I6713" s="302"/>
      <c r="J6713" s="351"/>
      <c r="K6713" s="328">
        <v>0</v>
      </c>
      <c r="L6713" s="310">
        <f>J6713*K6713</f>
        <v>0</v>
      </c>
    </row>
    <row r="6714" spans="5:13" ht="15" customHeight="1" thickBot="1">
      <c r="F6714" s="316"/>
      <c r="G6714" s="317"/>
      <c r="H6714" s="318"/>
      <c r="I6714" s="318"/>
      <c r="J6714" s="319" t="s">
        <v>192</v>
      </c>
      <c r="K6714" s="320"/>
      <c r="L6714" s="321">
        <f>L6713</f>
        <v>0</v>
      </c>
    </row>
    <row r="6715" spans="5:13" ht="15" customHeight="1">
      <c r="F6715" s="344" t="s">
        <v>193</v>
      </c>
      <c r="G6715" s="345" t="s">
        <v>194</v>
      </c>
      <c r="H6715" s="346"/>
      <c r="I6715" s="346"/>
      <c r="J6715" s="347"/>
      <c r="K6715" s="348">
        <v>0</v>
      </c>
      <c r="L6715" s="310">
        <f>SUM(L6704:L6714)/2</f>
        <v>60091</v>
      </c>
    </row>
    <row r="6716" spans="5:13" ht="15" customHeight="1" thickBot="1">
      <c r="F6716" s="331" t="s">
        <v>195</v>
      </c>
      <c r="G6716" s="332" t="s">
        <v>196</v>
      </c>
      <c r="H6716" s="333"/>
      <c r="I6716" s="333"/>
      <c r="J6716" s="350">
        <v>0.1</v>
      </c>
      <c r="K6716" s="335"/>
      <c r="L6716" s="330">
        <f>J6716*L6715</f>
        <v>6009.1</v>
      </c>
    </row>
    <row r="6717" spans="5:13" ht="15" customHeight="1" thickBot="1">
      <c r="F6717" s="340" t="s">
        <v>197</v>
      </c>
      <c r="G6717" s="341" t="s">
        <v>198</v>
      </c>
      <c r="H6717" s="318"/>
      <c r="I6717" s="318"/>
      <c r="J6717" s="342"/>
      <c r="K6717" s="320">
        <v>0</v>
      </c>
      <c r="L6717" s="321">
        <f>ROUNDDOWN(L6715+L6716,0)</f>
        <v>66100</v>
      </c>
    </row>
    <row r="6718" spans="5:13" ht="15" customHeight="1">
      <c r="F6718" s="298"/>
      <c r="G6718" s="298"/>
      <c r="J6718" s="343"/>
    </row>
    <row r="6719" spans="5:13" ht="15" customHeight="1" thickBot="1">
      <c r="E6719" s="356" t="s">
        <v>1221</v>
      </c>
      <c r="F6719" s="295" t="s">
        <v>1222</v>
      </c>
      <c r="J6719" s="343"/>
      <c r="M6719" s="299">
        <f>L6735</f>
        <v>168284</v>
      </c>
    </row>
    <row r="6720" spans="5:13" ht="15" customHeight="1" thickBot="1">
      <c r="F6720" s="340" t="s">
        <v>136</v>
      </c>
      <c r="G6720" s="341" t="s">
        <v>162</v>
      </c>
      <c r="H6720" s="352" t="s">
        <v>163</v>
      </c>
      <c r="I6720" s="352" t="s">
        <v>138</v>
      </c>
      <c r="J6720" s="353" t="s">
        <v>164</v>
      </c>
      <c r="K6720" s="341" t="s">
        <v>165</v>
      </c>
      <c r="L6720" s="354" t="s">
        <v>166</v>
      </c>
    </row>
    <row r="6721" spans="6:12" ht="15" customHeight="1">
      <c r="F6721" s="300" t="s">
        <v>167</v>
      </c>
      <c r="G6721" s="301" t="s">
        <v>168</v>
      </c>
      <c r="H6721" s="302"/>
      <c r="I6721" s="302"/>
      <c r="J6721" s="351"/>
      <c r="K6721" s="328"/>
      <c r="L6721" s="310"/>
    </row>
    <row r="6722" spans="6:12" ht="15" customHeight="1">
      <c r="F6722" s="306"/>
      <c r="G6722" s="301" t="s">
        <v>169</v>
      </c>
      <c r="H6722" s="307" t="s">
        <v>170</v>
      </c>
      <c r="I6722" s="307" t="s">
        <v>171</v>
      </c>
      <c r="J6722" s="432">
        <v>1.4999999999999999E-2</v>
      </c>
      <c r="K6722" s="309">
        <f>VLOOKUP(G6722,Upah,8,FALSE)</f>
        <v>125000</v>
      </c>
      <c r="L6722" s="310">
        <f>J6722*K6722</f>
        <v>1875</v>
      </c>
    </row>
    <row r="6723" spans="6:12" ht="15" customHeight="1">
      <c r="F6723" s="306"/>
      <c r="G6723" s="301" t="s">
        <v>413</v>
      </c>
      <c r="H6723" s="307" t="s">
        <v>173</v>
      </c>
      <c r="I6723" s="307" t="s">
        <v>171</v>
      </c>
      <c r="J6723" s="432">
        <v>0.15</v>
      </c>
      <c r="K6723" s="309">
        <f>VLOOKUP(G6723,Upah,8,FALSE)</f>
        <v>150000</v>
      </c>
      <c r="L6723" s="310">
        <f>J6723*K6723</f>
        <v>22500</v>
      </c>
    </row>
    <row r="6724" spans="6:12" ht="15" customHeight="1">
      <c r="F6724" s="306"/>
      <c r="G6724" s="301" t="s">
        <v>232</v>
      </c>
      <c r="H6724" s="307" t="s">
        <v>175</v>
      </c>
      <c r="I6724" s="307" t="s">
        <v>171</v>
      </c>
      <c r="J6724" s="432">
        <v>1.4999999999999999E-2</v>
      </c>
      <c r="K6724" s="309">
        <f>VLOOKUP(G6724,Upah,8,FALSE)</f>
        <v>165000</v>
      </c>
      <c r="L6724" s="310">
        <f>J6724*K6724</f>
        <v>2475</v>
      </c>
    </row>
    <row r="6725" spans="6:12" ht="15" customHeight="1" thickBot="1">
      <c r="F6725" s="306"/>
      <c r="G6725" s="301" t="s">
        <v>176</v>
      </c>
      <c r="H6725" s="307" t="s">
        <v>177</v>
      </c>
      <c r="I6725" s="307" t="s">
        <v>171</v>
      </c>
      <c r="J6725" s="432">
        <v>8.0000000000000004E-4</v>
      </c>
      <c r="K6725" s="309">
        <f>VLOOKUP(G6725,Upah,8,FALSE)</f>
        <v>170000</v>
      </c>
      <c r="L6725" s="310">
        <f>J6725*K6725</f>
        <v>136</v>
      </c>
    </row>
    <row r="6726" spans="6:12" ht="15" customHeight="1" thickBot="1">
      <c r="F6726" s="316"/>
      <c r="G6726" s="317"/>
      <c r="H6726" s="318"/>
      <c r="I6726" s="318"/>
      <c r="J6726" s="319" t="s">
        <v>178</v>
      </c>
      <c r="K6726" s="320"/>
      <c r="L6726" s="321">
        <f>SUM(L6722:L6725)</f>
        <v>26986</v>
      </c>
    </row>
    <row r="6727" spans="6:12" ht="15" customHeight="1">
      <c r="F6727" s="300" t="s">
        <v>179</v>
      </c>
      <c r="G6727" s="301" t="s">
        <v>180</v>
      </c>
      <c r="H6727" s="302"/>
      <c r="I6727" s="302"/>
      <c r="J6727" s="351"/>
      <c r="K6727" s="328"/>
      <c r="L6727" s="310"/>
    </row>
    <row r="6728" spans="6:12" ht="15" customHeight="1">
      <c r="F6728" s="306"/>
      <c r="G6728" s="301" t="s">
        <v>1223</v>
      </c>
      <c r="H6728" s="302"/>
      <c r="I6728" s="307" t="s">
        <v>23</v>
      </c>
      <c r="J6728" s="432">
        <v>1.1000000000000001</v>
      </c>
      <c r="K6728" s="328">
        <f>VLOOKUP(G6728,Bahan,6,FALSE)</f>
        <v>112500</v>
      </c>
      <c r="L6728" s="310">
        <f>J6728*K6728</f>
        <v>123750.00000000001</v>
      </c>
    </row>
    <row r="6729" spans="6:12" ht="15" customHeight="1" thickBot="1">
      <c r="F6729" s="306"/>
      <c r="G6729" s="301" t="s">
        <v>1224</v>
      </c>
      <c r="H6729" s="302"/>
      <c r="I6729" s="307" t="s">
        <v>45</v>
      </c>
      <c r="J6729" s="432">
        <v>0.05</v>
      </c>
      <c r="K6729" s="328">
        <f>VLOOKUP(G6729,Bahan,6,FALSE)</f>
        <v>45000</v>
      </c>
      <c r="L6729" s="310">
        <f>J6729*K6729</f>
        <v>2250</v>
      </c>
    </row>
    <row r="6730" spans="6:12" ht="15" customHeight="1" thickBot="1">
      <c r="F6730" s="316"/>
      <c r="G6730" s="317"/>
      <c r="H6730" s="318"/>
      <c r="I6730" s="318"/>
      <c r="J6730" s="319" t="s">
        <v>189</v>
      </c>
      <c r="K6730" s="320"/>
      <c r="L6730" s="321">
        <f>SUM(L6728:L6729)</f>
        <v>126000.00000000001</v>
      </c>
    </row>
    <row r="6731" spans="6:12" ht="15" customHeight="1" thickBot="1">
      <c r="F6731" s="300" t="s">
        <v>190</v>
      </c>
      <c r="G6731" s="301" t="s">
        <v>191</v>
      </c>
      <c r="H6731" s="302"/>
      <c r="I6731" s="302"/>
      <c r="J6731" s="351"/>
      <c r="K6731" s="328">
        <v>0</v>
      </c>
      <c r="L6731" s="310">
        <f>J6731*K6731</f>
        <v>0</v>
      </c>
    </row>
    <row r="6732" spans="6:12" ht="15" customHeight="1" thickBot="1">
      <c r="F6732" s="316"/>
      <c r="G6732" s="317"/>
      <c r="H6732" s="318"/>
      <c r="I6732" s="318"/>
      <c r="J6732" s="319" t="s">
        <v>192</v>
      </c>
      <c r="K6732" s="320"/>
      <c r="L6732" s="321">
        <f>L6731</f>
        <v>0</v>
      </c>
    </row>
    <row r="6733" spans="6:12" ht="15" customHeight="1">
      <c r="F6733" s="344" t="s">
        <v>193</v>
      </c>
      <c r="G6733" s="345" t="s">
        <v>194</v>
      </c>
      <c r="H6733" s="346"/>
      <c r="I6733" s="346"/>
      <c r="J6733" s="347"/>
      <c r="K6733" s="348">
        <v>0</v>
      </c>
      <c r="L6733" s="310">
        <f>SUM(L6722:L6732)/2</f>
        <v>152986</v>
      </c>
    </row>
    <row r="6734" spans="6:12" ht="15" customHeight="1" thickBot="1">
      <c r="F6734" s="331" t="s">
        <v>195</v>
      </c>
      <c r="G6734" s="332" t="s">
        <v>196</v>
      </c>
      <c r="H6734" s="333"/>
      <c r="I6734" s="333"/>
      <c r="J6734" s="350">
        <v>0.1</v>
      </c>
      <c r="K6734" s="335"/>
      <c r="L6734" s="330">
        <f>J6734*L6733</f>
        <v>15298.6</v>
      </c>
    </row>
    <row r="6735" spans="6:12" ht="15" customHeight="1" thickBot="1">
      <c r="F6735" s="340" t="s">
        <v>197</v>
      </c>
      <c r="G6735" s="341" t="s">
        <v>198</v>
      </c>
      <c r="H6735" s="318"/>
      <c r="I6735" s="318"/>
      <c r="J6735" s="342"/>
      <c r="K6735" s="320">
        <v>0</v>
      </c>
      <c r="L6735" s="321">
        <f>ROUNDDOWN(L6733+L6734,0)</f>
        <v>168284</v>
      </c>
    </row>
    <row r="6736" spans="6:12" ht="15" customHeight="1">
      <c r="F6736" s="298"/>
      <c r="G6736" s="298"/>
      <c r="J6736" s="343"/>
    </row>
    <row r="6737" spans="5:13" ht="15" customHeight="1" thickBot="1">
      <c r="E6737" s="356" t="s">
        <v>1225</v>
      </c>
      <c r="F6737" s="295" t="s">
        <v>1226</v>
      </c>
      <c r="J6737" s="343"/>
      <c r="M6737" s="299">
        <f>L6753</f>
        <v>203495</v>
      </c>
    </row>
    <row r="6738" spans="5:13" ht="15" customHeight="1" thickBot="1">
      <c r="F6738" s="340" t="s">
        <v>136</v>
      </c>
      <c r="G6738" s="341" t="s">
        <v>162</v>
      </c>
      <c r="H6738" s="352" t="s">
        <v>163</v>
      </c>
      <c r="I6738" s="352" t="s">
        <v>138</v>
      </c>
      <c r="J6738" s="353" t="s">
        <v>164</v>
      </c>
      <c r="K6738" s="341" t="s">
        <v>165</v>
      </c>
      <c r="L6738" s="354" t="s">
        <v>166</v>
      </c>
    </row>
    <row r="6739" spans="5:13" ht="15" customHeight="1">
      <c r="F6739" s="300" t="s">
        <v>167</v>
      </c>
      <c r="G6739" s="301" t="s">
        <v>168</v>
      </c>
      <c r="H6739" s="302"/>
      <c r="I6739" s="302"/>
      <c r="J6739" s="351"/>
      <c r="K6739" s="328"/>
      <c r="L6739" s="310"/>
    </row>
    <row r="6740" spans="5:13" ht="15" customHeight="1">
      <c r="F6740" s="306"/>
      <c r="G6740" s="301" t="s">
        <v>169</v>
      </c>
      <c r="H6740" s="307" t="s">
        <v>170</v>
      </c>
      <c r="I6740" s="307" t="s">
        <v>171</v>
      </c>
      <c r="J6740" s="432">
        <v>1.4999999999999999E-2</v>
      </c>
      <c r="K6740" s="309">
        <f>VLOOKUP(G6740,Upah,8,FALSE)</f>
        <v>125000</v>
      </c>
      <c r="L6740" s="310">
        <f>J6740*K6740</f>
        <v>1875</v>
      </c>
    </row>
    <row r="6741" spans="5:13" ht="15" customHeight="1">
      <c r="F6741" s="306"/>
      <c r="G6741" s="301" t="s">
        <v>413</v>
      </c>
      <c r="H6741" s="307" t="s">
        <v>173</v>
      </c>
      <c r="I6741" s="307" t="s">
        <v>171</v>
      </c>
      <c r="J6741" s="432">
        <v>0.15</v>
      </c>
      <c r="K6741" s="309">
        <f>VLOOKUP(G6741,Upah,8,FALSE)</f>
        <v>150000</v>
      </c>
      <c r="L6741" s="310">
        <f>J6741*K6741</f>
        <v>22500</v>
      </c>
    </row>
    <row r="6742" spans="5:13" ht="15" customHeight="1">
      <c r="F6742" s="306"/>
      <c r="G6742" s="301" t="s">
        <v>232</v>
      </c>
      <c r="H6742" s="307" t="s">
        <v>175</v>
      </c>
      <c r="I6742" s="307" t="s">
        <v>171</v>
      </c>
      <c r="J6742" s="432">
        <v>1.4999999999999999E-2</v>
      </c>
      <c r="K6742" s="309">
        <f>VLOOKUP(G6742,Upah,8,FALSE)</f>
        <v>165000</v>
      </c>
      <c r="L6742" s="310">
        <f>J6742*K6742</f>
        <v>2475</v>
      </c>
    </row>
    <row r="6743" spans="5:13" ht="15" customHeight="1" thickBot="1">
      <c r="F6743" s="306"/>
      <c r="G6743" s="301" t="s">
        <v>176</v>
      </c>
      <c r="H6743" s="307" t="s">
        <v>177</v>
      </c>
      <c r="I6743" s="307" t="s">
        <v>171</v>
      </c>
      <c r="J6743" s="432">
        <v>8.0000000000000004E-4</v>
      </c>
      <c r="K6743" s="309">
        <f>VLOOKUP(G6743,Upah,8,FALSE)</f>
        <v>170000</v>
      </c>
      <c r="L6743" s="310">
        <f>J6743*K6743</f>
        <v>136</v>
      </c>
    </row>
    <row r="6744" spans="5:13" ht="15" customHeight="1" thickBot="1">
      <c r="F6744" s="316"/>
      <c r="G6744" s="317"/>
      <c r="H6744" s="318"/>
      <c r="I6744" s="318"/>
      <c r="J6744" s="319" t="s">
        <v>178</v>
      </c>
      <c r="K6744" s="320"/>
      <c r="L6744" s="321">
        <f>SUM(L6740:L6743)</f>
        <v>26986</v>
      </c>
    </row>
    <row r="6745" spans="5:13" ht="15" customHeight="1">
      <c r="F6745" s="300" t="s">
        <v>179</v>
      </c>
      <c r="G6745" s="301" t="s">
        <v>180</v>
      </c>
      <c r="H6745" s="302"/>
      <c r="I6745" s="302"/>
      <c r="J6745" s="351"/>
      <c r="K6745" s="328"/>
      <c r="L6745" s="310"/>
    </row>
    <row r="6746" spans="5:13" ht="15" customHeight="1">
      <c r="F6746" s="306"/>
      <c r="G6746" s="301" t="s">
        <v>1227</v>
      </c>
      <c r="H6746" s="302"/>
      <c r="I6746" s="307" t="s">
        <v>23</v>
      </c>
      <c r="J6746" s="432">
        <v>1.1000000000000001</v>
      </c>
      <c r="K6746" s="328">
        <f>VLOOKUP(G6746,Bahan,6,FALSE)</f>
        <v>141600</v>
      </c>
      <c r="L6746" s="310">
        <f>J6746*K6746</f>
        <v>155760</v>
      </c>
    </row>
    <row r="6747" spans="5:13" ht="15" customHeight="1" thickBot="1">
      <c r="F6747" s="306"/>
      <c r="G6747" s="301" t="s">
        <v>1224</v>
      </c>
      <c r="H6747" s="302"/>
      <c r="I6747" s="307" t="s">
        <v>45</v>
      </c>
      <c r="J6747" s="432">
        <v>0.05</v>
      </c>
      <c r="K6747" s="328">
        <f>VLOOKUP(G6747,Bahan,6,FALSE)</f>
        <v>45000</v>
      </c>
      <c r="L6747" s="310">
        <f>J6747*K6747</f>
        <v>2250</v>
      </c>
    </row>
    <row r="6748" spans="5:13" ht="15" customHeight="1" thickBot="1">
      <c r="F6748" s="316"/>
      <c r="G6748" s="317"/>
      <c r="H6748" s="318"/>
      <c r="I6748" s="318"/>
      <c r="J6748" s="319" t="s">
        <v>189</v>
      </c>
      <c r="K6748" s="320"/>
      <c r="L6748" s="321">
        <f>SUM(L6746:L6747)</f>
        <v>158010</v>
      </c>
    </row>
    <row r="6749" spans="5:13" ht="15" customHeight="1" thickBot="1">
      <c r="F6749" s="300" t="s">
        <v>190</v>
      </c>
      <c r="G6749" s="301" t="s">
        <v>191</v>
      </c>
      <c r="H6749" s="302"/>
      <c r="I6749" s="302"/>
      <c r="J6749" s="351"/>
      <c r="K6749" s="328">
        <v>0</v>
      </c>
      <c r="L6749" s="310">
        <f>J6749*K6749</f>
        <v>0</v>
      </c>
    </row>
    <row r="6750" spans="5:13" ht="15" customHeight="1" thickBot="1">
      <c r="F6750" s="316"/>
      <c r="G6750" s="317"/>
      <c r="H6750" s="318"/>
      <c r="I6750" s="318"/>
      <c r="J6750" s="319" t="s">
        <v>192</v>
      </c>
      <c r="K6750" s="320"/>
      <c r="L6750" s="321">
        <f>L6749</f>
        <v>0</v>
      </c>
    </row>
    <row r="6751" spans="5:13" ht="15" customHeight="1">
      <c r="F6751" s="344" t="s">
        <v>193</v>
      </c>
      <c r="G6751" s="345" t="s">
        <v>194</v>
      </c>
      <c r="H6751" s="346"/>
      <c r="I6751" s="346"/>
      <c r="J6751" s="347"/>
      <c r="K6751" s="348">
        <v>0</v>
      </c>
      <c r="L6751" s="310">
        <f>SUM(L6740:L6750)/2</f>
        <v>184996</v>
      </c>
    </row>
    <row r="6752" spans="5:13" ht="15" customHeight="1" thickBot="1">
      <c r="F6752" s="331" t="s">
        <v>195</v>
      </c>
      <c r="G6752" s="332" t="s">
        <v>196</v>
      </c>
      <c r="H6752" s="333"/>
      <c r="I6752" s="333"/>
      <c r="J6752" s="350">
        <v>0.1</v>
      </c>
      <c r="K6752" s="335"/>
      <c r="L6752" s="330">
        <f>J6752*L6751</f>
        <v>18499.600000000002</v>
      </c>
    </row>
    <row r="6753" spans="5:13" ht="15" customHeight="1" thickBot="1">
      <c r="F6753" s="340" t="s">
        <v>197</v>
      </c>
      <c r="G6753" s="341" t="s">
        <v>198</v>
      </c>
      <c r="H6753" s="318"/>
      <c r="I6753" s="318"/>
      <c r="J6753" s="342"/>
      <c r="K6753" s="320">
        <v>0</v>
      </c>
      <c r="L6753" s="321">
        <f>ROUNDDOWN(L6751+L6752,0)</f>
        <v>203495</v>
      </c>
    </row>
    <row r="6754" spans="5:13" ht="15" customHeight="1">
      <c r="F6754" s="298"/>
      <c r="G6754" s="298"/>
      <c r="J6754" s="343"/>
    </row>
    <row r="6755" spans="5:13" ht="15" customHeight="1" thickBot="1">
      <c r="E6755" s="356" t="s">
        <v>1228</v>
      </c>
      <c r="F6755" s="295" t="s">
        <v>1229</v>
      </c>
      <c r="J6755" s="343"/>
      <c r="M6755" s="299">
        <f>L6771</f>
        <v>305774</v>
      </c>
    </row>
    <row r="6756" spans="5:13" ht="15" customHeight="1" thickBot="1">
      <c r="F6756" s="340" t="s">
        <v>136</v>
      </c>
      <c r="G6756" s="341" t="s">
        <v>162</v>
      </c>
      <c r="H6756" s="352" t="s">
        <v>163</v>
      </c>
      <c r="I6756" s="352" t="s">
        <v>138</v>
      </c>
      <c r="J6756" s="353" t="s">
        <v>164</v>
      </c>
      <c r="K6756" s="341" t="s">
        <v>165</v>
      </c>
      <c r="L6756" s="354" t="s">
        <v>166</v>
      </c>
    </row>
    <row r="6757" spans="5:13" ht="15" customHeight="1">
      <c r="F6757" s="300" t="s">
        <v>167</v>
      </c>
      <c r="G6757" s="301" t="s">
        <v>168</v>
      </c>
      <c r="H6757" s="302"/>
      <c r="I6757" s="302"/>
      <c r="J6757" s="351"/>
      <c r="K6757" s="328"/>
      <c r="L6757" s="310"/>
    </row>
    <row r="6758" spans="5:13" ht="15" customHeight="1">
      <c r="F6758" s="306"/>
      <c r="G6758" s="301" t="s">
        <v>169</v>
      </c>
      <c r="H6758" s="307" t="s">
        <v>170</v>
      </c>
      <c r="I6758" s="307" t="s">
        <v>171</v>
      </c>
      <c r="J6758" s="432">
        <v>1.7000000000000001E-2</v>
      </c>
      <c r="K6758" s="309">
        <f>VLOOKUP(G6758,Upah,8,FALSE)</f>
        <v>125000</v>
      </c>
      <c r="L6758" s="310">
        <f>J6758*K6758</f>
        <v>2125</v>
      </c>
    </row>
    <row r="6759" spans="5:13" ht="15" customHeight="1">
      <c r="F6759" s="306"/>
      <c r="G6759" s="301" t="s">
        <v>413</v>
      </c>
      <c r="H6759" s="307" t="s">
        <v>173</v>
      </c>
      <c r="I6759" s="307" t="s">
        <v>171</v>
      </c>
      <c r="J6759" s="432">
        <v>0.17</v>
      </c>
      <c r="K6759" s="309">
        <f>VLOOKUP(G6759,Upah,8,FALSE)</f>
        <v>150000</v>
      </c>
      <c r="L6759" s="310">
        <f>J6759*K6759</f>
        <v>25500.000000000004</v>
      </c>
    </row>
    <row r="6760" spans="5:13" ht="15" customHeight="1">
      <c r="F6760" s="306"/>
      <c r="G6760" s="301" t="s">
        <v>232</v>
      </c>
      <c r="H6760" s="307" t="s">
        <v>175</v>
      </c>
      <c r="I6760" s="307" t="s">
        <v>171</v>
      </c>
      <c r="J6760" s="432">
        <v>1.7000000000000001E-2</v>
      </c>
      <c r="K6760" s="309">
        <f>VLOOKUP(G6760,Upah,8,FALSE)</f>
        <v>165000</v>
      </c>
      <c r="L6760" s="310">
        <f>J6760*K6760</f>
        <v>2805</v>
      </c>
    </row>
    <row r="6761" spans="5:13" ht="15" customHeight="1" thickBot="1">
      <c r="F6761" s="306"/>
      <c r="G6761" s="301" t="s">
        <v>176</v>
      </c>
      <c r="H6761" s="307" t="s">
        <v>177</v>
      </c>
      <c r="I6761" s="307" t="s">
        <v>171</v>
      </c>
      <c r="J6761" s="432">
        <v>8.9999999999999998E-4</v>
      </c>
      <c r="K6761" s="309">
        <f>VLOOKUP(G6761,Upah,8,FALSE)</f>
        <v>170000</v>
      </c>
      <c r="L6761" s="310">
        <f>J6761*K6761</f>
        <v>153</v>
      </c>
    </row>
    <row r="6762" spans="5:13" ht="15" customHeight="1" thickBot="1">
      <c r="F6762" s="316"/>
      <c r="G6762" s="317"/>
      <c r="H6762" s="318"/>
      <c r="I6762" s="318"/>
      <c r="J6762" s="319" t="s">
        <v>178</v>
      </c>
      <c r="K6762" s="320"/>
      <c r="L6762" s="321">
        <f>SUM(L6758:L6761)</f>
        <v>30583.000000000004</v>
      </c>
    </row>
    <row r="6763" spans="5:13" ht="15" customHeight="1">
      <c r="F6763" s="300" t="s">
        <v>179</v>
      </c>
      <c r="G6763" s="301" t="s">
        <v>180</v>
      </c>
      <c r="H6763" s="302"/>
      <c r="I6763" s="302"/>
      <c r="J6763" s="351"/>
      <c r="K6763" s="328"/>
      <c r="L6763" s="310"/>
    </row>
    <row r="6764" spans="5:13" ht="15" customHeight="1">
      <c r="F6764" s="306"/>
      <c r="G6764" s="301" t="s">
        <v>1230</v>
      </c>
      <c r="H6764" s="302"/>
      <c r="I6764" s="307" t="s">
        <v>23</v>
      </c>
      <c r="J6764" s="432">
        <v>1.1000000000000001</v>
      </c>
      <c r="K6764" s="328">
        <f>VLOOKUP(G6764,Bahan,6,FALSE)</f>
        <v>222040</v>
      </c>
      <c r="L6764" s="310">
        <f>J6764*K6764</f>
        <v>244244.00000000003</v>
      </c>
    </row>
    <row r="6765" spans="5:13" ht="15" customHeight="1" thickBot="1">
      <c r="F6765" s="306"/>
      <c r="G6765" s="301" t="s">
        <v>1224</v>
      </c>
      <c r="H6765" s="302"/>
      <c r="I6765" s="307" t="s">
        <v>45</v>
      </c>
      <c r="J6765" s="432">
        <v>7.0000000000000007E-2</v>
      </c>
      <c r="K6765" s="328">
        <f>VLOOKUP(G6765,Bahan,6,FALSE)</f>
        <v>45000</v>
      </c>
      <c r="L6765" s="310">
        <f>J6765*K6765</f>
        <v>3150.0000000000005</v>
      </c>
    </row>
    <row r="6766" spans="5:13" ht="15" customHeight="1" thickBot="1">
      <c r="F6766" s="316"/>
      <c r="G6766" s="317"/>
      <c r="H6766" s="318"/>
      <c r="I6766" s="318"/>
      <c r="J6766" s="319" t="s">
        <v>189</v>
      </c>
      <c r="K6766" s="320"/>
      <c r="L6766" s="321">
        <f>SUM(L6764:L6765)</f>
        <v>247394.00000000003</v>
      </c>
    </row>
    <row r="6767" spans="5:13" ht="15" customHeight="1" thickBot="1">
      <c r="F6767" s="300" t="s">
        <v>190</v>
      </c>
      <c r="G6767" s="301" t="s">
        <v>191</v>
      </c>
      <c r="H6767" s="302"/>
      <c r="I6767" s="302"/>
      <c r="J6767" s="351"/>
      <c r="K6767" s="328">
        <v>0</v>
      </c>
      <c r="L6767" s="310">
        <f>J6767*K6767</f>
        <v>0</v>
      </c>
    </row>
    <row r="6768" spans="5:13" ht="15" customHeight="1" thickBot="1">
      <c r="F6768" s="316"/>
      <c r="G6768" s="317"/>
      <c r="H6768" s="318"/>
      <c r="I6768" s="318"/>
      <c r="J6768" s="319" t="s">
        <v>192</v>
      </c>
      <c r="K6768" s="320"/>
      <c r="L6768" s="321">
        <f>L6767</f>
        <v>0</v>
      </c>
    </row>
    <row r="6769" spans="5:13" ht="15" customHeight="1">
      <c r="F6769" s="344" t="s">
        <v>193</v>
      </c>
      <c r="G6769" s="345" t="s">
        <v>194</v>
      </c>
      <c r="H6769" s="346"/>
      <c r="I6769" s="346"/>
      <c r="J6769" s="347"/>
      <c r="K6769" s="348">
        <v>0</v>
      </c>
      <c r="L6769" s="310">
        <f>SUM(L6758:L6768)/2</f>
        <v>277977.00000000006</v>
      </c>
    </row>
    <row r="6770" spans="5:13" ht="15" customHeight="1" thickBot="1">
      <c r="F6770" s="331" t="s">
        <v>195</v>
      </c>
      <c r="G6770" s="332" t="s">
        <v>196</v>
      </c>
      <c r="H6770" s="333"/>
      <c r="I6770" s="333"/>
      <c r="J6770" s="350">
        <v>0.1</v>
      </c>
      <c r="K6770" s="335"/>
      <c r="L6770" s="330">
        <f>J6770*L6769</f>
        <v>27797.700000000008</v>
      </c>
    </row>
    <row r="6771" spans="5:13" ht="15" customHeight="1" thickBot="1">
      <c r="F6771" s="340" t="s">
        <v>197</v>
      </c>
      <c r="G6771" s="341" t="s">
        <v>198</v>
      </c>
      <c r="H6771" s="318"/>
      <c r="I6771" s="318"/>
      <c r="J6771" s="342"/>
      <c r="K6771" s="320">
        <v>0</v>
      </c>
      <c r="L6771" s="321">
        <f>ROUNDDOWN(L6769+L6770,0)</f>
        <v>305774</v>
      </c>
    </row>
    <row r="6772" spans="5:13" ht="15" customHeight="1">
      <c r="F6772" s="298"/>
      <c r="G6772" s="298"/>
      <c r="J6772" s="343"/>
    </row>
    <row r="6773" spans="5:13" ht="15" customHeight="1" thickBot="1">
      <c r="E6773" s="356" t="s">
        <v>1231</v>
      </c>
      <c r="F6773" s="295" t="s">
        <v>1232</v>
      </c>
      <c r="J6773" s="343"/>
      <c r="M6773" s="299">
        <f>L6789</f>
        <v>252583</v>
      </c>
    </row>
    <row r="6774" spans="5:13" ht="15" customHeight="1" thickBot="1">
      <c r="F6774" s="340" t="s">
        <v>136</v>
      </c>
      <c r="G6774" s="341" t="s">
        <v>162</v>
      </c>
      <c r="H6774" s="352" t="s">
        <v>163</v>
      </c>
      <c r="I6774" s="352" t="s">
        <v>138</v>
      </c>
      <c r="J6774" s="353" t="s">
        <v>164</v>
      </c>
      <c r="K6774" s="341" t="s">
        <v>165</v>
      </c>
      <c r="L6774" s="354" t="s">
        <v>166</v>
      </c>
    </row>
    <row r="6775" spans="5:13" ht="15" customHeight="1">
      <c r="F6775" s="300" t="s">
        <v>167</v>
      </c>
      <c r="G6775" s="301" t="s">
        <v>168</v>
      </c>
      <c r="H6775" s="302"/>
      <c r="I6775" s="302"/>
      <c r="J6775" s="351"/>
      <c r="K6775" s="328"/>
      <c r="L6775" s="310"/>
    </row>
    <row r="6776" spans="5:13" ht="15" customHeight="1">
      <c r="F6776" s="306"/>
      <c r="G6776" s="301" t="s">
        <v>169</v>
      </c>
      <c r="H6776" s="307" t="s">
        <v>170</v>
      </c>
      <c r="I6776" s="307" t="s">
        <v>171</v>
      </c>
      <c r="J6776" s="432">
        <v>2.5000000000000001E-2</v>
      </c>
      <c r="K6776" s="309">
        <f>VLOOKUP(G6776,Upah,8,FALSE)</f>
        <v>125000</v>
      </c>
      <c r="L6776" s="310">
        <f>J6776*K6776</f>
        <v>3125</v>
      </c>
    </row>
    <row r="6777" spans="5:13" ht="15" customHeight="1">
      <c r="F6777" s="306"/>
      <c r="G6777" s="301" t="s">
        <v>413</v>
      </c>
      <c r="H6777" s="307" t="s">
        <v>173</v>
      </c>
      <c r="I6777" s="307" t="s">
        <v>171</v>
      </c>
      <c r="J6777" s="432">
        <v>0.25</v>
      </c>
      <c r="K6777" s="309">
        <f>VLOOKUP(G6777,Upah,8,FALSE)</f>
        <v>150000</v>
      </c>
      <c r="L6777" s="310">
        <f>J6777*K6777</f>
        <v>37500</v>
      </c>
    </row>
    <row r="6778" spans="5:13" ht="15" customHeight="1">
      <c r="F6778" s="306"/>
      <c r="G6778" s="301" t="s">
        <v>232</v>
      </c>
      <c r="H6778" s="307" t="s">
        <v>175</v>
      </c>
      <c r="I6778" s="307" t="s">
        <v>171</v>
      </c>
      <c r="J6778" s="432">
        <v>2.5000000000000001E-2</v>
      </c>
      <c r="K6778" s="309">
        <f>VLOOKUP(G6778,Upah,8,FALSE)</f>
        <v>165000</v>
      </c>
      <c r="L6778" s="310">
        <f>J6778*K6778</f>
        <v>4125</v>
      </c>
    </row>
    <row r="6779" spans="5:13" ht="15" customHeight="1" thickBot="1">
      <c r="F6779" s="306"/>
      <c r="G6779" s="301" t="s">
        <v>176</v>
      </c>
      <c r="H6779" s="307" t="s">
        <v>177</v>
      </c>
      <c r="I6779" s="307" t="s">
        <v>171</v>
      </c>
      <c r="J6779" s="432">
        <v>1.2999999999999999E-3</v>
      </c>
      <c r="K6779" s="309">
        <f>VLOOKUP(G6779,Upah,8,FALSE)</f>
        <v>170000</v>
      </c>
      <c r="L6779" s="310">
        <f>J6779*K6779</f>
        <v>221</v>
      </c>
    </row>
    <row r="6780" spans="5:13" ht="15" customHeight="1" thickBot="1">
      <c r="F6780" s="316"/>
      <c r="G6780" s="317"/>
      <c r="H6780" s="318"/>
      <c r="I6780" s="318"/>
      <c r="J6780" s="319" t="s">
        <v>178</v>
      </c>
      <c r="K6780" s="320"/>
      <c r="L6780" s="321">
        <f>SUM(L6776:L6779)</f>
        <v>44971</v>
      </c>
    </row>
    <row r="6781" spans="5:13" ht="15" customHeight="1">
      <c r="F6781" s="300" t="s">
        <v>179</v>
      </c>
      <c r="G6781" s="301" t="s">
        <v>180</v>
      </c>
      <c r="H6781" s="302"/>
      <c r="I6781" s="302"/>
      <c r="J6781" s="351"/>
      <c r="K6781" s="328"/>
      <c r="L6781" s="310"/>
    </row>
    <row r="6782" spans="5:13" ht="15" customHeight="1">
      <c r="F6782" s="306"/>
      <c r="G6782" s="301" t="s">
        <v>1233</v>
      </c>
      <c r="H6782" s="302"/>
      <c r="I6782" s="307" t="s">
        <v>23</v>
      </c>
      <c r="J6782" s="432">
        <v>1.1000000000000001</v>
      </c>
      <c r="K6782" s="328">
        <f>VLOOKUP(G6782,Bahan,6,FALSE)</f>
        <v>165000</v>
      </c>
      <c r="L6782" s="310">
        <f>J6782*K6782</f>
        <v>181500.00000000003</v>
      </c>
    </row>
    <row r="6783" spans="5:13" ht="15" customHeight="1" thickBot="1">
      <c r="F6783" s="306"/>
      <c r="G6783" s="301" t="s">
        <v>1224</v>
      </c>
      <c r="H6783" s="302"/>
      <c r="I6783" s="307" t="s">
        <v>45</v>
      </c>
      <c r="J6783" s="432">
        <v>7.0000000000000007E-2</v>
      </c>
      <c r="K6783" s="328">
        <f>VLOOKUP(G6783,Bahan,6,FALSE)</f>
        <v>45000</v>
      </c>
      <c r="L6783" s="310">
        <f>J6783*K6783</f>
        <v>3150.0000000000005</v>
      </c>
    </row>
    <row r="6784" spans="5:13" ht="15" customHeight="1" thickBot="1">
      <c r="F6784" s="316"/>
      <c r="G6784" s="317"/>
      <c r="H6784" s="318"/>
      <c r="I6784" s="318"/>
      <c r="J6784" s="319" t="s">
        <v>189</v>
      </c>
      <c r="K6784" s="320"/>
      <c r="L6784" s="321">
        <f>SUM(L6782:L6783)</f>
        <v>184650.00000000003</v>
      </c>
    </row>
    <row r="6785" spans="5:13" ht="15" customHeight="1" thickBot="1">
      <c r="F6785" s="300" t="s">
        <v>190</v>
      </c>
      <c r="G6785" s="301" t="s">
        <v>191</v>
      </c>
      <c r="H6785" s="302"/>
      <c r="I6785" s="302"/>
      <c r="J6785" s="351"/>
      <c r="K6785" s="328">
        <v>0</v>
      </c>
      <c r="L6785" s="310">
        <f>J6785*K6785</f>
        <v>0</v>
      </c>
    </row>
    <row r="6786" spans="5:13" ht="15" customHeight="1" thickBot="1">
      <c r="F6786" s="316"/>
      <c r="G6786" s="317"/>
      <c r="H6786" s="318"/>
      <c r="I6786" s="318"/>
      <c r="J6786" s="319" t="s">
        <v>192</v>
      </c>
      <c r="K6786" s="320"/>
      <c r="L6786" s="321">
        <f>L6785</f>
        <v>0</v>
      </c>
    </row>
    <row r="6787" spans="5:13" ht="15" customHeight="1">
      <c r="F6787" s="344" t="s">
        <v>193</v>
      </c>
      <c r="G6787" s="345" t="s">
        <v>194</v>
      </c>
      <c r="H6787" s="346"/>
      <c r="I6787" s="346"/>
      <c r="J6787" s="347"/>
      <c r="K6787" s="348">
        <v>0</v>
      </c>
      <c r="L6787" s="310">
        <f>SUM(L6776:L6786)/2</f>
        <v>229621</v>
      </c>
    </row>
    <row r="6788" spans="5:13" ht="15" customHeight="1" thickBot="1">
      <c r="F6788" s="331" t="s">
        <v>195</v>
      </c>
      <c r="G6788" s="332" t="s">
        <v>196</v>
      </c>
      <c r="H6788" s="333"/>
      <c r="I6788" s="333"/>
      <c r="J6788" s="350">
        <v>0.1</v>
      </c>
      <c r="K6788" s="335"/>
      <c r="L6788" s="330">
        <f>J6788*L6787</f>
        <v>22962.100000000002</v>
      </c>
    </row>
    <row r="6789" spans="5:13" ht="15" customHeight="1" thickBot="1">
      <c r="F6789" s="340" t="s">
        <v>197</v>
      </c>
      <c r="G6789" s="341" t="s">
        <v>198</v>
      </c>
      <c r="H6789" s="318"/>
      <c r="I6789" s="318"/>
      <c r="J6789" s="342"/>
      <c r="K6789" s="320">
        <v>0</v>
      </c>
      <c r="L6789" s="321">
        <f>ROUNDDOWN(L6787+L6788,0)</f>
        <v>252583</v>
      </c>
    </row>
    <row r="6790" spans="5:13" ht="15" customHeight="1">
      <c r="F6790" s="298"/>
      <c r="G6790" s="298"/>
      <c r="J6790" s="343"/>
    </row>
    <row r="6791" spans="5:13" ht="15" customHeight="1" thickBot="1">
      <c r="E6791" s="356" t="s">
        <v>1234</v>
      </c>
      <c r="F6791" s="295" t="s">
        <v>1235</v>
      </c>
      <c r="J6791" s="343"/>
      <c r="M6791" s="299">
        <f>L6806</f>
        <v>238630</v>
      </c>
    </row>
    <row r="6792" spans="5:13" ht="15" customHeight="1" thickBot="1">
      <c r="F6792" s="340" t="s">
        <v>136</v>
      </c>
      <c r="G6792" s="341" t="s">
        <v>162</v>
      </c>
      <c r="H6792" s="352" t="s">
        <v>163</v>
      </c>
      <c r="I6792" s="352" t="s">
        <v>138</v>
      </c>
      <c r="J6792" s="353" t="s">
        <v>164</v>
      </c>
      <c r="K6792" s="341" t="s">
        <v>165</v>
      </c>
      <c r="L6792" s="354" t="s">
        <v>166</v>
      </c>
    </row>
    <row r="6793" spans="5:13" ht="15" customHeight="1">
      <c r="F6793" s="300" t="s">
        <v>167</v>
      </c>
      <c r="G6793" s="301" t="s">
        <v>168</v>
      </c>
      <c r="H6793" s="302"/>
      <c r="I6793" s="302"/>
      <c r="J6793" s="351"/>
      <c r="K6793" s="328"/>
      <c r="L6793" s="310"/>
    </row>
    <row r="6794" spans="5:13" ht="15" customHeight="1">
      <c r="F6794" s="306"/>
      <c r="G6794" s="301" t="s">
        <v>169</v>
      </c>
      <c r="H6794" s="307" t="s">
        <v>170</v>
      </c>
      <c r="I6794" s="307" t="s">
        <v>171</v>
      </c>
      <c r="J6794" s="432">
        <v>1.4999999999999999E-2</v>
      </c>
      <c r="K6794" s="309">
        <f>VLOOKUP(G6794,Upah,8,FALSE)</f>
        <v>125000</v>
      </c>
      <c r="L6794" s="310">
        <f>J6794*K6794</f>
        <v>1875</v>
      </c>
    </row>
    <row r="6795" spans="5:13" ht="15" customHeight="1">
      <c r="F6795" s="306"/>
      <c r="G6795" s="301" t="s">
        <v>413</v>
      </c>
      <c r="H6795" s="307" t="s">
        <v>173</v>
      </c>
      <c r="I6795" s="307" t="s">
        <v>171</v>
      </c>
      <c r="J6795" s="432">
        <v>0.15</v>
      </c>
      <c r="K6795" s="309">
        <f>VLOOKUP(G6795,Upah,8,FALSE)</f>
        <v>150000</v>
      </c>
      <c r="L6795" s="310">
        <f>J6795*K6795</f>
        <v>22500</v>
      </c>
    </row>
    <row r="6796" spans="5:13" ht="15" customHeight="1">
      <c r="F6796" s="306"/>
      <c r="G6796" s="301" t="s">
        <v>232</v>
      </c>
      <c r="H6796" s="307" t="s">
        <v>175</v>
      </c>
      <c r="I6796" s="307" t="s">
        <v>171</v>
      </c>
      <c r="J6796" s="432">
        <v>1.4999999999999999E-2</v>
      </c>
      <c r="K6796" s="309">
        <f>VLOOKUP(G6796,Upah,8,FALSE)</f>
        <v>165000</v>
      </c>
      <c r="L6796" s="310">
        <f>J6796*K6796</f>
        <v>2475</v>
      </c>
    </row>
    <row r="6797" spans="5:13" ht="15" customHeight="1" thickBot="1">
      <c r="F6797" s="306"/>
      <c r="G6797" s="301" t="s">
        <v>176</v>
      </c>
      <c r="H6797" s="307" t="s">
        <v>177</v>
      </c>
      <c r="I6797" s="307" t="s">
        <v>171</v>
      </c>
      <c r="J6797" s="432">
        <v>8.0000000000000002E-3</v>
      </c>
      <c r="K6797" s="309">
        <f>VLOOKUP(G6797,Upah,8,FALSE)</f>
        <v>170000</v>
      </c>
      <c r="L6797" s="310">
        <f>J6797*K6797</f>
        <v>1360</v>
      </c>
    </row>
    <row r="6798" spans="5:13" ht="15" customHeight="1" thickBot="1">
      <c r="F6798" s="316"/>
      <c r="G6798" s="317"/>
      <c r="H6798" s="318"/>
      <c r="I6798" s="318"/>
      <c r="J6798" s="319" t="s">
        <v>178</v>
      </c>
      <c r="K6798" s="320"/>
      <c r="L6798" s="321">
        <f>SUM(L6794:L6797)</f>
        <v>28210</v>
      </c>
    </row>
    <row r="6799" spans="5:13" ht="15" customHeight="1">
      <c r="F6799" s="300" t="s">
        <v>179</v>
      </c>
      <c r="G6799" s="301" t="s">
        <v>180</v>
      </c>
      <c r="H6799" s="302"/>
      <c r="I6799" s="302"/>
      <c r="J6799" s="351"/>
      <c r="K6799" s="328"/>
      <c r="L6799" s="310"/>
    </row>
    <row r="6800" spans="5:13" ht="15" customHeight="1" thickBot="1">
      <c r="F6800" s="306"/>
      <c r="G6800" s="301" t="s">
        <v>1236</v>
      </c>
      <c r="H6800" s="302"/>
      <c r="I6800" s="307" t="s">
        <v>23</v>
      </c>
      <c r="J6800" s="432">
        <v>1.1000000000000001</v>
      </c>
      <c r="K6800" s="328">
        <f>VLOOKUP(G6800,Bahan,6,FALSE)</f>
        <v>171570</v>
      </c>
      <c r="L6800" s="310">
        <f>J6800*K6800</f>
        <v>188727.00000000003</v>
      </c>
    </row>
    <row r="6801" spans="5:13" ht="15" customHeight="1" thickBot="1">
      <c r="F6801" s="316"/>
      <c r="G6801" s="317"/>
      <c r="H6801" s="318"/>
      <c r="I6801" s="318"/>
      <c r="J6801" s="319" t="s">
        <v>189</v>
      </c>
      <c r="K6801" s="320"/>
      <c r="L6801" s="321">
        <f>SUM(L6799:L6800)</f>
        <v>188727.00000000003</v>
      </c>
    </row>
    <row r="6802" spans="5:13" ht="15" customHeight="1" thickBot="1">
      <c r="F6802" s="300" t="s">
        <v>190</v>
      </c>
      <c r="G6802" s="301" t="s">
        <v>191</v>
      </c>
      <c r="H6802" s="302"/>
      <c r="I6802" s="302"/>
      <c r="J6802" s="351"/>
      <c r="K6802" s="328">
        <v>0</v>
      </c>
      <c r="L6802" s="310">
        <f>J6802*K6802</f>
        <v>0</v>
      </c>
    </row>
    <row r="6803" spans="5:13" ht="15" customHeight="1" thickBot="1">
      <c r="F6803" s="316"/>
      <c r="G6803" s="317"/>
      <c r="H6803" s="318"/>
      <c r="I6803" s="318"/>
      <c r="J6803" s="319" t="s">
        <v>192</v>
      </c>
      <c r="K6803" s="320"/>
      <c r="L6803" s="321">
        <f>L6802</f>
        <v>0</v>
      </c>
    </row>
    <row r="6804" spans="5:13" ht="15" customHeight="1">
      <c r="F6804" s="344" t="s">
        <v>193</v>
      </c>
      <c r="G6804" s="345" t="s">
        <v>194</v>
      </c>
      <c r="H6804" s="346"/>
      <c r="I6804" s="346"/>
      <c r="J6804" s="347"/>
      <c r="K6804" s="348">
        <v>0</v>
      </c>
      <c r="L6804" s="310">
        <f>SUM(L6793:L6803)/2</f>
        <v>216937.00000000003</v>
      </c>
    </row>
    <row r="6805" spans="5:13" ht="15" customHeight="1" thickBot="1">
      <c r="F6805" s="331" t="s">
        <v>195</v>
      </c>
      <c r="G6805" s="332" t="s">
        <v>196</v>
      </c>
      <c r="H6805" s="333"/>
      <c r="I6805" s="333"/>
      <c r="J6805" s="350">
        <v>0.1</v>
      </c>
      <c r="K6805" s="335"/>
      <c r="L6805" s="330">
        <f>J6805*L6804</f>
        <v>21693.700000000004</v>
      </c>
    </row>
    <row r="6806" spans="5:13" ht="15" customHeight="1" thickBot="1">
      <c r="F6806" s="340" t="s">
        <v>197</v>
      </c>
      <c r="G6806" s="341" t="s">
        <v>198</v>
      </c>
      <c r="H6806" s="318"/>
      <c r="I6806" s="318"/>
      <c r="J6806" s="342"/>
      <c r="K6806" s="320">
        <v>0</v>
      </c>
      <c r="L6806" s="321">
        <f>ROUNDDOWN(L6804+L6805,0)</f>
        <v>238630</v>
      </c>
    </row>
    <row r="6807" spans="5:13" ht="15" customHeight="1">
      <c r="F6807" s="298"/>
      <c r="G6807" s="298"/>
      <c r="J6807" s="343"/>
    </row>
    <row r="6808" spans="5:13" ht="15" customHeight="1" thickBot="1">
      <c r="E6808" s="356" t="s">
        <v>1237</v>
      </c>
      <c r="F6808" s="295" t="s">
        <v>1238</v>
      </c>
      <c r="J6808" s="343"/>
      <c r="M6808" s="299">
        <f>L6823</f>
        <v>393437</v>
      </c>
    </row>
    <row r="6809" spans="5:13" ht="15" customHeight="1" thickBot="1">
      <c r="F6809" s="340" t="s">
        <v>136</v>
      </c>
      <c r="G6809" s="341" t="s">
        <v>162</v>
      </c>
      <c r="H6809" s="352" t="s">
        <v>163</v>
      </c>
      <c r="I6809" s="352" t="s">
        <v>138</v>
      </c>
      <c r="J6809" s="353" t="s">
        <v>164</v>
      </c>
      <c r="K6809" s="341" t="s">
        <v>165</v>
      </c>
      <c r="L6809" s="354" t="s">
        <v>166</v>
      </c>
    </row>
    <row r="6810" spans="5:13" ht="15" customHeight="1">
      <c r="F6810" s="300" t="s">
        <v>167</v>
      </c>
      <c r="G6810" s="301" t="s">
        <v>168</v>
      </c>
      <c r="H6810" s="302"/>
      <c r="I6810" s="302"/>
      <c r="J6810" s="351"/>
      <c r="K6810" s="328"/>
      <c r="L6810" s="310"/>
    </row>
    <row r="6811" spans="5:13" ht="15" customHeight="1">
      <c r="F6811" s="306"/>
      <c r="G6811" s="301" t="s">
        <v>169</v>
      </c>
      <c r="H6811" s="307" t="s">
        <v>170</v>
      </c>
      <c r="I6811" s="307" t="s">
        <v>171</v>
      </c>
      <c r="J6811" s="432">
        <v>1.7000000000000001E-2</v>
      </c>
      <c r="K6811" s="309">
        <f>VLOOKUP(G6811,Upah,8,FALSE)</f>
        <v>125000</v>
      </c>
      <c r="L6811" s="310">
        <f>J6811*K6811</f>
        <v>2125</v>
      </c>
    </row>
    <row r="6812" spans="5:13" ht="15" customHeight="1">
      <c r="F6812" s="306"/>
      <c r="G6812" s="301" t="s">
        <v>413</v>
      </c>
      <c r="H6812" s="307" t="s">
        <v>173</v>
      </c>
      <c r="I6812" s="307" t="s">
        <v>171</v>
      </c>
      <c r="J6812" s="432">
        <v>0.17</v>
      </c>
      <c r="K6812" s="309">
        <f>VLOOKUP(G6812,Upah,8,FALSE)</f>
        <v>150000</v>
      </c>
      <c r="L6812" s="310">
        <f>J6812*K6812</f>
        <v>25500.000000000004</v>
      </c>
    </row>
    <row r="6813" spans="5:13" ht="15" customHeight="1">
      <c r="F6813" s="306"/>
      <c r="G6813" s="301" t="s">
        <v>232</v>
      </c>
      <c r="H6813" s="307" t="s">
        <v>175</v>
      </c>
      <c r="I6813" s="307" t="s">
        <v>171</v>
      </c>
      <c r="J6813" s="432">
        <v>1.7000000000000001E-2</v>
      </c>
      <c r="K6813" s="309">
        <f>VLOOKUP(G6813,Upah,8,FALSE)</f>
        <v>165000</v>
      </c>
      <c r="L6813" s="310">
        <f>J6813*K6813</f>
        <v>2805</v>
      </c>
    </row>
    <row r="6814" spans="5:13" ht="15" customHeight="1" thickBot="1">
      <c r="F6814" s="306"/>
      <c r="G6814" s="301" t="s">
        <v>176</v>
      </c>
      <c r="H6814" s="307" t="s">
        <v>177</v>
      </c>
      <c r="I6814" s="307" t="s">
        <v>171</v>
      </c>
      <c r="J6814" s="432">
        <v>8.9999999999999993E-3</v>
      </c>
      <c r="K6814" s="309">
        <f>VLOOKUP(G6814,Upah,8,FALSE)</f>
        <v>170000</v>
      </c>
      <c r="L6814" s="310">
        <f>J6814*K6814</f>
        <v>1529.9999999999998</v>
      </c>
    </row>
    <row r="6815" spans="5:13" ht="15" customHeight="1" thickBot="1">
      <c r="F6815" s="316"/>
      <c r="G6815" s="317"/>
      <c r="H6815" s="318"/>
      <c r="I6815" s="318"/>
      <c r="J6815" s="319" t="s">
        <v>178</v>
      </c>
      <c r="K6815" s="320"/>
      <c r="L6815" s="321">
        <f>SUM(L6811:L6814)</f>
        <v>31960.000000000004</v>
      </c>
    </row>
    <row r="6816" spans="5:13" ht="15" customHeight="1">
      <c r="F6816" s="300" t="s">
        <v>179</v>
      </c>
      <c r="G6816" s="301" t="s">
        <v>180</v>
      </c>
      <c r="H6816" s="302"/>
      <c r="I6816" s="302"/>
      <c r="J6816" s="351"/>
      <c r="K6816" s="328"/>
      <c r="L6816" s="310"/>
    </row>
    <row r="6817" spans="5:13" ht="15" customHeight="1" thickBot="1">
      <c r="F6817" s="306"/>
      <c r="G6817" s="301" t="s">
        <v>1239</v>
      </c>
      <c r="H6817" s="302"/>
      <c r="I6817" s="307" t="s">
        <v>23</v>
      </c>
      <c r="J6817" s="432">
        <v>1.1000000000000001</v>
      </c>
      <c r="K6817" s="328">
        <f>VLOOKUP(G6817,Bahan,6,FALSE)</f>
        <v>296100</v>
      </c>
      <c r="L6817" s="310">
        <f>J6817*K6817</f>
        <v>325710</v>
      </c>
    </row>
    <row r="6818" spans="5:13" ht="15" customHeight="1" thickBot="1">
      <c r="F6818" s="316"/>
      <c r="G6818" s="317"/>
      <c r="H6818" s="318"/>
      <c r="I6818" s="318"/>
      <c r="J6818" s="319" t="s">
        <v>189</v>
      </c>
      <c r="K6818" s="320"/>
      <c r="L6818" s="321">
        <f>SUM(L6816:L6817)</f>
        <v>325710</v>
      </c>
    </row>
    <row r="6819" spans="5:13" ht="15" customHeight="1" thickBot="1">
      <c r="F6819" s="300" t="s">
        <v>190</v>
      </c>
      <c r="G6819" s="301" t="s">
        <v>191</v>
      </c>
      <c r="H6819" s="302"/>
      <c r="I6819" s="302"/>
      <c r="J6819" s="351"/>
      <c r="K6819" s="328">
        <v>0</v>
      </c>
      <c r="L6819" s="310">
        <f>J6819*K6819</f>
        <v>0</v>
      </c>
    </row>
    <row r="6820" spans="5:13" ht="15" customHeight="1" thickBot="1">
      <c r="F6820" s="316"/>
      <c r="G6820" s="317"/>
      <c r="H6820" s="318"/>
      <c r="I6820" s="318"/>
      <c r="J6820" s="319" t="s">
        <v>192</v>
      </c>
      <c r="K6820" s="320"/>
      <c r="L6820" s="321">
        <f>L6819</f>
        <v>0</v>
      </c>
    </row>
    <row r="6821" spans="5:13" ht="15" customHeight="1">
      <c r="F6821" s="344" t="s">
        <v>193</v>
      </c>
      <c r="G6821" s="345" t="s">
        <v>194</v>
      </c>
      <c r="H6821" s="346"/>
      <c r="I6821" s="346"/>
      <c r="J6821" s="347"/>
      <c r="K6821" s="348">
        <v>0</v>
      </c>
      <c r="L6821" s="310">
        <f>SUM(L6810:L6820)/2</f>
        <v>357670</v>
      </c>
    </row>
    <row r="6822" spans="5:13" ht="15" customHeight="1" thickBot="1">
      <c r="F6822" s="331" t="s">
        <v>195</v>
      </c>
      <c r="G6822" s="332" t="s">
        <v>196</v>
      </c>
      <c r="H6822" s="333"/>
      <c r="I6822" s="333"/>
      <c r="J6822" s="350">
        <v>0.1</v>
      </c>
      <c r="K6822" s="335"/>
      <c r="L6822" s="330">
        <f>J6822*L6821</f>
        <v>35767</v>
      </c>
    </row>
    <row r="6823" spans="5:13" ht="15" customHeight="1" thickBot="1">
      <c r="F6823" s="340" t="s">
        <v>197</v>
      </c>
      <c r="G6823" s="341" t="s">
        <v>198</v>
      </c>
      <c r="H6823" s="318"/>
      <c r="I6823" s="318"/>
      <c r="J6823" s="342"/>
      <c r="K6823" s="320">
        <v>0</v>
      </c>
      <c r="L6823" s="321">
        <f>ROUNDDOWN(L6821+L6822,0)</f>
        <v>393437</v>
      </c>
    </row>
    <row r="6824" spans="5:13" ht="15" customHeight="1">
      <c r="F6824" s="298"/>
      <c r="G6824" s="298"/>
      <c r="J6824" s="343"/>
    </row>
    <row r="6825" spans="5:13" ht="15" customHeight="1" thickBot="1">
      <c r="E6825" s="356" t="s">
        <v>1240</v>
      </c>
      <c r="F6825" s="295" t="s">
        <v>1241</v>
      </c>
      <c r="J6825" s="343"/>
      <c r="M6825" s="299">
        <f>L6840</f>
        <v>1176538</v>
      </c>
    </row>
    <row r="6826" spans="5:13" ht="15" customHeight="1" thickBot="1">
      <c r="F6826" s="340" t="s">
        <v>136</v>
      </c>
      <c r="G6826" s="341" t="s">
        <v>162</v>
      </c>
      <c r="H6826" s="352" t="s">
        <v>163</v>
      </c>
      <c r="I6826" s="352" t="s">
        <v>138</v>
      </c>
      <c r="J6826" s="353" t="s">
        <v>164</v>
      </c>
      <c r="K6826" s="341" t="s">
        <v>165</v>
      </c>
      <c r="L6826" s="354" t="s">
        <v>166</v>
      </c>
    </row>
    <row r="6827" spans="5:13" ht="15" customHeight="1">
      <c r="F6827" s="300" t="s">
        <v>167</v>
      </c>
      <c r="G6827" s="301" t="s">
        <v>168</v>
      </c>
      <c r="H6827" s="302"/>
      <c r="I6827" s="302"/>
      <c r="J6827" s="351"/>
      <c r="K6827" s="328"/>
      <c r="L6827" s="310"/>
    </row>
    <row r="6828" spans="5:13" ht="15" customHeight="1">
      <c r="F6828" s="306"/>
      <c r="G6828" s="301" t="s">
        <v>169</v>
      </c>
      <c r="H6828" s="307" t="s">
        <v>170</v>
      </c>
      <c r="I6828" s="307" t="s">
        <v>171</v>
      </c>
      <c r="J6828" s="432">
        <v>1.4999999999999999E-2</v>
      </c>
      <c r="K6828" s="309">
        <f>VLOOKUP(G6828,Upah,8,FALSE)</f>
        <v>125000</v>
      </c>
      <c r="L6828" s="310">
        <f>J6828*K6828</f>
        <v>1875</v>
      </c>
    </row>
    <row r="6829" spans="5:13" ht="15" customHeight="1">
      <c r="F6829" s="306"/>
      <c r="G6829" s="301" t="s">
        <v>413</v>
      </c>
      <c r="H6829" s="307" t="s">
        <v>173</v>
      </c>
      <c r="I6829" s="307" t="s">
        <v>171</v>
      </c>
      <c r="J6829" s="432">
        <v>0.15</v>
      </c>
      <c r="K6829" s="309">
        <f>VLOOKUP(G6829,Upah,8,FALSE)</f>
        <v>150000</v>
      </c>
      <c r="L6829" s="310">
        <f>J6829*K6829</f>
        <v>22500</v>
      </c>
    </row>
    <row r="6830" spans="5:13" ht="15" customHeight="1">
      <c r="F6830" s="306"/>
      <c r="G6830" s="301" t="s">
        <v>232</v>
      </c>
      <c r="H6830" s="307" t="s">
        <v>175</v>
      </c>
      <c r="I6830" s="307" t="s">
        <v>171</v>
      </c>
      <c r="J6830" s="432">
        <v>1.4999999999999999E-2</v>
      </c>
      <c r="K6830" s="309">
        <f>VLOOKUP(G6830,Upah,8,FALSE)</f>
        <v>165000</v>
      </c>
      <c r="L6830" s="310">
        <f>J6830*K6830</f>
        <v>2475</v>
      </c>
    </row>
    <row r="6831" spans="5:13" ht="15" customHeight="1" thickBot="1">
      <c r="F6831" s="306"/>
      <c r="G6831" s="301" t="s">
        <v>176</v>
      </c>
      <c r="H6831" s="307" t="s">
        <v>177</v>
      </c>
      <c r="I6831" s="307" t="s">
        <v>171</v>
      </c>
      <c r="J6831" s="432">
        <v>8.0000000000000002E-3</v>
      </c>
      <c r="K6831" s="309">
        <f>VLOOKUP(G6831,Upah,8,FALSE)</f>
        <v>170000</v>
      </c>
      <c r="L6831" s="310">
        <f>J6831*K6831</f>
        <v>1360</v>
      </c>
    </row>
    <row r="6832" spans="5:13" ht="15" customHeight="1" thickBot="1">
      <c r="F6832" s="316"/>
      <c r="G6832" s="317"/>
      <c r="H6832" s="318"/>
      <c r="I6832" s="318"/>
      <c r="J6832" s="319" t="s">
        <v>178</v>
      </c>
      <c r="K6832" s="320"/>
      <c r="L6832" s="321">
        <f>SUM(L6828:L6831)</f>
        <v>28210</v>
      </c>
    </row>
    <row r="6833" spans="5:13" ht="15" customHeight="1">
      <c r="F6833" s="300" t="s">
        <v>179</v>
      </c>
      <c r="G6833" s="301" t="s">
        <v>180</v>
      </c>
      <c r="H6833" s="302"/>
      <c r="I6833" s="302"/>
      <c r="J6833" s="351"/>
      <c r="K6833" s="328"/>
      <c r="L6833" s="310"/>
    </row>
    <row r="6834" spans="5:13" ht="15" customHeight="1" thickBot="1">
      <c r="F6834" s="306"/>
      <c r="G6834" s="301" t="s">
        <v>1242</v>
      </c>
      <c r="H6834" s="302"/>
      <c r="I6834" s="307" t="s">
        <v>23</v>
      </c>
      <c r="J6834" s="432">
        <v>1.1000000000000001</v>
      </c>
      <c r="K6834" s="328">
        <f>VLOOKUP(G6834,Bahan,6,FALSE)</f>
        <v>946700</v>
      </c>
      <c r="L6834" s="310">
        <f>J6834*K6834</f>
        <v>1041370.0000000001</v>
      </c>
    </row>
    <row r="6835" spans="5:13" ht="15" customHeight="1" thickBot="1">
      <c r="F6835" s="316"/>
      <c r="G6835" s="317"/>
      <c r="H6835" s="318"/>
      <c r="I6835" s="318"/>
      <c r="J6835" s="319" t="s">
        <v>189</v>
      </c>
      <c r="K6835" s="320"/>
      <c r="L6835" s="321">
        <f>SUM(L6834:L6834)</f>
        <v>1041370.0000000001</v>
      </c>
    </row>
    <row r="6836" spans="5:13" ht="15" customHeight="1" thickBot="1">
      <c r="F6836" s="300" t="s">
        <v>190</v>
      </c>
      <c r="G6836" s="301" t="s">
        <v>191</v>
      </c>
      <c r="H6836" s="302"/>
      <c r="I6836" s="302"/>
      <c r="J6836" s="351"/>
      <c r="K6836" s="328">
        <v>0</v>
      </c>
      <c r="L6836" s="310">
        <f>J6836*K6836</f>
        <v>0</v>
      </c>
    </row>
    <row r="6837" spans="5:13" ht="15" customHeight="1" thickBot="1">
      <c r="F6837" s="316"/>
      <c r="G6837" s="317"/>
      <c r="H6837" s="318"/>
      <c r="I6837" s="318"/>
      <c r="J6837" s="319" t="s">
        <v>192</v>
      </c>
      <c r="K6837" s="320"/>
      <c r="L6837" s="321">
        <f>L6836</f>
        <v>0</v>
      </c>
    </row>
    <row r="6838" spans="5:13" ht="15" customHeight="1">
      <c r="F6838" s="344" t="s">
        <v>193</v>
      </c>
      <c r="G6838" s="345" t="s">
        <v>194</v>
      </c>
      <c r="H6838" s="346"/>
      <c r="I6838" s="346"/>
      <c r="J6838" s="347"/>
      <c r="K6838" s="348">
        <v>0</v>
      </c>
      <c r="L6838" s="310">
        <f>SUM(L6828:L6837)/2</f>
        <v>1069580</v>
      </c>
    </row>
    <row r="6839" spans="5:13" ht="15" customHeight="1" thickBot="1">
      <c r="F6839" s="331" t="s">
        <v>195</v>
      </c>
      <c r="G6839" s="332" t="s">
        <v>196</v>
      </c>
      <c r="H6839" s="333"/>
      <c r="I6839" s="333"/>
      <c r="J6839" s="350">
        <v>0.1</v>
      </c>
      <c r="K6839" s="335"/>
      <c r="L6839" s="330">
        <f>J6839*L6838</f>
        <v>106958</v>
      </c>
    </row>
    <row r="6840" spans="5:13" ht="15" customHeight="1" thickBot="1">
      <c r="F6840" s="340" t="s">
        <v>197</v>
      </c>
      <c r="G6840" s="341" t="s">
        <v>198</v>
      </c>
      <c r="H6840" s="318"/>
      <c r="I6840" s="318"/>
      <c r="J6840" s="342"/>
      <c r="K6840" s="320">
        <v>0</v>
      </c>
      <c r="L6840" s="321">
        <f>ROUNDDOWN(L6838+L6839,0)</f>
        <v>1176538</v>
      </c>
    </row>
    <row r="6841" spans="5:13" ht="15" customHeight="1">
      <c r="F6841" s="298"/>
      <c r="G6841" s="298"/>
      <c r="J6841" s="343"/>
    </row>
    <row r="6842" spans="5:13" ht="15" customHeight="1" thickBot="1">
      <c r="E6842" s="356" t="s">
        <v>1243</v>
      </c>
      <c r="F6842" s="295" t="s">
        <v>1244</v>
      </c>
      <c r="J6842" s="343"/>
      <c r="M6842" s="299">
        <f>L6858</f>
        <v>165456</v>
      </c>
    </row>
    <row r="6843" spans="5:13" ht="15" customHeight="1" thickBot="1">
      <c r="F6843" s="340" t="s">
        <v>136</v>
      </c>
      <c r="G6843" s="341" t="s">
        <v>162</v>
      </c>
      <c r="H6843" s="352" t="s">
        <v>163</v>
      </c>
      <c r="I6843" s="352" t="s">
        <v>138</v>
      </c>
      <c r="J6843" s="353" t="s">
        <v>164</v>
      </c>
      <c r="K6843" s="341" t="s">
        <v>165</v>
      </c>
      <c r="L6843" s="354" t="s">
        <v>166</v>
      </c>
    </row>
    <row r="6844" spans="5:13" ht="15" customHeight="1">
      <c r="F6844" s="300" t="s">
        <v>167</v>
      </c>
      <c r="G6844" s="301" t="s">
        <v>168</v>
      </c>
      <c r="H6844" s="302"/>
      <c r="I6844" s="302"/>
      <c r="J6844" s="351"/>
      <c r="K6844" s="328"/>
      <c r="L6844" s="310"/>
    </row>
    <row r="6845" spans="5:13" ht="15" customHeight="1">
      <c r="F6845" s="306"/>
      <c r="G6845" s="301" t="s">
        <v>169</v>
      </c>
      <c r="H6845" s="307" t="s">
        <v>170</v>
      </c>
      <c r="I6845" s="307" t="s">
        <v>171</v>
      </c>
      <c r="J6845" s="432">
        <v>7.4999999999999997E-2</v>
      </c>
      <c r="K6845" s="309">
        <f>VLOOKUP(G6845,Upah,8,FALSE)</f>
        <v>125000</v>
      </c>
      <c r="L6845" s="310">
        <f>J6845*K6845</f>
        <v>9375</v>
      </c>
    </row>
    <row r="6846" spans="5:13" ht="15" customHeight="1">
      <c r="F6846" s="306"/>
      <c r="G6846" s="301" t="s">
        <v>413</v>
      </c>
      <c r="H6846" s="307" t="s">
        <v>173</v>
      </c>
      <c r="I6846" s="307" t="s">
        <v>171</v>
      </c>
      <c r="J6846" s="432">
        <v>0.15</v>
      </c>
      <c r="K6846" s="309">
        <f>VLOOKUP(G6846,Upah,8,FALSE)</f>
        <v>150000</v>
      </c>
      <c r="L6846" s="310">
        <f>J6846*K6846</f>
        <v>22500</v>
      </c>
    </row>
    <row r="6847" spans="5:13" ht="15" customHeight="1">
      <c r="F6847" s="306"/>
      <c r="G6847" s="301" t="s">
        <v>232</v>
      </c>
      <c r="H6847" s="307" t="s">
        <v>175</v>
      </c>
      <c r="I6847" s="307" t="s">
        <v>171</v>
      </c>
      <c r="J6847" s="432">
        <v>1.4999999999999999E-2</v>
      </c>
      <c r="K6847" s="309">
        <f>VLOOKUP(G6847,Upah,8,FALSE)</f>
        <v>165000</v>
      </c>
      <c r="L6847" s="310">
        <f>J6847*K6847</f>
        <v>2475</v>
      </c>
    </row>
    <row r="6848" spans="5:13" ht="15" customHeight="1" thickBot="1">
      <c r="F6848" s="306"/>
      <c r="G6848" s="301" t="s">
        <v>176</v>
      </c>
      <c r="H6848" s="307" t="s">
        <v>177</v>
      </c>
      <c r="I6848" s="307" t="s">
        <v>171</v>
      </c>
      <c r="J6848" s="432">
        <v>4.0000000000000001E-3</v>
      </c>
      <c r="K6848" s="309">
        <f>VLOOKUP(G6848,Upah,8,FALSE)</f>
        <v>170000</v>
      </c>
      <c r="L6848" s="310">
        <f>J6848*K6848</f>
        <v>680</v>
      </c>
    </row>
    <row r="6849" spans="4:13" ht="15" customHeight="1" thickBot="1">
      <c r="F6849" s="316"/>
      <c r="G6849" s="317"/>
      <c r="H6849" s="318"/>
      <c r="I6849" s="318"/>
      <c r="J6849" s="319" t="s">
        <v>178</v>
      </c>
      <c r="K6849" s="320"/>
      <c r="L6849" s="321">
        <f>SUM(L6845:L6848)</f>
        <v>35030</v>
      </c>
    </row>
    <row r="6850" spans="4:13" ht="15" customHeight="1">
      <c r="F6850" s="300" t="s">
        <v>179</v>
      </c>
      <c r="G6850" s="301" t="s">
        <v>180</v>
      </c>
      <c r="H6850" s="302"/>
      <c r="I6850" s="302"/>
      <c r="J6850" s="351"/>
      <c r="K6850" s="328"/>
      <c r="L6850" s="310"/>
    </row>
    <row r="6851" spans="4:13" ht="15" customHeight="1">
      <c r="F6851" s="306"/>
      <c r="G6851" s="301" t="s">
        <v>1245</v>
      </c>
      <c r="H6851" s="302"/>
      <c r="I6851" s="307" t="s">
        <v>23</v>
      </c>
      <c r="J6851" s="432">
        <v>1.1000000000000001</v>
      </c>
      <c r="K6851" s="328">
        <f>VLOOKUP(G6851,Bahan,6,FALSE)</f>
        <v>102850</v>
      </c>
      <c r="L6851" s="310">
        <f>J6851*K6851</f>
        <v>113135.00000000001</v>
      </c>
    </row>
    <row r="6852" spans="4:13" ht="15" customHeight="1" thickBot="1">
      <c r="F6852" s="306"/>
      <c r="G6852" s="301" t="s">
        <v>565</v>
      </c>
      <c r="H6852" s="302"/>
      <c r="I6852" s="307" t="s">
        <v>45</v>
      </c>
      <c r="J6852" s="432">
        <v>0.05</v>
      </c>
      <c r="K6852" s="328">
        <f>VLOOKUP(G6852,Bahan,6,FALSE)</f>
        <v>45000</v>
      </c>
      <c r="L6852" s="310">
        <f>J6852*K6852</f>
        <v>2250</v>
      </c>
    </row>
    <row r="6853" spans="4:13" ht="15" customHeight="1" thickBot="1">
      <c r="F6853" s="316"/>
      <c r="G6853" s="317"/>
      <c r="H6853" s="318"/>
      <c r="I6853" s="318"/>
      <c r="J6853" s="319" t="s">
        <v>189</v>
      </c>
      <c r="K6853" s="320"/>
      <c r="L6853" s="321">
        <f>SUM(L6851:L6852)</f>
        <v>115385.00000000001</v>
      </c>
    </row>
    <row r="6854" spans="4:13" ht="15" customHeight="1" thickBot="1">
      <c r="F6854" s="300" t="s">
        <v>190</v>
      </c>
      <c r="G6854" s="301" t="s">
        <v>191</v>
      </c>
      <c r="H6854" s="302"/>
      <c r="I6854" s="302"/>
      <c r="J6854" s="351"/>
      <c r="K6854" s="328">
        <v>0</v>
      </c>
      <c r="L6854" s="310">
        <f>J6854*K6854</f>
        <v>0</v>
      </c>
    </row>
    <row r="6855" spans="4:13" ht="15" customHeight="1" thickBot="1">
      <c r="F6855" s="316"/>
      <c r="G6855" s="317"/>
      <c r="H6855" s="318"/>
      <c r="I6855" s="318"/>
      <c r="J6855" s="319" t="s">
        <v>192</v>
      </c>
      <c r="K6855" s="320"/>
      <c r="L6855" s="321">
        <f>L6854</f>
        <v>0</v>
      </c>
    </row>
    <row r="6856" spans="4:13" ht="15" customHeight="1">
      <c r="F6856" s="344" t="s">
        <v>193</v>
      </c>
      <c r="G6856" s="345" t="s">
        <v>194</v>
      </c>
      <c r="H6856" s="346"/>
      <c r="I6856" s="346"/>
      <c r="J6856" s="347"/>
      <c r="K6856" s="348">
        <v>0</v>
      </c>
      <c r="L6856" s="310">
        <f>SUM(L6845:L6855)/2</f>
        <v>150415</v>
      </c>
    </row>
    <row r="6857" spans="4:13" ht="15" customHeight="1" thickBot="1">
      <c r="F6857" s="331" t="s">
        <v>195</v>
      </c>
      <c r="G6857" s="332" t="s">
        <v>196</v>
      </c>
      <c r="H6857" s="333"/>
      <c r="I6857" s="333"/>
      <c r="J6857" s="350">
        <v>0.1</v>
      </c>
      <c r="K6857" s="335"/>
      <c r="L6857" s="330">
        <f>J6857*L6856</f>
        <v>15041.5</v>
      </c>
    </row>
    <row r="6858" spans="4:13" ht="15" customHeight="1" thickBot="1">
      <c r="F6858" s="340" t="s">
        <v>197</v>
      </c>
      <c r="G6858" s="341" t="s">
        <v>198</v>
      </c>
      <c r="H6858" s="318"/>
      <c r="I6858" s="318"/>
      <c r="J6858" s="342"/>
      <c r="K6858" s="320">
        <v>0</v>
      </c>
      <c r="L6858" s="321">
        <f>ROUNDDOWN(L6856+L6857,0)</f>
        <v>165456</v>
      </c>
    </row>
    <row r="6859" spans="4:13" ht="15" customHeight="1">
      <c r="F6859" s="298"/>
      <c r="G6859" s="298"/>
      <c r="J6859" s="343"/>
    </row>
    <row r="6860" spans="4:13" ht="15" customHeight="1">
      <c r="D6860" s="560" t="s">
        <v>1246</v>
      </c>
      <c r="E6860" s="358" t="s">
        <v>1247</v>
      </c>
      <c r="J6860" s="343"/>
    </row>
    <row r="6861" spans="4:13" ht="15" customHeight="1" thickBot="1">
      <c r="E6861" s="356" t="s">
        <v>1248</v>
      </c>
      <c r="F6861" s="295" t="s">
        <v>1249</v>
      </c>
      <c r="J6861" s="343"/>
      <c r="M6861" s="299">
        <f>L6874</f>
        <v>23982</v>
      </c>
    </row>
    <row r="6862" spans="4:13" ht="15" customHeight="1" thickBot="1">
      <c r="F6862" s="340" t="s">
        <v>136</v>
      </c>
      <c r="G6862" s="341" t="s">
        <v>162</v>
      </c>
      <c r="H6862" s="352" t="s">
        <v>163</v>
      </c>
      <c r="I6862" s="352" t="s">
        <v>138</v>
      </c>
      <c r="J6862" s="353" t="s">
        <v>164</v>
      </c>
      <c r="K6862" s="341" t="s">
        <v>165</v>
      </c>
      <c r="L6862" s="354" t="s">
        <v>166</v>
      </c>
    </row>
    <row r="6863" spans="4:13" ht="15" customHeight="1">
      <c r="F6863" s="300" t="s">
        <v>167</v>
      </c>
      <c r="G6863" s="301" t="s">
        <v>168</v>
      </c>
      <c r="H6863" s="302"/>
      <c r="I6863" s="302"/>
      <c r="J6863" s="351"/>
      <c r="K6863" s="328"/>
      <c r="L6863" s="310"/>
    </row>
    <row r="6864" spans="4:13" ht="15" customHeight="1">
      <c r="F6864" s="306"/>
      <c r="G6864" s="301" t="s">
        <v>169</v>
      </c>
      <c r="H6864" s="307" t="s">
        <v>170</v>
      </c>
      <c r="I6864" s="307" t="s">
        <v>171</v>
      </c>
      <c r="J6864" s="432">
        <v>0.15</v>
      </c>
      <c r="K6864" s="309">
        <f>VLOOKUP(G6864,Upah,8,FALSE)</f>
        <v>125000</v>
      </c>
      <c r="L6864" s="310">
        <f>J6864*K6864</f>
        <v>18750</v>
      </c>
    </row>
    <row r="6865" spans="5:13" ht="15" customHeight="1" thickBot="1">
      <c r="F6865" s="306"/>
      <c r="G6865" s="301" t="s">
        <v>176</v>
      </c>
      <c r="H6865" s="307" t="s">
        <v>177</v>
      </c>
      <c r="I6865" s="307" t="s">
        <v>171</v>
      </c>
      <c r="J6865" s="432">
        <v>3.0000000000000001E-3</v>
      </c>
      <c r="K6865" s="309">
        <f>VLOOKUP(G6865,Upah,8,FALSE)</f>
        <v>170000</v>
      </c>
      <c r="L6865" s="310">
        <f>J6865*K6865</f>
        <v>510</v>
      </c>
    </row>
    <row r="6866" spans="5:13" ht="15" customHeight="1" thickBot="1">
      <c r="F6866" s="316"/>
      <c r="G6866" s="317"/>
      <c r="H6866" s="318"/>
      <c r="I6866" s="318"/>
      <c r="J6866" s="319" t="s">
        <v>178</v>
      </c>
      <c r="K6866" s="320"/>
      <c r="L6866" s="321">
        <f>SUM(L6862:L6865)</f>
        <v>19260</v>
      </c>
    </row>
    <row r="6867" spans="5:13" ht="15" customHeight="1">
      <c r="F6867" s="300" t="s">
        <v>179</v>
      </c>
      <c r="G6867" s="301" t="s">
        <v>180</v>
      </c>
      <c r="H6867" s="302"/>
      <c r="I6867" s="302"/>
      <c r="J6867" s="351"/>
      <c r="K6867" s="328"/>
      <c r="L6867" s="310"/>
    </row>
    <row r="6868" spans="5:13" ht="15" customHeight="1" thickBot="1">
      <c r="F6868" s="306"/>
      <c r="G6868" s="301" t="s">
        <v>1250</v>
      </c>
      <c r="H6868" s="302"/>
      <c r="I6868" s="307" t="s">
        <v>45</v>
      </c>
      <c r="J6868" s="432">
        <v>0.05</v>
      </c>
      <c r="K6868" s="328">
        <f>VLOOKUP(G6868,Bahan,6,FALSE)</f>
        <v>50850</v>
      </c>
      <c r="L6868" s="310">
        <f>J6868*K6868</f>
        <v>2542.5</v>
      </c>
    </row>
    <row r="6869" spans="5:13" ht="15" customHeight="1" thickBot="1">
      <c r="F6869" s="316"/>
      <c r="G6869" s="317"/>
      <c r="H6869" s="318"/>
      <c r="I6869" s="318"/>
      <c r="J6869" s="319" t="s">
        <v>189</v>
      </c>
      <c r="K6869" s="320"/>
      <c r="L6869" s="321">
        <f>SUM(L6867:L6868)</f>
        <v>2542.5</v>
      </c>
    </row>
    <row r="6870" spans="5:13" ht="15" customHeight="1" thickBot="1">
      <c r="F6870" s="300" t="s">
        <v>190</v>
      </c>
      <c r="G6870" s="301" t="s">
        <v>191</v>
      </c>
      <c r="H6870" s="302"/>
      <c r="I6870" s="302"/>
      <c r="J6870" s="351"/>
      <c r="K6870" s="328">
        <v>0</v>
      </c>
      <c r="L6870" s="310">
        <f>J6870*K6870</f>
        <v>0</v>
      </c>
    </row>
    <row r="6871" spans="5:13" ht="15" customHeight="1" thickBot="1">
      <c r="F6871" s="316"/>
      <c r="G6871" s="317"/>
      <c r="H6871" s="318"/>
      <c r="I6871" s="318"/>
      <c r="J6871" s="319" t="s">
        <v>192</v>
      </c>
      <c r="K6871" s="320"/>
      <c r="L6871" s="321">
        <f>L6870</f>
        <v>0</v>
      </c>
    </row>
    <row r="6872" spans="5:13" ht="15" customHeight="1">
      <c r="F6872" s="344" t="s">
        <v>193</v>
      </c>
      <c r="G6872" s="345" t="s">
        <v>194</v>
      </c>
      <c r="H6872" s="346"/>
      <c r="I6872" s="346"/>
      <c r="J6872" s="347"/>
      <c r="K6872" s="348">
        <v>0</v>
      </c>
      <c r="L6872" s="310">
        <f>SUM(L6861:L6871)/2</f>
        <v>21802.5</v>
      </c>
    </row>
    <row r="6873" spans="5:13" ht="15" customHeight="1" thickBot="1">
      <c r="F6873" s="331" t="s">
        <v>195</v>
      </c>
      <c r="G6873" s="332" t="s">
        <v>196</v>
      </c>
      <c r="H6873" s="333"/>
      <c r="I6873" s="333"/>
      <c r="J6873" s="350">
        <v>0.1</v>
      </c>
      <c r="K6873" s="335"/>
      <c r="L6873" s="330">
        <f>J6873*L6872</f>
        <v>2180.25</v>
      </c>
    </row>
    <row r="6874" spans="5:13" ht="15" customHeight="1" thickBot="1">
      <c r="F6874" s="340" t="s">
        <v>197</v>
      </c>
      <c r="G6874" s="341" t="s">
        <v>198</v>
      </c>
      <c r="H6874" s="318"/>
      <c r="I6874" s="318"/>
      <c r="J6874" s="342"/>
      <c r="K6874" s="320">
        <v>0</v>
      </c>
      <c r="L6874" s="321">
        <f>ROUNDDOWN(L6872+L6873,0)</f>
        <v>23982</v>
      </c>
    </row>
    <row r="6875" spans="5:13" ht="15" customHeight="1">
      <c r="F6875" s="298"/>
      <c r="G6875" s="298"/>
      <c r="J6875" s="343"/>
    </row>
    <row r="6876" spans="5:13" ht="15" customHeight="1" thickBot="1">
      <c r="E6876" s="356" t="s">
        <v>1251</v>
      </c>
      <c r="F6876" s="295" t="s">
        <v>1252</v>
      </c>
      <c r="J6876" s="343"/>
      <c r="M6876" s="299">
        <f>L6889</f>
        <v>21901</v>
      </c>
    </row>
    <row r="6877" spans="5:13" ht="15" customHeight="1" thickBot="1">
      <c r="F6877" s="340" t="s">
        <v>136</v>
      </c>
      <c r="G6877" s="341" t="s">
        <v>162</v>
      </c>
      <c r="H6877" s="352" t="s">
        <v>163</v>
      </c>
      <c r="I6877" s="352" t="s">
        <v>138</v>
      </c>
      <c r="J6877" s="353" t="s">
        <v>164</v>
      </c>
      <c r="K6877" s="341" t="s">
        <v>165</v>
      </c>
      <c r="L6877" s="354" t="s">
        <v>166</v>
      </c>
    </row>
    <row r="6878" spans="5:13" ht="15" customHeight="1">
      <c r="F6878" s="300" t="s">
        <v>167</v>
      </c>
      <c r="G6878" s="301" t="s">
        <v>168</v>
      </c>
      <c r="H6878" s="302"/>
      <c r="I6878" s="302"/>
      <c r="J6878" s="351"/>
      <c r="K6878" s="328"/>
      <c r="L6878" s="310"/>
    </row>
    <row r="6879" spans="5:13" ht="15" customHeight="1">
      <c r="F6879" s="306"/>
      <c r="G6879" s="301" t="s">
        <v>169</v>
      </c>
      <c r="H6879" s="307" t="s">
        <v>170</v>
      </c>
      <c r="I6879" s="307" t="s">
        <v>171</v>
      </c>
      <c r="J6879" s="432">
        <v>0.15</v>
      </c>
      <c r="K6879" s="309">
        <f>VLOOKUP(G6879,Upah,8,FALSE)</f>
        <v>125000</v>
      </c>
      <c r="L6879" s="310">
        <f>J6879*K6879</f>
        <v>18750</v>
      </c>
    </row>
    <row r="6880" spans="5:13" ht="15" customHeight="1" thickBot="1">
      <c r="F6880" s="306"/>
      <c r="G6880" s="301" t="s">
        <v>176</v>
      </c>
      <c r="H6880" s="307" t="s">
        <v>177</v>
      </c>
      <c r="I6880" s="307" t="s">
        <v>171</v>
      </c>
      <c r="J6880" s="432">
        <v>3.0000000000000001E-3</v>
      </c>
      <c r="K6880" s="309">
        <f>VLOOKUP(G6880,Upah,8,FALSE)</f>
        <v>170000</v>
      </c>
      <c r="L6880" s="310">
        <f>J6880*K6880</f>
        <v>510</v>
      </c>
    </row>
    <row r="6881" spans="5:13" ht="15" customHeight="1" thickBot="1">
      <c r="F6881" s="316"/>
      <c r="G6881" s="317"/>
      <c r="H6881" s="318"/>
      <c r="I6881" s="318"/>
      <c r="J6881" s="319" t="s">
        <v>178</v>
      </c>
      <c r="K6881" s="320"/>
      <c r="L6881" s="321">
        <f>SUM(L6877:L6880)</f>
        <v>19260</v>
      </c>
    </row>
    <row r="6882" spans="5:13" ht="15" customHeight="1">
      <c r="F6882" s="300" t="s">
        <v>179</v>
      </c>
      <c r="G6882" s="301" t="s">
        <v>180</v>
      </c>
      <c r="H6882" s="302"/>
      <c r="I6882" s="302"/>
      <c r="J6882" s="351"/>
      <c r="K6882" s="328"/>
      <c r="L6882" s="310"/>
    </row>
    <row r="6883" spans="5:13" ht="15" customHeight="1" thickBot="1">
      <c r="F6883" s="306"/>
      <c r="G6883" s="301" t="s">
        <v>1253</v>
      </c>
      <c r="H6883" s="302"/>
      <c r="I6883" s="307" t="s">
        <v>45</v>
      </c>
      <c r="J6883" s="432">
        <v>0.05</v>
      </c>
      <c r="K6883" s="328">
        <f>VLOOKUP(G6883,Bahan,6,FALSE)</f>
        <v>13000</v>
      </c>
      <c r="L6883" s="310">
        <f>J6883*K6883</f>
        <v>650</v>
      </c>
    </row>
    <row r="6884" spans="5:13" ht="15" customHeight="1" thickBot="1">
      <c r="F6884" s="316"/>
      <c r="G6884" s="317"/>
      <c r="H6884" s="318"/>
      <c r="I6884" s="318"/>
      <c r="J6884" s="319" t="s">
        <v>189</v>
      </c>
      <c r="K6884" s="320"/>
      <c r="L6884" s="321">
        <f>SUM(L6882:L6883)</f>
        <v>650</v>
      </c>
    </row>
    <row r="6885" spans="5:13" ht="15" customHeight="1" thickBot="1">
      <c r="F6885" s="300" t="s">
        <v>190</v>
      </c>
      <c r="G6885" s="301" t="s">
        <v>191</v>
      </c>
      <c r="H6885" s="302"/>
      <c r="I6885" s="302"/>
      <c r="J6885" s="351"/>
      <c r="K6885" s="328">
        <v>0</v>
      </c>
      <c r="L6885" s="310">
        <f>J6885*K6885</f>
        <v>0</v>
      </c>
    </row>
    <row r="6886" spans="5:13" ht="15" customHeight="1" thickBot="1">
      <c r="F6886" s="316"/>
      <c r="G6886" s="317"/>
      <c r="H6886" s="318"/>
      <c r="I6886" s="318"/>
      <c r="J6886" s="319" t="s">
        <v>192</v>
      </c>
      <c r="K6886" s="320"/>
      <c r="L6886" s="321">
        <f>L6885</f>
        <v>0</v>
      </c>
    </row>
    <row r="6887" spans="5:13" ht="15" customHeight="1">
      <c r="F6887" s="344" t="s">
        <v>193</v>
      </c>
      <c r="G6887" s="345" t="s">
        <v>194</v>
      </c>
      <c r="H6887" s="346"/>
      <c r="I6887" s="346"/>
      <c r="J6887" s="347"/>
      <c r="K6887" s="348">
        <v>0</v>
      </c>
      <c r="L6887" s="310">
        <f>SUM(L6876:L6886)/2</f>
        <v>19910</v>
      </c>
    </row>
    <row r="6888" spans="5:13" ht="15" customHeight="1" thickBot="1">
      <c r="F6888" s="331" t="s">
        <v>195</v>
      </c>
      <c r="G6888" s="332" t="s">
        <v>196</v>
      </c>
      <c r="H6888" s="333"/>
      <c r="I6888" s="333"/>
      <c r="J6888" s="350">
        <v>0.1</v>
      </c>
      <c r="K6888" s="335"/>
      <c r="L6888" s="330">
        <f>J6888*L6887</f>
        <v>1991</v>
      </c>
    </row>
    <row r="6889" spans="5:13" ht="15" customHeight="1" thickBot="1">
      <c r="F6889" s="340" t="s">
        <v>197</v>
      </c>
      <c r="G6889" s="341" t="s">
        <v>198</v>
      </c>
      <c r="H6889" s="318"/>
      <c r="I6889" s="318"/>
      <c r="J6889" s="342"/>
      <c r="K6889" s="320">
        <v>0</v>
      </c>
      <c r="L6889" s="321">
        <f>ROUNDDOWN(L6887+L6888,0)</f>
        <v>21901</v>
      </c>
    </row>
    <row r="6890" spans="5:13" ht="15" customHeight="1">
      <c r="F6890" s="298"/>
      <c r="G6890" s="298"/>
      <c r="J6890" s="343"/>
    </row>
    <row r="6891" spans="5:13" ht="15" customHeight="1" thickBot="1">
      <c r="E6891" s="356" t="s">
        <v>1254</v>
      </c>
      <c r="F6891" s="295" t="s">
        <v>1255</v>
      </c>
      <c r="J6891" s="343"/>
      <c r="M6891" s="299">
        <f>L6904</f>
        <v>22836</v>
      </c>
    </row>
    <row r="6892" spans="5:13" ht="15" customHeight="1" thickBot="1">
      <c r="F6892" s="340" t="s">
        <v>136</v>
      </c>
      <c r="G6892" s="341" t="s">
        <v>162</v>
      </c>
      <c r="H6892" s="352" t="s">
        <v>163</v>
      </c>
      <c r="I6892" s="352" t="s">
        <v>138</v>
      </c>
      <c r="J6892" s="353" t="s">
        <v>164</v>
      </c>
      <c r="K6892" s="341" t="s">
        <v>165</v>
      </c>
      <c r="L6892" s="354" t="s">
        <v>166</v>
      </c>
    </row>
    <row r="6893" spans="5:13" ht="15" customHeight="1">
      <c r="F6893" s="300" t="s">
        <v>167</v>
      </c>
      <c r="G6893" s="301" t="s">
        <v>168</v>
      </c>
      <c r="H6893" s="302"/>
      <c r="I6893" s="302"/>
      <c r="J6893" s="351"/>
      <c r="K6893" s="328"/>
      <c r="L6893" s="310"/>
    </row>
    <row r="6894" spans="5:13" ht="15" customHeight="1">
      <c r="F6894" s="306"/>
      <c r="G6894" s="301" t="s">
        <v>169</v>
      </c>
      <c r="H6894" s="307" t="s">
        <v>170</v>
      </c>
      <c r="I6894" s="307" t="s">
        <v>171</v>
      </c>
      <c r="J6894" s="432">
        <v>0.15</v>
      </c>
      <c r="K6894" s="309">
        <f>VLOOKUP(G6894,Upah,8,FALSE)</f>
        <v>125000</v>
      </c>
      <c r="L6894" s="310">
        <f>J6894*K6894</f>
        <v>18750</v>
      </c>
    </row>
    <row r="6895" spans="5:13" ht="15" customHeight="1" thickBot="1">
      <c r="F6895" s="306"/>
      <c r="G6895" s="301" t="s">
        <v>176</v>
      </c>
      <c r="H6895" s="307" t="s">
        <v>177</v>
      </c>
      <c r="I6895" s="307" t="s">
        <v>171</v>
      </c>
      <c r="J6895" s="432">
        <v>8.0000000000000002E-3</v>
      </c>
      <c r="K6895" s="309">
        <f>VLOOKUP(G6895,Upah,8,FALSE)</f>
        <v>170000</v>
      </c>
      <c r="L6895" s="310">
        <f>J6895*K6895</f>
        <v>1360</v>
      </c>
    </row>
    <row r="6896" spans="5:13" ht="15" customHeight="1" thickBot="1">
      <c r="F6896" s="316"/>
      <c r="G6896" s="317"/>
      <c r="H6896" s="318"/>
      <c r="I6896" s="318"/>
      <c r="J6896" s="319" t="s">
        <v>178</v>
      </c>
      <c r="K6896" s="320"/>
      <c r="L6896" s="321">
        <f>SUM(L6892:L6895)</f>
        <v>20110</v>
      </c>
    </row>
    <row r="6897" spans="5:13" ht="15" customHeight="1">
      <c r="F6897" s="300" t="s">
        <v>179</v>
      </c>
      <c r="G6897" s="301" t="s">
        <v>180</v>
      </c>
      <c r="H6897" s="302"/>
      <c r="I6897" s="302"/>
      <c r="J6897" s="351"/>
      <c r="K6897" s="328"/>
      <c r="L6897" s="310"/>
    </row>
    <row r="6898" spans="5:13" ht="15" customHeight="1" thickBot="1">
      <c r="F6898" s="306"/>
      <c r="G6898" s="301" t="s">
        <v>1253</v>
      </c>
      <c r="H6898" s="302"/>
      <c r="I6898" s="307" t="s">
        <v>45</v>
      </c>
      <c r="J6898" s="432">
        <v>0.05</v>
      </c>
      <c r="K6898" s="328">
        <f>VLOOKUP(G6898,Bahan,6,FALSE)</f>
        <v>13000</v>
      </c>
      <c r="L6898" s="310">
        <f>J6898*K6898</f>
        <v>650</v>
      </c>
    </row>
    <row r="6899" spans="5:13" ht="15" customHeight="1" thickBot="1">
      <c r="F6899" s="316"/>
      <c r="G6899" s="317"/>
      <c r="H6899" s="318"/>
      <c r="I6899" s="318"/>
      <c r="J6899" s="319" t="s">
        <v>189</v>
      </c>
      <c r="K6899" s="320"/>
      <c r="L6899" s="321">
        <f>SUM(L6897:L6898)</f>
        <v>650</v>
      </c>
    </row>
    <row r="6900" spans="5:13" ht="15" customHeight="1" thickBot="1">
      <c r="F6900" s="300" t="s">
        <v>190</v>
      </c>
      <c r="G6900" s="301" t="s">
        <v>191</v>
      </c>
      <c r="H6900" s="302"/>
      <c r="I6900" s="302"/>
      <c r="J6900" s="351"/>
      <c r="K6900" s="328">
        <v>0</v>
      </c>
      <c r="L6900" s="310">
        <f>J6900*K6900</f>
        <v>0</v>
      </c>
    </row>
    <row r="6901" spans="5:13" ht="15" customHeight="1" thickBot="1">
      <c r="F6901" s="316"/>
      <c r="G6901" s="317"/>
      <c r="H6901" s="318"/>
      <c r="I6901" s="318"/>
      <c r="J6901" s="319" t="s">
        <v>192</v>
      </c>
      <c r="K6901" s="320"/>
      <c r="L6901" s="321">
        <f>L6900</f>
        <v>0</v>
      </c>
    </row>
    <row r="6902" spans="5:13" ht="15" customHeight="1">
      <c r="F6902" s="344" t="s">
        <v>193</v>
      </c>
      <c r="G6902" s="345" t="s">
        <v>194</v>
      </c>
      <c r="H6902" s="346"/>
      <c r="I6902" s="346"/>
      <c r="J6902" s="347"/>
      <c r="K6902" s="348">
        <v>0</v>
      </c>
      <c r="L6902" s="310">
        <f>SUM(L6891:L6901)/2</f>
        <v>20760</v>
      </c>
    </row>
    <row r="6903" spans="5:13" ht="15" customHeight="1" thickBot="1">
      <c r="F6903" s="331" t="s">
        <v>195</v>
      </c>
      <c r="G6903" s="332" t="s">
        <v>196</v>
      </c>
      <c r="H6903" s="333"/>
      <c r="I6903" s="333"/>
      <c r="J6903" s="350">
        <v>0.1</v>
      </c>
      <c r="K6903" s="335"/>
      <c r="L6903" s="330">
        <f>J6903*L6902</f>
        <v>2076</v>
      </c>
    </row>
    <row r="6904" spans="5:13" ht="15" customHeight="1" thickBot="1">
      <c r="F6904" s="340" t="s">
        <v>197</v>
      </c>
      <c r="G6904" s="341" t="s">
        <v>198</v>
      </c>
      <c r="H6904" s="318"/>
      <c r="I6904" s="318"/>
      <c r="J6904" s="342"/>
      <c r="K6904" s="320">
        <v>0</v>
      </c>
      <c r="L6904" s="321">
        <f>ROUNDDOWN(L6902+L6903,0)</f>
        <v>22836</v>
      </c>
    </row>
    <row r="6905" spans="5:13" ht="15" customHeight="1">
      <c r="F6905" s="298"/>
      <c r="G6905" s="298"/>
      <c r="J6905" s="343"/>
    </row>
    <row r="6906" spans="5:13" ht="15" customHeight="1" thickBot="1">
      <c r="E6906" s="356" t="s">
        <v>1256</v>
      </c>
      <c r="F6906" s="295" t="s">
        <v>1257</v>
      </c>
      <c r="J6906" s="343"/>
      <c r="M6906" s="299">
        <f>L6927</f>
        <v>52538</v>
      </c>
    </row>
    <row r="6907" spans="5:13" ht="15" customHeight="1" thickBot="1">
      <c r="F6907" s="340" t="s">
        <v>136</v>
      </c>
      <c r="G6907" s="341" t="s">
        <v>162</v>
      </c>
      <c r="H6907" s="352" t="s">
        <v>163</v>
      </c>
      <c r="I6907" s="352" t="s">
        <v>138</v>
      </c>
      <c r="J6907" s="353" t="s">
        <v>164</v>
      </c>
      <c r="K6907" s="341" t="s">
        <v>165</v>
      </c>
      <c r="L6907" s="354" t="s">
        <v>166</v>
      </c>
    </row>
    <row r="6908" spans="5:13" ht="15" customHeight="1">
      <c r="F6908" s="300" t="s">
        <v>167</v>
      </c>
      <c r="G6908" s="301" t="s">
        <v>168</v>
      </c>
      <c r="H6908" s="302"/>
      <c r="I6908" s="302"/>
      <c r="J6908" s="351"/>
      <c r="K6908" s="328"/>
      <c r="L6908" s="310"/>
    </row>
    <row r="6909" spans="5:13" ht="15" customHeight="1">
      <c r="F6909" s="306"/>
      <c r="G6909" s="301" t="s">
        <v>169</v>
      </c>
      <c r="H6909" s="307" t="s">
        <v>170</v>
      </c>
      <c r="I6909" s="307" t="s">
        <v>171</v>
      </c>
      <c r="J6909" s="432">
        <v>7.0000000000000007E-2</v>
      </c>
      <c r="K6909" s="309">
        <f>VLOOKUP(G6909,Upah,8,FALSE)</f>
        <v>125000</v>
      </c>
      <c r="L6909" s="310">
        <f>J6909*K6909</f>
        <v>8750</v>
      </c>
    </row>
    <row r="6910" spans="5:13" ht="15" customHeight="1">
      <c r="F6910" s="306"/>
      <c r="G6910" s="301" t="s">
        <v>1258</v>
      </c>
      <c r="H6910" s="307" t="s">
        <v>1259</v>
      </c>
      <c r="I6910" s="307" t="s">
        <v>171</v>
      </c>
      <c r="J6910" s="432">
        <v>8.9999999999999993E-3</v>
      </c>
      <c r="K6910" s="309">
        <f>VLOOKUP(G6910,Upah,8,FALSE)</f>
        <v>150000</v>
      </c>
      <c r="L6910" s="310">
        <f>J6910*K6910</f>
        <v>1350</v>
      </c>
    </row>
    <row r="6911" spans="5:13" ht="15" customHeight="1">
      <c r="F6911" s="306"/>
      <c r="G6911" s="301" t="s">
        <v>232</v>
      </c>
      <c r="H6911" s="307" t="s">
        <v>175</v>
      </c>
      <c r="I6911" s="307" t="s">
        <v>171</v>
      </c>
      <c r="J6911" s="432">
        <v>6.0000000000000001E-3</v>
      </c>
      <c r="K6911" s="309">
        <f>VLOOKUP(G6911,Upah,8,FALSE)</f>
        <v>165000</v>
      </c>
      <c r="L6911" s="310">
        <f>J6911*K6911</f>
        <v>990</v>
      </c>
    </row>
    <row r="6912" spans="5:13" ht="15" customHeight="1" thickBot="1">
      <c r="F6912" s="306"/>
      <c r="G6912" s="301" t="s">
        <v>176</v>
      </c>
      <c r="H6912" s="307" t="s">
        <v>177</v>
      </c>
      <c r="I6912" s="307" t="s">
        <v>171</v>
      </c>
      <c r="J6912" s="432">
        <v>3.0000000000000001E-3</v>
      </c>
      <c r="K6912" s="309">
        <f>VLOOKUP(G6912,Upah,8,FALSE)</f>
        <v>170000</v>
      </c>
      <c r="L6912" s="310">
        <f>J6912*K6912</f>
        <v>510</v>
      </c>
    </row>
    <row r="6913" spans="6:12" ht="15" customHeight="1" thickBot="1">
      <c r="F6913" s="316"/>
      <c r="G6913" s="317"/>
      <c r="H6913" s="318"/>
      <c r="I6913" s="318"/>
      <c r="J6913" s="319" t="s">
        <v>178</v>
      </c>
      <c r="K6913" s="320"/>
      <c r="L6913" s="321">
        <f>SUM(L6909:L6912)</f>
        <v>11600</v>
      </c>
    </row>
    <row r="6914" spans="6:12" ht="15" customHeight="1">
      <c r="F6914" s="300" t="s">
        <v>179</v>
      </c>
      <c r="G6914" s="301" t="s">
        <v>180</v>
      </c>
      <c r="H6914" s="302"/>
      <c r="I6914" s="302"/>
      <c r="J6914" s="351"/>
      <c r="K6914" s="328"/>
      <c r="L6914" s="310"/>
    </row>
    <row r="6915" spans="6:12" ht="15" customHeight="1">
      <c r="F6915" s="306"/>
      <c r="G6915" s="301" t="s">
        <v>1260</v>
      </c>
      <c r="H6915" s="302"/>
      <c r="I6915" s="307" t="s">
        <v>45</v>
      </c>
      <c r="J6915" s="432">
        <v>0.2</v>
      </c>
      <c r="K6915" s="328">
        <f t="shared" ref="K6915:K6921" si="69">VLOOKUP(G6915,Bahan,6,FALSE)</f>
        <v>30750</v>
      </c>
      <c r="L6915" s="310">
        <f t="shared" ref="L6915:L6921" si="70">J6915*K6915</f>
        <v>6150</v>
      </c>
    </row>
    <row r="6916" spans="6:12" ht="15" customHeight="1">
      <c r="F6916" s="306"/>
      <c r="G6916" s="301" t="s">
        <v>1261</v>
      </c>
      <c r="H6916" s="302"/>
      <c r="I6916" s="307" t="s">
        <v>45</v>
      </c>
      <c r="J6916" s="432">
        <v>0.15</v>
      </c>
      <c r="K6916" s="328">
        <f t="shared" si="69"/>
        <v>22000</v>
      </c>
      <c r="L6916" s="310">
        <f t="shared" si="70"/>
        <v>3300</v>
      </c>
    </row>
    <row r="6917" spans="6:12" ht="15" customHeight="1">
      <c r="F6917" s="306"/>
      <c r="G6917" s="301" t="s">
        <v>1262</v>
      </c>
      <c r="H6917" s="302"/>
      <c r="I6917" s="307" t="s">
        <v>45</v>
      </c>
      <c r="J6917" s="432">
        <v>0.17</v>
      </c>
      <c r="K6917" s="328">
        <f t="shared" si="69"/>
        <v>39370</v>
      </c>
      <c r="L6917" s="310">
        <f t="shared" si="70"/>
        <v>6692.9000000000005</v>
      </c>
    </row>
    <row r="6918" spans="6:12" ht="15" customHeight="1">
      <c r="F6918" s="306"/>
      <c r="G6918" s="301" t="s">
        <v>1263</v>
      </c>
      <c r="H6918" s="302"/>
      <c r="I6918" s="307" t="s">
        <v>45</v>
      </c>
      <c r="J6918" s="432">
        <v>0.26</v>
      </c>
      <c r="K6918" s="328">
        <f t="shared" si="69"/>
        <v>65000</v>
      </c>
      <c r="L6918" s="310">
        <f t="shared" si="70"/>
        <v>16900</v>
      </c>
    </row>
    <row r="6919" spans="6:12" ht="15" customHeight="1">
      <c r="F6919" s="306"/>
      <c r="G6919" s="301" t="s">
        <v>1264</v>
      </c>
      <c r="H6919" s="302"/>
      <c r="I6919" s="307" t="s">
        <v>221</v>
      </c>
      <c r="J6919" s="432">
        <v>0.01</v>
      </c>
      <c r="K6919" s="328">
        <f t="shared" si="69"/>
        <v>20740</v>
      </c>
      <c r="L6919" s="310">
        <f t="shared" si="70"/>
        <v>207.4</v>
      </c>
    </row>
    <row r="6920" spans="6:12" ht="15" customHeight="1">
      <c r="F6920" s="306"/>
      <c r="G6920" s="301" t="s">
        <v>1265</v>
      </c>
      <c r="H6920" s="302"/>
      <c r="I6920" s="307" t="s">
        <v>45</v>
      </c>
      <c r="J6920" s="432">
        <v>0.03</v>
      </c>
      <c r="K6920" s="328">
        <f t="shared" si="69"/>
        <v>42000</v>
      </c>
      <c r="L6920" s="310">
        <f t="shared" si="70"/>
        <v>1260</v>
      </c>
    </row>
    <row r="6921" spans="6:12" ht="15" customHeight="1" thickBot="1">
      <c r="F6921" s="306"/>
      <c r="G6921" s="301" t="s">
        <v>1266</v>
      </c>
      <c r="H6921" s="302"/>
      <c r="I6921" s="307" t="s">
        <v>202</v>
      </c>
      <c r="J6921" s="432">
        <v>0.2</v>
      </c>
      <c r="K6921" s="328">
        <f t="shared" si="69"/>
        <v>8260</v>
      </c>
      <c r="L6921" s="310">
        <f t="shared" si="70"/>
        <v>1652</v>
      </c>
    </row>
    <row r="6922" spans="6:12" ht="15" customHeight="1" thickBot="1">
      <c r="F6922" s="316"/>
      <c r="G6922" s="317"/>
      <c r="H6922" s="318"/>
      <c r="I6922" s="318"/>
      <c r="J6922" s="319" t="s">
        <v>189</v>
      </c>
      <c r="K6922" s="320"/>
      <c r="L6922" s="321">
        <f>SUM(L6915:L6921)</f>
        <v>36162.300000000003</v>
      </c>
    </row>
    <row r="6923" spans="6:12" ht="15" customHeight="1" thickBot="1">
      <c r="F6923" s="300" t="s">
        <v>190</v>
      </c>
      <c r="G6923" s="301" t="s">
        <v>191</v>
      </c>
      <c r="H6923" s="302"/>
      <c r="I6923" s="302"/>
      <c r="J6923" s="351"/>
      <c r="K6923" s="328">
        <v>0</v>
      </c>
      <c r="L6923" s="310">
        <f>J6923*K6923</f>
        <v>0</v>
      </c>
    </row>
    <row r="6924" spans="6:12" ht="15" customHeight="1" thickBot="1">
      <c r="F6924" s="316"/>
      <c r="G6924" s="317"/>
      <c r="H6924" s="318"/>
      <c r="I6924" s="318"/>
      <c r="J6924" s="319" t="s">
        <v>192</v>
      </c>
      <c r="K6924" s="320"/>
      <c r="L6924" s="321">
        <f>L6923</f>
        <v>0</v>
      </c>
    </row>
    <row r="6925" spans="6:12" ht="15" customHeight="1">
      <c r="F6925" s="344" t="s">
        <v>193</v>
      </c>
      <c r="G6925" s="345" t="s">
        <v>194</v>
      </c>
      <c r="H6925" s="346"/>
      <c r="I6925" s="346"/>
      <c r="J6925" s="347"/>
      <c r="K6925" s="348">
        <v>0</v>
      </c>
      <c r="L6925" s="310">
        <f>SUM(L6909:L6924)/2</f>
        <v>47762.3</v>
      </c>
    </row>
    <row r="6926" spans="6:12" ht="15" customHeight="1" thickBot="1">
      <c r="F6926" s="331" t="s">
        <v>195</v>
      </c>
      <c r="G6926" s="332" t="s">
        <v>196</v>
      </c>
      <c r="H6926" s="333"/>
      <c r="I6926" s="333"/>
      <c r="J6926" s="350">
        <v>0.1</v>
      </c>
      <c r="K6926" s="335"/>
      <c r="L6926" s="330">
        <f>J6926*L6925</f>
        <v>4776.2300000000005</v>
      </c>
    </row>
    <row r="6927" spans="6:12" ht="15" customHeight="1" thickBot="1">
      <c r="F6927" s="340" t="s">
        <v>197</v>
      </c>
      <c r="G6927" s="341" t="s">
        <v>198</v>
      </c>
      <c r="H6927" s="318"/>
      <c r="I6927" s="318"/>
      <c r="J6927" s="342"/>
      <c r="K6927" s="320">
        <v>0</v>
      </c>
      <c r="L6927" s="321">
        <f>ROUNDDOWN(L6925+L6926,0)</f>
        <v>52538</v>
      </c>
    </row>
    <row r="6928" spans="6:12" ht="15" customHeight="1">
      <c r="F6928" s="298"/>
      <c r="G6928" s="298"/>
      <c r="J6928" s="343"/>
    </row>
    <row r="6929" spans="5:13" ht="15" customHeight="1" thickBot="1">
      <c r="E6929" s="356" t="s">
        <v>1267</v>
      </c>
      <c r="F6929" s="295" t="s">
        <v>1268</v>
      </c>
      <c r="J6929" s="343"/>
      <c r="M6929" s="299">
        <f>L6950</f>
        <v>74450</v>
      </c>
    </row>
    <row r="6930" spans="5:13" ht="15" customHeight="1" thickBot="1">
      <c r="F6930" s="340" t="s">
        <v>136</v>
      </c>
      <c r="G6930" s="341" t="s">
        <v>162</v>
      </c>
      <c r="H6930" s="352" t="s">
        <v>163</v>
      </c>
      <c r="I6930" s="352" t="s">
        <v>138</v>
      </c>
      <c r="J6930" s="353" t="s">
        <v>164</v>
      </c>
      <c r="K6930" s="341" t="s">
        <v>165</v>
      </c>
      <c r="L6930" s="354" t="s">
        <v>166</v>
      </c>
    </row>
    <row r="6931" spans="5:13" ht="15" customHeight="1">
      <c r="F6931" s="300" t="s">
        <v>167</v>
      </c>
      <c r="G6931" s="301" t="s">
        <v>168</v>
      </c>
      <c r="H6931" s="302"/>
      <c r="I6931" s="302"/>
      <c r="J6931" s="351"/>
      <c r="K6931" s="328"/>
      <c r="L6931" s="310"/>
    </row>
    <row r="6932" spans="5:13" ht="15" customHeight="1">
      <c r="F6932" s="306"/>
      <c r="G6932" s="301" t="s">
        <v>169</v>
      </c>
      <c r="H6932" s="307" t="s">
        <v>170</v>
      </c>
      <c r="I6932" s="307" t="s">
        <v>171</v>
      </c>
      <c r="J6932" s="432">
        <v>7.0000000000000007E-2</v>
      </c>
      <c r="K6932" s="309">
        <f>VLOOKUP(G6932,Upah,8,FALSE)</f>
        <v>125000</v>
      </c>
      <c r="L6932" s="310">
        <f>J6932*K6932</f>
        <v>8750</v>
      </c>
    </row>
    <row r="6933" spans="5:13" ht="15" customHeight="1">
      <c r="F6933" s="306"/>
      <c r="G6933" s="301" t="s">
        <v>1258</v>
      </c>
      <c r="H6933" s="307" t="s">
        <v>1259</v>
      </c>
      <c r="I6933" s="307" t="s">
        <v>171</v>
      </c>
      <c r="J6933" s="432">
        <v>0.105</v>
      </c>
      <c r="K6933" s="309">
        <f>VLOOKUP(G6933,Upah,8,FALSE)</f>
        <v>150000</v>
      </c>
      <c r="L6933" s="310">
        <f>J6933*K6933</f>
        <v>15750</v>
      </c>
    </row>
    <row r="6934" spans="5:13" ht="15" customHeight="1">
      <c r="F6934" s="306"/>
      <c r="G6934" s="301" t="s">
        <v>232</v>
      </c>
      <c r="H6934" s="307" t="s">
        <v>175</v>
      </c>
      <c r="I6934" s="307" t="s">
        <v>171</v>
      </c>
      <c r="J6934" s="432">
        <v>4.0000000000000001E-3</v>
      </c>
      <c r="K6934" s="309">
        <f>VLOOKUP(G6934,Upah,8,FALSE)</f>
        <v>165000</v>
      </c>
      <c r="L6934" s="310">
        <f>J6934*K6934</f>
        <v>660</v>
      </c>
    </row>
    <row r="6935" spans="5:13" ht="15" customHeight="1" thickBot="1">
      <c r="F6935" s="306"/>
      <c r="G6935" s="301" t="s">
        <v>176</v>
      </c>
      <c r="H6935" s="307" t="s">
        <v>177</v>
      </c>
      <c r="I6935" s="307" t="s">
        <v>171</v>
      </c>
      <c r="J6935" s="432">
        <v>3.0000000000000001E-3</v>
      </c>
      <c r="K6935" s="309">
        <f>VLOOKUP(G6935,Upah,8,FALSE)</f>
        <v>170000</v>
      </c>
      <c r="L6935" s="310">
        <f>J6935*K6935</f>
        <v>510</v>
      </c>
    </row>
    <row r="6936" spans="5:13" ht="15" customHeight="1" thickBot="1">
      <c r="F6936" s="316"/>
      <c r="G6936" s="317"/>
      <c r="H6936" s="318"/>
      <c r="I6936" s="318"/>
      <c r="J6936" s="319" t="s">
        <v>178</v>
      </c>
      <c r="K6936" s="320"/>
      <c r="L6936" s="321">
        <f>SUM(L6932:L6935)</f>
        <v>25670</v>
      </c>
    </row>
    <row r="6937" spans="5:13" ht="15" customHeight="1">
      <c r="F6937" s="300" t="s">
        <v>179</v>
      </c>
      <c r="G6937" s="301" t="s">
        <v>180</v>
      </c>
      <c r="H6937" s="302"/>
      <c r="I6937" s="302"/>
      <c r="J6937" s="351"/>
      <c r="K6937" s="328"/>
      <c r="L6937" s="310"/>
    </row>
    <row r="6938" spans="5:13" ht="15" customHeight="1">
      <c r="F6938" s="306"/>
      <c r="G6938" s="301" t="s">
        <v>1260</v>
      </c>
      <c r="H6938" s="302"/>
      <c r="I6938" s="307" t="s">
        <v>45</v>
      </c>
      <c r="J6938" s="432">
        <v>0.2</v>
      </c>
      <c r="K6938" s="328">
        <f t="shared" ref="K6938:K6944" si="71">VLOOKUP(G6938,Bahan,6,FALSE)</f>
        <v>30750</v>
      </c>
      <c r="L6938" s="310">
        <f t="shared" ref="L6938:L6944" si="72">J6938*K6938</f>
        <v>6150</v>
      </c>
    </row>
    <row r="6939" spans="5:13" ht="15" customHeight="1">
      <c r="F6939" s="306"/>
      <c r="G6939" s="301" t="s">
        <v>1261</v>
      </c>
      <c r="H6939" s="302"/>
      <c r="I6939" s="307" t="s">
        <v>45</v>
      </c>
      <c r="J6939" s="432">
        <v>0.15</v>
      </c>
      <c r="K6939" s="328">
        <f t="shared" si="71"/>
        <v>22000</v>
      </c>
      <c r="L6939" s="310">
        <f t="shared" si="72"/>
        <v>3300</v>
      </c>
    </row>
    <row r="6940" spans="5:13" ht="15" customHeight="1">
      <c r="F6940" s="306"/>
      <c r="G6940" s="301" t="s">
        <v>1262</v>
      </c>
      <c r="H6940" s="302"/>
      <c r="I6940" s="307" t="s">
        <v>45</v>
      </c>
      <c r="J6940" s="432">
        <v>0.17</v>
      </c>
      <c r="K6940" s="328">
        <f t="shared" si="71"/>
        <v>39370</v>
      </c>
      <c r="L6940" s="310">
        <f t="shared" si="72"/>
        <v>6692.9000000000005</v>
      </c>
    </row>
    <row r="6941" spans="5:13" ht="15" customHeight="1">
      <c r="F6941" s="306"/>
      <c r="G6941" s="301" t="s">
        <v>1263</v>
      </c>
      <c r="H6941" s="302"/>
      <c r="I6941" s="307" t="s">
        <v>45</v>
      </c>
      <c r="J6941" s="432">
        <v>0.35</v>
      </c>
      <c r="K6941" s="328">
        <f t="shared" si="71"/>
        <v>65000</v>
      </c>
      <c r="L6941" s="310">
        <f t="shared" si="72"/>
        <v>22750</v>
      </c>
    </row>
    <row r="6942" spans="5:13" ht="15" customHeight="1">
      <c r="F6942" s="306"/>
      <c r="G6942" s="301" t="s">
        <v>1264</v>
      </c>
      <c r="H6942" s="302"/>
      <c r="I6942" s="307" t="s">
        <v>221</v>
      </c>
      <c r="J6942" s="432">
        <v>0.01</v>
      </c>
      <c r="K6942" s="328">
        <f t="shared" si="71"/>
        <v>20740</v>
      </c>
      <c r="L6942" s="310">
        <f t="shared" si="72"/>
        <v>207.4</v>
      </c>
    </row>
    <row r="6943" spans="5:13" ht="15" customHeight="1">
      <c r="F6943" s="306"/>
      <c r="G6943" s="301" t="s">
        <v>1265</v>
      </c>
      <c r="H6943" s="302"/>
      <c r="I6943" s="307" t="s">
        <v>45</v>
      </c>
      <c r="J6943" s="432">
        <v>0.03</v>
      </c>
      <c r="K6943" s="328">
        <f t="shared" si="71"/>
        <v>42000</v>
      </c>
      <c r="L6943" s="310">
        <f t="shared" si="72"/>
        <v>1260</v>
      </c>
    </row>
    <row r="6944" spans="5:13" ht="15" customHeight="1" thickBot="1">
      <c r="F6944" s="306"/>
      <c r="G6944" s="301" t="s">
        <v>1266</v>
      </c>
      <c r="H6944" s="302"/>
      <c r="I6944" s="307" t="s">
        <v>202</v>
      </c>
      <c r="J6944" s="432">
        <v>0.2</v>
      </c>
      <c r="K6944" s="328">
        <f t="shared" si="71"/>
        <v>8260</v>
      </c>
      <c r="L6944" s="310">
        <f t="shared" si="72"/>
        <v>1652</v>
      </c>
    </row>
    <row r="6945" spans="5:13" ht="15" customHeight="1" thickBot="1">
      <c r="F6945" s="316"/>
      <c r="G6945" s="317"/>
      <c r="H6945" s="318"/>
      <c r="I6945" s="318"/>
      <c r="J6945" s="319" t="s">
        <v>189</v>
      </c>
      <c r="K6945" s="320"/>
      <c r="L6945" s="321">
        <f>SUM(L6938:L6944)</f>
        <v>42012.3</v>
      </c>
    </row>
    <row r="6946" spans="5:13" ht="15" customHeight="1" thickBot="1">
      <c r="F6946" s="300" t="s">
        <v>190</v>
      </c>
      <c r="G6946" s="301" t="s">
        <v>191</v>
      </c>
      <c r="H6946" s="302"/>
      <c r="I6946" s="302"/>
      <c r="J6946" s="351"/>
      <c r="K6946" s="328">
        <v>0</v>
      </c>
      <c r="L6946" s="310">
        <f>J6946*K6946</f>
        <v>0</v>
      </c>
    </row>
    <row r="6947" spans="5:13" ht="15" customHeight="1" thickBot="1">
      <c r="F6947" s="316"/>
      <c r="G6947" s="317"/>
      <c r="H6947" s="318"/>
      <c r="I6947" s="318"/>
      <c r="J6947" s="319" t="s">
        <v>192</v>
      </c>
      <c r="K6947" s="320"/>
      <c r="L6947" s="321">
        <f>L6946</f>
        <v>0</v>
      </c>
    </row>
    <row r="6948" spans="5:13" ht="15" customHeight="1">
      <c r="F6948" s="344" t="s">
        <v>193</v>
      </c>
      <c r="G6948" s="345" t="s">
        <v>194</v>
      </c>
      <c r="H6948" s="346"/>
      <c r="I6948" s="346"/>
      <c r="J6948" s="347"/>
      <c r="K6948" s="348">
        <v>0</v>
      </c>
      <c r="L6948" s="310">
        <f>SUM(L6931:L6947)/2</f>
        <v>67682.299999999988</v>
      </c>
    </row>
    <row r="6949" spans="5:13" ht="15" customHeight="1" thickBot="1">
      <c r="F6949" s="331" t="s">
        <v>195</v>
      </c>
      <c r="G6949" s="332" t="s">
        <v>196</v>
      </c>
      <c r="H6949" s="333"/>
      <c r="I6949" s="333"/>
      <c r="J6949" s="350">
        <v>0.1</v>
      </c>
      <c r="K6949" s="335"/>
      <c r="L6949" s="330">
        <f>J6949*L6948</f>
        <v>6768.23</v>
      </c>
    </row>
    <row r="6950" spans="5:13" ht="15" customHeight="1" thickBot="1">
      <c r="F6950" s="340" t="s">
        <v>197</v>
      </c>
      <c r="G6950" s="341" t="s">
        <v>198</v>
      </c>
      <c r="H6950" s="318"/>
      <c r="I6950" s="318"/>
      <c r="J6950" s="342"/>
      <c r="K6950" s="320">
        <v>0</v>
      </c>
      <c r="L6950" s="321">
        <f>ROUNDDOWN(L6948+L6949,0)</f>
        <v>74450</v>
      </c>
    </row>
    <row r="6951" spans="5:13" ht="15" customHeight="1">
      <c r="F6951" s="298"/>
      <c r="G6951" s="298"/>
      <c r="J6951" s="343"/>
    </row>
    <row r="6952" spans="5:13" ht="15" customHeight="1" thickBot="1">
      <c r="E6952" s="356" t="s">
        <v>1269</v>
      </c>
      <c r="F6952" s="295" t="s">
        <v>1270</v>
      </c>
      <c r="J6952" s="343"/>
      <c r="M6952" s="299">
        <f>L6967</f>
        <v>35992</v>
      </c>
    </row>
    <row r="6953" spans="5:13" ht="15" customHeight="1" thickBot="1">
      <c r="F6953" s="340" t="s">
        <v>136</v>
      </c>
      <c r="G6953" s="341" t="s">
        <v>162</v>
      </c>
      <c r="H6953" s="352" t="s">
        <v>163</v>
      </c>
      <c r="I6953" s="352" t="s">
        <v>138</v>
      </c>
      <c r="J6953" s="353" t="s">
        <v>164</v>
      </c>
      <c r="K6953" s="341" t="s">
        <v>165</v>
      </c>
      <c r="L6953" s="354" t="s">
        <v>166</v>
      </c>
    </row>
    <row r="6954" spans="5:13" ht="15" customHeight="1">
      <c r="F6954" s="300" t="s">
        <v>167</v>
      </c>
      <c r="G6954" s="301" t="s">
        <v>168</v>
      </c>
      <c r="H6954" s="302"/>
      <c r="I6954" s="302"/>
      <c r="J6954" s="351"/>
      <c r="K6954" s="328"/>
      <c r="L6954" s="310"/>
    </row>
    <row r="6955" spans="5:13" ht="15" customHeight="1">
      <c r="F6955" s="306"/>
      <c r="G6955" s="301" t="s">
        <v>169</v>
      </c>
      <c r="H6955" s="307" t="s">
        <v>170</v>
      </c>
      <c r="I6955" s="307" t="s">
        <v>171</v>
      </c>
      <c r="J6955" s="432">
        <v>0.04</v>
      </c>
      <c r="K6955" s="309">
        <f>VLOOKUP(G6955,Upah,8,FALSE)</f>
        <v>125000</v>
      </c>
      <c r="L6955" s="310">
        <f>J6955*K6955</f>
        <v>5000</v>
      </c>
    </row>
    <row r="6956" spans="5:13" ht="15" customHeight="1">
      <c r="F6956" s="306"/>
      <c r="G6956" s="301" t="s">
        <v>1258</v>
      </c>
      <c r="H6956" s="307" t="s">
        <v>1259</v>
      </c>
      <c r="I6956" s="307" t="s">
        <v>171</v>
      </c>
      <c r="J6956" s="432">
        <v>6.3E-2</v>
      </c>
      <c r="K6956" s="309">
        <f>VLOOKUP(G6956,Upah,8,FALSE)</f>
        <v>150000</v>
      </c>
      <c r="L6956" s="310">
        <f>J6956*K6956</f>
        <v>9450</v>
      </c>
    </row>
    <row r="6957" spans="5:13" ht="15" customHeight="1">
      <c r="F6957" s="306"/>
      <c r="G6957" s="301" t="s">
        <v>232</v>
      </c>
      <c r="H6957" s="307" t="s">
        <v>175</v>
      </c>
      <c r="I6957" s="307" t="s">
        <v>171</v>
      </c>
      <c r="J6957" s="432">
        <v>6.3E-2</v>
      </c>
      <c r="K6957" s="309">
        <f>VLOOKUP(G6957,Upah,8,FALSE)</f>
        <v>165000</v>
      </c>
      <c r="L6957" s="310">
        <f>J6957*K6957</f>
        <v>10395</v>
      </c>
    </row>
    <row r="6958" spans="5:13" ht="15" customHeight="1" thickBot="1">
      <c r="F6958" s="306"/>
      <c r="G6958" s="301" t="s">
        <v>176</v>
      </c>
      <c r="H6958" s="307" t="s">
        <v>177</v>
      </c>
      <c r="I6958" s="307" t="s">
        <v>171</v>
      </c>
      <c r="J6958" s="432">
        <v>3.0000000000000001E-3</v>
      </c>
      <c r="K6958" s="309">
        <f>VLOOKUP(G6958,Upah,8,FALSE)</f>
        <v>170000</v>
      </c>
      <c r="L6958" s="310">
        <f>J6958*K6958</f>
        <v>510</v>
      </c>
    </row>
    <row r="6959" spans="5:13" ht="15" customHeight="1" thickBot="1">
      <c r="F6959" s="316"/>
      <c r="G6959" s="317"/>
      <c r="H6959" s="318"/>
      <c r="I6959" s="318"/>
      <c r="J6959" s="319" t="s">
        <v>178</v>
      </c>
      <c r="K6959" s="320"/>
      <c r="L6959" s="321">
        <f>SUM(L6955:L6958)</f>
        <v>25355</v>
      </c>
    </row>
    <row r="6960" spans="5:13" ht="15" customHeight="1">
      <c r="F6960" s="300" t="s">
        <v>179</v>
      </c>
      <c r="G6960" s="301" t="s">
        <v>180</v>
      </c>
      <c r="H6960" s="302"/>
      <c r="I6960" s="302"/>
      <c r="J6960" s="351"/>
      <c r="K6960" s="328"/>
      <c r="L6960" s="310"/>
    </row>
    <row r="6961" spans="5:13" ht="15" customHeight="1" thickBot="1">
      <c r="F6961" s="306"/>
      <c r="G6961" s="301" t="s">
        <v>1271</v>
      </c>
      <c r="H6961" s="302"/>
      <c r="I6961" s="307" t="s">
        <v>438</v>
      </c>
      <c r="J6961" s="432">
        <v>0.36</v>
      </c>
      <c r="K6961" s="328">
        <f>VLOOKUP(G6961,Bahan,6,FALSE)</f>
        <v>20460</v>
      </c>
      <c r="L6961" s="310">
        <f>J6961*K6961</f>
        <v>7365.5999999999995</v>
      </c>
    </row>
    <row r="6962" spans="5:13" ht="15" customHeight="1" thickBot="1">
      <c r="F6962" s="316"/>
      <c r="G6962" s="317"/>
      <c r="H6962" s="318"/>
      <c r="I6962" s="318"/>
      <c r="J6962" s="319" t="s">
        <v>189</v>
      </c>
      <c r="K6962" s="320"/>
      <c r="L6962" s="321">
        <f>SUM(L6960:L6961)</f>
        <v>7365.5999999999995</v>
      </c>
    </row>
    <row r="6963" spans="5:13" ht="15" customHeight="1" thickBot="1">
      <c r="F6963" s="300" t="s">
        <v>190</v>
      </c>
      <c r="G6963" s="301" t="s">
        <v>191</v>
      </c>
      <c r="H6963" s="302"/>
      <c r="I6963" s="302"/>
      <c r="J6963" s="351"/>
      <c r="K6963" s="328">
        <v>0</v>
      </c>
      <c r="L6963" s="310">
        <f>J6963*K6963</f>
        <v>0</v>
      </c>
    </row>
    <row r="6964" spans="5:13" ht="15" customHeight="1" thickBot="1">
      <c r="F6964" s="316"/>
      <c r="G6964" s="317"/>
      <c r="H6964" s="318"/>
      <c r="I6964" s="318"/>
      <c r="J6964" s="319" t="s">
        <v>192</v>
      </c>
      <c r="K6964" s="320"/>
      <c r="L6964" s="321">
        <f>L6963</f>
        <v>0</v>
      </c>
    </row>
    <row r="6965" spans="5:13" ht="15" customHeight="1">
      <c r="F6965" s="344" t="s">
        <v>193</v>
      </c>
      <c r="G6965" s="345" t="s">
        <v>194</v>
      </c>
      <c r="H6965" s="346"/>
      <c r="I6965" s="346"/>
      <c r="J6965" s="347"/>
      <c r="K6965" s="348">
        <v>0</v>
      </c>
      <c r="L6965" s="310">
        <f>SUM(L6954:L6964)/2</f>
        <v>32720.6</v>
      </c>
    </row>
    <row r="6966" spans="5:13" ht="15" customHeight="1" thickBot="1">
      <c r="F6966" s="331" t="s">
        <v>195</v>
      </c>
      <c r="G6966" s="332" t="s">
        <v>196</v>
      </c>
      <c r="H6966" s="333"/>
      <c r="I6966" s="333"/>
      <c r="J6966" s="350">
        <v>0.1</v>
      </c>
      <c r="K6966" s="335"/>
      <c r="L6966" s="330">
        <f>J6966*L6965</f>
        <v>3272.06</v>
      </c>
    </row>
    <row r="6967" spans="5:13" ht="15" customHeight="1" thickBot="1">
      <c r="F6967" s="340" t="s">
        <v>197</v>
      </c>
      <c r="G6967" s="341" t="s">
        <v>198</v>
      </c>
      <c r="H6967" s="318"/>
      <c r="I6967" s="318"/>
      <c r="J6967" s="342"/>
      <c r="K6967" s="320">
        <v>0</v>
      </c>
      <c r="L6967" s="321">
        <f>ROUNDDOWN(L6965+L6966,0)</f>
        <v>35992</v>
      </c>
    </row>
    <row r="6968" spans="5:13" ht="15" customHeight="1">
      <c r="F6968" s="298"/>
      <c r="G6968" s="298"/>
      <c r="J6968" s="343"/>
    </row>
    <row r="6969" spans="5:13" ht="15" customHeight="1" thickBot="1">
      <c r="E6969" s="356" t="s">
        <v>1272</v>
      </c>
      <c r="F6969" s="295" t="s">
        <v>1273</v>
      </c>
      <c r="J6969" s="343"/>
      <c r="M6969" s="299">
        <f>L6986</f>
        <v>66819</v>
      </c>
    </row>
    <row r="6970" spans="5:13" ht="15" customHeight="1" thickBot="1">
      <c r="F6970" s="340" t="s">
        <v>136</v>
      </c>
      <c r="G6970" s="341" t="s">
        <v>162</v>
      </c>
      <c r="H6970" s="352" t="s">
        <v>163</v>
      </c>
      <c r="I6970" s="352" t="s">
        <v>138</v>
      </c>
      <c r="J6970" s="353" t="s">
        <v>164</v>
      </c>
      <c r="K6970" s="341" t="s">
        <v>165</v>
      </c>
      <c r="L6970" s="354" t="s">
        <v>166</v>
      </c>
    </row>
    <row r="6971" spans="5:13" ht="15" customHeight="1">
      <c r="F6971" s="300" t="s">
        <v>167</v>
      </c>
      <c r="G6971" s="301" t="s">
        <v>168</v>
      </c>
      <c r="H6971" s="302"/>
      <c r="I6971" s="302"/>
      <c r="J6971" s="351"/>
      <c r="K6971" s="328"/>
      <c r="L6971" s="310"/>
    </row>
    <row r="6972" spans="5:13" ht="15" customHeight="1">
      <c r="F6972" s="306"/>
      <c r="G6972" s="301" t="s">
        <v>169</v>
      </c>
      <c r="H6972" s="307" t="s">
        <v>170</v>
      </c>
      <c r="I6972" s="307" t="s">
        <v>171</v>
      </c>
      <c r="J6972" s="432">
        <v>0.04</v>
      </c>
      <c r="K6972" s="309">
        <f>VLOOKUP(G6972,Upah,8,FALSE)</f>
        <v>125000</v>
      </c>
      <c r="L6972" s="310">
        <f>J6972*K6972</f>
        <v>5000</v>
      </c>
    </row>
    <row r="6973" spans="5:13" ht="15" customHeight="1">
      <c r="F6973" s="306"/>
      <c r="G6973" s="301" t="s">
        <v>1258</v>
      </c>
      <c r="H6973" s="307" t="s">
        <v>1259</v>
      </c>
      <c r="I6973" s="307" t="s">
        <v>171</v>
      </c>
      <c r="J6973" s="432">
        <v>0.06</v>
      </c>
      <c r="K6973" s="309">
        <f>VLOOKUP(G6973,Upah,8,FALSE)</f>
        <v>150000</v>
      </c>
      <c r="L6973" s="310">
        <f>J6973*K6973</f>
        <v>9000</v>
      </c>
    </row>
    <row r="6974" spans="5:13" ht="15" customHeight="1">
      <c r="F6974" s="306"/>
      <c r="G6974" s="301" t="s">
        <v>232</v>
      </c>
      <c r="H6974" s="307" t="s">
        <v>175</v>
      </c>
      <c r="I6974" s="307" t="s">
        <v>171</v>
      </c>
      <c r="J6974" s="432">
        <v>1.6E-2</v>
      </c>
      <c r="K6974" s="309">
        <f>VLOOKUP(G6974,Upah,8,FALSE)</f>
        <v>165000</v>
      </c>
      <c r="L6974" s="310">
        <f>J6974*K6974</f>
        <v>2640</v>
      </c>
    </row>
    <row r="6975" spans="5:13" ht="15" customHeight="1" thickBot="1">
      <c r="F6975" s="306"/>
      <c r="G6975" s="301" t="s">
        <v>176</v>
      </c>
      <c r="H6975" s="307" t="s">
        <v>177</v>
      </c>
      <c r="I6975" s="307" t="s">
        <v>171</v>
      </c>
      <c r="J6975" s="432">
        <v>3.0000000000000001E-3</v>
      </c>
      <c r="K6975" s="309">
        <f>VLOOKUP(G6975,Upah,8,FALSE)</f>
        <v>170000</v>
      </c>
      <c r="L6975" s="310">
        <f>J6975*K6975</f>
        <v>510</v>
      </c>
    </row>
    <row r="6976" spans="5:13" ht="15" customHeight="1" thickBot="1">
      <c r="F6976" s="316"/>
      <c r="G6976" s="317"/>
      <c r="H6976" s="318"/>
      <c r="I6976" s="318"/>
      <c r="J6976" s="319" t="s">
        <v>178</v>
      </c>
      <c r="K6976" s="320"/>
      <c r="L6976" s="321">
        <f>SUM(L6972:L6975)</f>
        <v>17150</v>
      </c>
    </row>
    <row r="6977" spans="5:13" ht="15" customHeight="1">
      <c r="F6977" s="300" t="s">
        <v>179</v>
      </c>
      <c r="G6977" s="301" t="s">
        <v>180</v>
      </c>
      <c r="H6977" s="302"/>
      <c r="I6977" s="302"/>
      <c r="J6977" s="351"/>
      <c r="K6977" s="328"/>
      <c r="L6977" s="310"/>
    </row>
    <row r="6978" spans="5:13" ht="15" customHeight="1">
      <c r="F6978" s="306"/>
      <c r="G6978" s="301" t="s">
        <v>1274</v>
      </c>
      <c r="H6978" s="302"/>
      <c r="I6978" s="307" t="s">
        <v>438</v>
      </c>
      <c r="J6978" s="432">
        <v>0.15</v>
      </c>
      <c r="K6978" s="328">
        <f>VLOOKUP(G6978,Bahan,6,FALSE)</f>
        <v>44100</v>
      </c>
      <c r="L6978" s="310">
        <f>J6978*K6978</f>
        <v>6615</v>
      </c>
    </row>
    <row r="6979" spans="5:13" ht="15" customHeight="1">
      <c r="F6979" s="306"/>
      <c r="G6979" s="301" t="s">
        <v>1275</v>
      </c>
      <c r="H6979" s="302"/>
      <c r="I6979" s="307" t="s">
        <v>438</v>
      </c>
      <c r="J6979" s="432">
        <v>0.372</v>
      </c>
      <c r="K6979" s="328">
        <f>VLOOKUP(G6979,Bahan,6,FALSE)</f>
        <v>55000</v>
      </c>
      <c r="L6979" s="310">
        <f>J6979*K6979</f>
        <v>20460</v>
      </c>
    </row>
    <row r="6980" spans="5:13" ht="15" customHeight="1" thickBot="1">
      <c r="F6980" s="306"/>
      <c r="G6980" s="301" t="s">
        <v>1266</v>
      </c>
      <c r="H6980" s="302"/>
      <c r="I6980" s="307" t="s">
        <v>202</v>
      </c>
      <c r="J6980" s="432">
        <v>2</v>
      </c>
      <c r="K6980" s="328">
        <f>VLOOKUP(G6980,Bahan,6,FALSE)</f>
        <v>8260</v>
      </c>
      <c r="L6980" s="310">
        <f>J6980*K6980</f>
        <v>16520</v>
      </c>
    </row>
    <row r="6981" spans="5:13" ht="15" customHeight="1" thickBot="1">
      <c r="F6981" s="316"/>
      <c r="G6981" s="317"/>
      <c r="H6981" s="318"/>
      <c r="I6981" s="318"/>
      <c r="J6981" s="319" t="s">
        <v>189</v>
      </c>
      <c r="K6981" s="320"/>
      <c r="L6981" s="321">
        <f>SUM(L6978:L6980)</f>
        <v>43595</v>
      </c>
    </row>
    <row r="6982" spans="5:13" ht="15" customHeight="1" thickBot="1">
      <c r="F6982" s="300" t="s">
        <v>190</v>
      </c>
      <c r="G6982" s="301" t="s">
        <v>191</v>
      </c>
      <c r="H6982" s="302"/>
      <c r="I6982" s="302"/>
      <c r="J6982" s="351"/>
      <c r="K6982" s="328">
        <v>0</v>
      </c>
      <c r="L6982" s="310">
        <f>J6982*K6982</f>
        <v>0</v>
      </c>
    </row>
    <row r="6983" spans="5:13" ht="15" customHeight="1" thickBot="1">
      <c r="F6983" s="316"/>
      <c r="G6983" s="317"/>
      <c r="H6983" s="318"/>
      <c r="I6983" s="318"/>
      <c r="J6983" s="319" t="s">
        <v>192</v>
      </c>
      <c r="K6983" s="320"/>
      <c r="L6983" s="321">
        <f>L6982</f>
        <v>0</v>
      </c>
    </row>
    <row r="6984" spans="5:13" ht="15" customHeight="1">
      <c r="F6984" s="344" t="s">
        <v>193</v>
      </c>
      <c r="G6984" s="345" t="s">
        <v>194</v>
      </c>
      <c r="H6984" s="346"/>
      <c r="I6984" s="346"/>
      <c r="J6984" s="347"/>
      <c r="K6984" s="348">
        <v>0</v>
      </c>
      <c r="L6984" s="310">
        <f>SUM(L6971:L6983)/2</f>
        <v>60745</v>
      </c>
    </row>
    <row r="6985" spans="5:13" ht="15" customHeight="1" thickBot="1">
      <c r="F6985" s="331" t="s">
        <v>195</v>
      </c>
      <c r="G6985" s="332" t="s">
        <v>196</v>
      </c>
      <c r="H6985" s="333"/>
      <c r="I6985" s="333"/>
      <c r="J6985" s="350">
        <v>0.1</v>
      </c>
      <c r="K6985" s="335"/>
      <c r="L6985" s="330">
        <f>J6985*L6984</f>
        <v>6074.5</v>
      </c>
    </row>
    <row r="6986" spans="5:13" ht="15" customHeight="1" thickBot="1">
      <c r="F6986" s="340" t="s">
        <v>197</v>
      </c>
      <c r="G6986" s="341" t="s">
        <v>198</v>
      </c>
      <c r="H6986" s="318"/>
      <c r="I6986" s="318"/>
      <c r="J6986" s="342"/>
      <c r="K6986" s="320">
        <v>0</v>
      </c>
      <c r="L6986" s="321">
        <f>ROUNDDOWN(L6984+L6985,0)</f>
        <v>66819</v>
      </c>
    </row>
    <row r="6987" spans="5:13" ht="15" customHeight="1">
      <c r="F6987" s="298"/>
      <c r="G6987" s="298"/>
      <c r="J6987" s="343"/>
    </row>
    <row r="6988" spans="5:13" ht="15" customHeight="1" thickBot="1">
      <c r="E6988" s="356" t="s">
        <v>1276</v>
      </c>
      <c r="F6988" s="295" t="s">
        <v>1277</v>
      </c>
      <c r="J6988" s="343"/>
      <c r="M6988" s="299">
        <f>L7001</f>
        <v>18864</v>
      </c>
    </row>
    <row r="6989" spans="5:13" ht="15" customHeight="1" thickBot="1">
      <c r="F6989" s="340" t="s">
        <v>136</v>
      </c>
      <c r="G6989" s="341" t="s">
        <v>162</v>
      </c>
      <c r="H6989" s="352" t="s">
        <v>163</v>
      </c>
      <c r="I6989" s="352" t="s">
        <v>138</v>
      </c>
      <c r="J6989" s="353" t="s">
        <v>164</v>
      </c>
      <c r="K6989" s="341" t="s">
        <v>165</v>
      </c>
      <c r="L6989" s="354" t="s">
        <v>166</v>
      </c>
    </row>
    <row r="6990" spans="5:13" ht="15" customHeight="1">
      <c r="F6990" s="300" t="s">
        <v>167</v>
      </c>
      <c r="G6990" s="301" t="s">
        <v>168</v>
      </c>
      <c r="H6990" s="302"/>
      <c r="I6990" s="302"/>
      <c r="J6990" s="351"/>
      <c r="K6990" s="328"/>
      <c r="L6990" s="310"/>
    </row>
    <row r="6991" spans="5:13" ht="15" customHeight="1">
      <c r="F6991" s="306"/>
      <c r="G6991" s="301" t="s">
        <v>169</v>
      </c>
      <c r="H6991" s="307" t="s">
        <v>170</v>
      </c>
      <c r="I6991" s="307" t="s">
        <v>171</v>
      </c>
      <c r="J6991" s="432">
        <v>0.1</v>
      </c>
      <c r="K6991" s="309">
        <f>VLOOKUP(G6991,Upah,8,FALSE)</f>
        <v>125000</v>
      </c>
      <c r="L6991" s="310">
        <f>J6991*K6991</f>
        <v>12500</v>
      </c>
    </row>
    <row r="6992" spans="5:13" ht="15" customHeight="1" thickBot="1">
      <c r="F6992" s="306"/>
      <c r="G6992" s="301" t="s">
        <v>176</v>
      </c>
      <c r="H6992" s="307" t="s">
        <v>177</v>
      </c>
      <c r="I6992" s="307" t="s">
        <v>171</v>
      </c>
      <c r="J6992" s="432">
        <v>6.0000000000000001E-3</v>
      </c>
      <c r="K6992" s="309">
        <f>VLOOKUP(G6992,Upah,8,FALSE)</f>
        <v>170000</v>
      </c>
      <c r="L6992" s="310">
        <f>J6992*K6992</f>
        <v>1020</v>
      </c>
    </row>
    <row r="6993" spans="5:13" ht="15" customHeight="1" thickBot="1">
      <c r="F6993" s="316"/>
      <c r="G6993" s="317"/>
      <c r="H6993" s="318"/>
      <c r="I6993" s="318"/>
      <c r="J6993" s="319" t="s">
        <v>178</v>
      </c>
      <c r="K6993" s="320"/>
      <c r="L6993" s="321">
        <f>SUM(L6989:L6992)</f>
        <v>13520</v>
      </c>
    </row>
    <row r="6994" spans="5:13" ht="15" customHeight="1">
      <c r="F6994" s="300" t="s">
        <v>179</v>
      </c>
      <c r="G6994" s="301" t="s">
        <v>180</v>
      </c>
      <c r="H6994" s="302"/>
      <c r="I6994" s="302"/>
      <c r="J6994" s="351"/>
      <c r="K6994" s="328"/>
      <c r="L6994" s="310"/>
    </row>
    <row r="6995" spans="5:13" ht="15" customHeight="1" thickBot="1">
      <c r="F6995" s="306"/>
      <c r="G6995" s="301" t="s">
        <v>1278</v>
      </c>
      <c r="H6995" s="302"/>
      <c r="I6995" s="307" t="s">
        <v>438</v>
      </c>
      <c r="J6995" s="432">
        <v>0.35</v>
      </c>
      <c r="K6995" s="328">
        <f>VLOOKUP(G6995,Bahan,6,FALSE)</f>
        <v>10370</v>
      </c>
      <c r="L6995" s="310">
        <f>J6995*K6995</f>
        <v>3629.4999999999995</v>
      </c>
    </row>
    <row r="6996" spans="5:13" ht="15" customHeight="1" thickBot="1">
      <c r="F6996" s="316"/>
      <c r="G6996" s="317"/>
      <c r="H6996" s="318"/>
      <c r="I6996" s="318"/>
      <c r="J6996" s="319" t="s">
        <v>189</v>
      </c>
      <c r="K6996" s="320"/>
      <c r="L6996" s="321">
        <f>SUM(L6995)</f>
        <v>3629.4999999999995</v>
      </c>
    </row>
    <row r="6997" spans="5:13" ht="15" customHeight="1" thickBot="1">
      <c r="F6997" s="300" t="s">
        <v>190</v>
      </c>
      <c r="G6997" s="301" t="s">
        <v>191</v>
      </c>
      <c r="H6997" s="302"/>
      <c r="I6997" s="302"/>
      <c r="J6997" s="351"/>
      <c r="K6997" s="328">
        <v>0</v>
      </c>
      <c r="L6997" s="310">
        <f>J6997*K6997</f>
        <v>0</v>
      </c>
    </row>
    <row r="6998" spans="5:13" ht="15" customHeight="1" thickBot="1">
      <c r="F6998" s="316"/>
      <c r="G6998" s="317"/>
      <c r="H6998" s="318"/>
      <c r="I6998" s="318"/>
      <c r="J6998" s="319" t="s">
        <v>192</v>
      </c>
      <c r="K6998" s="320"/>
      <c r="L6998" s="321">
        <f>L6997</f>
        <v>0</v>
      </c>
    </row>
    <row r="6999" spans="5:13" ht="15" customHeight="1">
      <c r="F6999" s="344" t="s">
        <v>193</v>
      </c>
      <c r="G6999" s="345" t="s">
        <v>194</v>
      </c>
      <c r="H6999" s="346"/>
      <c r="I6999" s="346"/>
      <c r="J6999" s="347"/>
      <c r="K6999" s="348">
        <v>0</v>
      </c>
      <c r="L6999" s="310">
        <f>SUM(L6988:L6998)/2</f>
        <v>17149.5</v>
      </c>
    </row>
    <row r="7000" spans="5:13" ht="15" customHeight="1" thickBot="1">
      <c r="F7000" s="331" t="s">
        <v>195</v>
      </c>
      <c r="G7000" s="332" t="s">
        <v>196</v>
      </c>
      <c r="H7000" s="333"/>
      <c r="I7000" s="333"/>
      <c r="J7000" s="350">
        <v>0.1</v>
      </c>
      <c r="K7000" s="335"/>
      <c r="L7000" s="330">
        <f>J7000*L6999</f>
        <v>1714.95</v>
      </c>
    </row>
    <row r="7001" spans="5:13" ht="15" customHeight="1" thickBot="1">
      <c r="F7001" s="340" t="s">
        <v>197</v>
      </c>
      <c r="G7001" s="341" t="s">
        <v>198</v>
      </c>
      <c r="H7001" s="318"/>
      <c r="I7001" s="318"/>
      <c r="J7001" s="342"/>
      <c r="K7001" s="320">
        <v>0</v>
      </c>
      <c r="L7001" s="321">
        <f>ROUNDDOWN(L6999+L7000,0)</f>
        <v>18864</v>
      </c>
    </row>
    <row r="7002" spans="5:13" ht="15" customHeight="1">
      <c r="F7002" s="298"/>
      <c r="G7002" s="298"/>
      <c r="J7002" s="343"/>
    </row>
    <row r="7003" spans="5:13" ht="15" customHeight="1" thickBot="1">
      <c r="E7003" s="356" t="s">
        <v>1279</v>
      </c>
      <c r="F7003" s="295" t="s">
        <v>1280</v>
      </c>
      <c r="J7003" s="343"/>
      <c r="M7003" s="299">
        <f>L7020</f>
        <v>79475</v>
      </c>
    </row>
    <row r="7004" spans="5:13" ht="15" customHeight="1" thickBot="1">
      <c r="F7004" s="340" t="s">
        <v>136</v>
      </c>
      <c r="G7004" s="341" t="s">
        <v>162</v>
      </c>
      <c r="H7004" s="352" t="s">
        <v>163</v>
      </c>
      <c r="I7004" s="352" t="s">
        <v>138</v>
      </c>
      <c r="J7004" s="353" t="s">
        <v>164</v>
      </c>
      <c r="K7004" s="341" t="s">
        <v>165</v>
      </c>
      <c r="L7004" s="354" t="s">
        <v>166</v>
      </c>
    </row>
    <row r="7005" spans="5:13" ht="15" customHeight="1">
      <c r="F7005" s="300" t="s">
        <v>167</v>
      </c>
      <c r="G7005" s="301" t="s">
        <v>168</v>
      </c>
      <c r="H7005" s="302"/>
      <c r="I7005" s="302"/>
      <c r="J7005" s="351"/>
      <c r="K7005" s="328"/>
      <c r="L7005" s="310"/>
    </row>
    <row r="7006" spans="5:13" ht="15" customHeight="1">
      <c r="F7006" s="306"/>
      <c r="G7006" s="301" t="s">
        <v>169</v>
      </c>
      <c r="H7006" s="307" t="s">
        <v>170</v>
      </c>
      <c r="I7006" s="307" t="s">
        <v>171</v>
      </c>
      <c r="J7006" s="432">
        <v>0.16</v>
      </c>
      <c r="K7006" s="309">
        <f>VLOOKUP(G7006,Upah,8,FALSE)</f>
        <v>125000</v>
      </c>
      <c r="L7006" s="310">
        <f>J7006*K7006</f>
        <v>20000</v>
      </c>
    </row>
    <row r="7007" spans="5:13" ht="15" customHeight="1">
      <c r="F7007" s="306"/>
      <c r="G7007" s="301" t="s">
        <v>1258</v>
      </c>
      <c r="H7007" s="307" t="s">
        <v>1259</v>
      </c>
      <c r="I7007" s="307" t="s">
        <v>171</v>
      </c>
      <c r="J7007" s="432">
        <v>0.16</v>
      </c>
      <c r="K7007" s="309">
        <f>VLOOKUP(G7007,Upah,8,FALSE)</f>
        <v>150000</v>
      </c>
      <c r="L7007" s="310">
        <f>J7007*K7007</f>
        <v>24000</v>
      </c>
    </row>
    <row r="7008" spans="5:13" ht="15" customHeight="1">
      <c r="F7008" s="306"/>
      <c r="G7008" s="301" t="s">
        <v>232</v>
      </c>
      <c r="H7008" s="307" t="s">
        <v>175</v>
      </c>
      <c r="I7008" s="307" t="s">
        <v>171</v>
      </c>
      <c r="J7008" s="432">
        <v>1.6E-2</v>
      </c>
      <c r="K7008" s="309">
        <f>VLOOKUP(G7008,Upah,8,FALSE)</f>
        <v>165000</v>
      </c>
      <c r="L7008" s="310">
        <f>J7008*K7008</f>
        <v>2640</v>
      </c>
    </row>
    <row r="7009" spans="5:13" ht="15" customHeight="1" thickBot="1">
      <c r="F7009" s="306"/>
      <c r="G7009" s="301" t="s">
        <v>176</v>
      </c>
      <c r="H7009" s="307" t="s">
        <v>177</v>
      </c>
      <c r="I7009" s="307" t="s">
        <v>171</v>
      </c>
      <c r="J7009" s="432">
        <v>3.0000000000000001E-3</v>
      </c>
      <c r="K7009" s="309">
        <f>VLOOKUP(G7009,Upah,8,FALSE)</f>
        <v>170000</v>
      </c>
      <c r="L7009" s="310">
        <f>J7009*K7009</f>
        <v>510</v>
      </c>
    </row>
    <row r="7010" spans="5:13" ht="15" customHeight="1" thickBot="1">
      <c r="F7010" s="316"/>
      <c r="G7010" s="317"/>
      <c r="H7010" s="318"/>
      <c r="I7010" s="318"/>
      <c r="J7010" s="319" t="s">
        <v>178</v>
      </c>
      <c r="K7010" s="320"/>
      <c r="L7010" s="321">
        <f>SUM(L7006:L7009)</f>
        <v>47150</v>
      </c>
    </row>
    <row r="7011" spans="5:13" ht="15" customHeight="1">
      <c r="F7011" s="300" t="s">
        <v>179</v>
      </c>
      <c r="G7011" s="301" t="s">
        <v>180</v>
      </c>
      <c r="H7011" s="302"/>
      <c r="I7011" s="302"/>
      <c r="J7011" s="351"/>
      <c r="K7011" s="328"/>
      <c r="L7011" s="310"/>
    </row>
    <row r="7012" spans="5:13" ht="15" customHeight="1">
      <c r="F7012" s="306"/>
      <c r="G7012" s="301" t="s">
        <v>1281</v>
      </c>
      <c r="H7012" s="302"/>
      <c r="I7012" s="307" t="s">
        <v>438</v>
      </c>
      <c r="J7012" s="432">
        <v>0.15</v>
      </c>
      <c r="K7012" s="328">
        <f>VLOOKUP(G7012,Bahan,6,FALSE)</f>
        <v>146050</v>
      </c>
      <c r="L7012" s="310">
        <f>J7012*K7012</f>
        <v>21907.5</v>
      </c>
    </row>
    <row r="7013" spans="5:13" ht="15" customHeight="1">
      <c r="F7013" s="306"/>
      <c r="G7013" s="301" t="s">
        <v>1282</v>
      </c>
      <c r="H7013" s="302"/>
      <c r="I7013" s="307" t="s">
        <v>45</v>
      </c>
      <c r="J7013" s="432">
        <v>0.05</v>
      </c>
      <c r="K7013" s="328">
        <f>VLOOKUP(G7013,Bahan,6,FALSE)</f>
        <v>47340</v>
      </c>
      <c r="L7013" s="310">
        <f>J7013*K7013</f>
        <v>2367</v>
      </c>
    </row>
    <row r="7014" spans="5:13" ht="15" customHeight="1" thickBot="1">
      <c r="F7014" s="306"/>
      <c r="G7014" s="301" t="s">
        <v>1266</v>
      </c>
      <c r="H7014" s="302"/>
      <c r="I7014" s="307" t="s">
        <v>202</v>
      </c>
      <c r="J7014" s="432">
        <v>0.1</v>
      </c>
      <c r="K7014" s="328">
        <f>VLOOKUP(G7014,Bahan,6,FALSE)</f>
        <v>8260</v>
      </c>
      <c r="L7014" s="310">
        <f>J7014*K7014</f>
        <v>826</v>
      </c>
    </row>
    <row r="7015" spans="5:13" ht="15" customHeight="1" thickBot="1">
      <c r="F7015" s="316"/>
      <c r="G7015" s="317"/>
      <c r="H7015" s="318"/>
      <c r="I7015" s="318"/>
      <c r="J7015" s="319" t="s">
        <v>189</v>
      </c>
      <c r="K7015" s="320"/>
      <c r="L7015" s="321">
        <f>SUM(L7012:L7014)</f>
        <v>25100.5</v>
      </c>
    </row>
    <row r="7016" spans="5:13" ht="15" customHeight="1" thickBot="1">
      <c r="F7016" s="300" t="s">
        <v>190</v>
      </c>
      <c r="G7016" s="301" t="s">
        <v>191</v>
      </c>
      <c r="H7016" s="302"/>
      <c r="I7016" s="302"/>
      <c r="J7016" s="351"/>
      <c r="K7016" s="328">
        <v>0</v>
      </c>
      <c r="L7016" s="310">
        <f>J7016*K7016</f>
        <v>0</v>
      </c>
    </row>
    <row r="7017" spans="5:13" ht="15" customHeight="1" thickBot="1">
      <c r="F7017" s="316"/>
      <c r="G7017" s="317"/>
      <c r="H7017" s="318"/>
      <c r="I7017" s="318"/>
      <c r="J7017" s="319" t="s">
        <v>192</v>
      </c>
      <c r="K7017" s="320"/>
      <c r="L7017" s="321">
        <f>L7016</f>
        <v>0</v>
      </c>
    </row>
    <row r="7018" spans="5:13" ht="15" customHeight="1">
      <c r="F7018" s="344" t="s">
        <v>193</v>
      </c>
      <c r="G7018" s="345" t="s">
        <v>194</v>
      </c>
      <c r="H7018" s="346"/>
      <c r="I7018" s="346"/>
      <c r="J7018" s="347"/>
      <c r="K7018" s="348">
        <v>0</v>
      </c>
      <c r="L7018" s="310">
        <f>SUM(L7006:L7017)/2</f>
        <v>72250.5</v>
      </c>
    </row>
    <row r="7019" spans="5:13" ht="15" customHeight="1" thickBot="1">
      <c r="F7019" s="331" t="s">
        <v>195</v>
      </c>
      <c r="G7019" s="332" t="s">
        <v>196</v>
      </c>
      <c r="H7019" s="333"/>
      <c r="I7019" s="333"/>
      <c r="J7019" s="350">
        <v>0.1</v>
      </c>
      <c r="K7019" s="335"/>
      <c r="L7019" s="330">
        <f>J7019*L7018</f>
        <v>7225.05</v>
      </c>
    </row>
    <row r="7020" spans="5:13" ht="15" customHeight="1" thickBot="1">
      <c r="F7020" s="340" t="s">
        <v>197</v>
      </c>
      <c r="G7020" s="341" t="s">
        <v>198</v>
      </c>
      <c r="H7020" s="318"/>
      <c r="I7020" s="318"/>
      <c r="J7020" s="342"/>
      <c r="K7020" s="320">
        <v>0</v>
      </c>
      <c r="L7020" s="321">
        <f>ROUNDDOWN(L7018+L7019,0)</f>
        <v>79475</v>
      </c>
    </row>
    <row r="7021" spans="5:13" ht="15" customHeight="1">
      <c r="F7021" s="298"/>
      <c r="G7021" s="298"/>
      <c r="J7021" s="343"/>
    </row>
    <row r="7022" spans="5:13" ht="15" customHeight="1" thickBot="1">
      <c r="E7022" s="356" t="s">
        <v>1283</v>
      </c>
      <c r="F7022" s="295" t="s">
        <v>1284</v>
      </c>
      <c r="J7022" s="343"/>
      <c r="M7022" s="299">
        <f>L7039</f>
        <v>37532</v>
      </c>
    </row>
    <row r="7023" spans="5:13" ht="15" customHeight="1" thickBot="1">
      <c r="F7023" s="340" t="s">
        <v>136</v>
      </c>
      <c r="G7023" s="341" t="s">
        <v>162</v>
      </c>
      <c r="H7023" s="352" t="s">
        <v>163</v>
      </c>
      <c r="I7023" s="352" t="s">
        <v>138</v>
      </c>
      <c r="J7023" s="353" t="s">
        <v>164</v>
      </c>
      <c r="K7023" s="341" t="s">
        <v>165</v>
      </c>
      <c r="L7023" s="354" t="s">
        <v>166</v>
      </c>
    </row>
    <row r="7024" spans="5:13" ht="15" customHeight="1">
      <c r="F7024" s="300" t="s">
        <v>167</v>
      </c>
      <c r="G7024" s="301" t="s">
        <v>168</v>
      </c>
      <c r="H7024" s="302"/>
      <c r="I7024" s="302"/>
      <c r="J7024" s="351"/>
      <c r="K7024" s="328"/>
      <c r="L7024" s="310"/>
    </row>
    <row r="7025" spans="6:12" ht="15" customHeight="1">
      <c r="F7025" s="306"/>
      <c r="G7025" s="301" t="s">
        <v>169</v>
      </c>
      <c r="H7025" s="307" t="s">
        <v>170</v>
      </c>
      <c r="I7025" s="307" t="s">
        <v>171</v>
      </c>
      <c r="J7025" s="432">
        <v>0.02</v>
      </c>
      <c r="K7025" s="309">
        <f>VLOOKUP(G7025,Upah,8,FALSE)</f>
        <v>125000</v>
      </c>
      <c r="L7025" s="310">
        <f>J7025*K7025</f>
        <v>2500</v>
      </c>
    </row>
    <row r="7026" spans="6:12" ht="15" customHeight="1">
      <c r="F7026" s="306"/>
      <c r="G7026" s="301" t="s">
        <v>1258</v>
      </c>
      <c r="H7026" s="307" t="s">
        <v>1259</v>
      </c>
      <c r="I7026" s="307" t="s">
        <v>171</v>
      </c>
      <c r="J7026" s="432">
        <v>6.3E-2</v>
      </c>
      <c r="K7026" s="309">
        <f>VLOOKUP(G7026,Upah,8,FALSE)</f>
        <v>150000</v>
      </c>
      <c r="L7026" s="310">
        <f>J7026*K7026</f>
        <v>9450</v>
      </c>
    </row>
    <row r="7027" spans="6:12" ht="15" customHeight="1">
      <c r="F7027" s="306"/>
      <c r="G7027" s="301" t="s">
        <v>232</v>
      </c>
      <c r="H7027" s="307" t="s">
        <v>175</v>
      </c>
      <c r="I7027" s="307" t="s">
        <v>171</v>
      </c>
      <c r="J7027" s="432">
        <v>6.3E-3</v>
      </c>
      <c r="K7027" s="309">
        <f>VLOOKUP(G7027,Upah,8,FALSE)</f>
        <v>165000</v>
      </c>
      <c r="L7027" s="310">
        <f>J7027*K7027</f>
        <v>1039.5</v>
      </c>
    </row>
    <row r="7028" spans="6:12" ht="15" customHeight="1" thickBot="1">
      <c r="F7028" s="306"/>
      <c r="G7028" s="301" t="s">
        <v>176</v>
      </c>
      <c r="H7028" s="307" t="s">
        <v>177</v>
      </c>
      <c r="I7028" s="307" t="s">
        <v>171</v>
      </c>
      <c r="J7028" s="432">
        <v>3.0000000000000001E-3</v>
      </c>
      <c r="K7028" s="309">
        <f>VLOOKUP(G7028,Upah,8,FALSE)</f>
        <v>170000</v>
      </c>
      <c r="L7028" s="310">
        <f>J7028*K7028</f>
        <v>510</v>
      </c>
    </row>
    <row r="7029" spans="6:12" ht="15" customHeight="1" thickBot="1">
      <c r="F7029" s="316"/>
      <c r="G7029" s="317"/>
      <c r="H7029" s="318"/>
      <c r="I7029" s="318"/>
      <c r="J7029" s="319" t="s">
        <v>178</v>
      </c>
      <c r="K7029" s="320"/>
      <c r="L7029" s="321">
        <f>SUM(L7025:L7028)</f>
        <v>13499.5</v>
      </c>
    </row>
    <row r="7030" spans="6:12" ht="15" customHeight="1">
      <c r="F7030" s="300" t="s">
        <v>179</v>
      </c>
      <c r="G7030" s="301" t="s">
        <v>180</v>
      </c>
      <c r="H7030" s="302"/>
      <c r="I7030" s="302"/>
      <c r="J7030" s="351"/>
      <c r="K7030" s="328"/>
      <c r="L7030" s="310"/>
    </row>
    <row r="7031" spans="6:12" ht="15" customHeight="1">
      <c r="F7031" s="306"/>
      <c r="G7031" s="301" t="s">
        <v>1261</v>
      </c>
      <c r="H7031" s="302"/>
      <c r="I7031" s="307" t="s">
        <v>45</v>
      </c>
      <c r="J7031" s="432">
        <v>0.1</v>
      </c>
      <c r="K7031" s="328">
        <f>VLOOKUP(G7031,Bahan,6,FALSE)</f>
        <v>22000</v>
      </c>
      <c r="L7031" s="310">
        <f>J7031*K7031</f>
        <v>2200</v>
      </c>
    </row>
    <row r="7032" spans="6:12" ht="15" customHeight="1">
      <c r="F7032" s="306"/>
      <c r="G7032" s="301" t="s">
        <v>1285</v>
      </c>
      <c r="H7032" s="302"/>
      <c r="I7032" s="307" t="s">
        <v>45</v>
      </c>
      <c r="J7032" s="432">
        <v>0.1</v>
      </c>
      <c r="K7032" s="328">
        <f>VLOOKUP(G7032,Bahan,6,FALSE)</f>
        <v>78650</v>
      </c>
      <c r="L7032" s="310">
        <f>J7032*K7032</f>
        <v>7865</v>
      </c>
    </row>
    <row r="7033" spans="6:12" ht="15" customHeight="1" thickBot="1">
      <c r="F7033" s="306"/>
      <c r="G7033" s="301" t="s">
        <v>1286</v>
      </c>
      <c r="H7033" s="302"/>
      <c r="I7033" s="307" t="s">
        <v>45</v>
      </c>
      <c r="J7033" s="432">
        <v>0.26</v>
      </c>
      <c r="K7033" s="328">
        <f>VLOOKUP(G7033,Bahan,6,FALSE)</f>
        <v>40600</v>
      </c>
      <c r="L7033" s="310">
        <f>J7033*K7033</f>
        <v>10556</v>
      </c>
    </row>
    <row r="7034" spans="6:12" ht="15" customHeight="1" thickBot="1">
      <c r="F7034" s="316"/>
      <c r="G7034" s="317"/>
      <c r="H7034" s="318"/>
      <c r="I7034" s="318"/>
      <c r="J7034" s="319" t="s">
        <v>189</v>
      </c>
      <c r="K7034" s="320"/>
      <c r="L7034" s="321">
        <f>SUM(L7031:L7033)</f>
        <v>20621</v>
      </c>
    </row>
    <row r="7035" spans="6:12" ht="15" customHeight="1" thickBot="1">
      <c r="F7035" s="300" t="s">
        <v>190</v>
      </c>
      <c r="G7035" s="301" t="s">
        <v>191</v>
      </c>
      <c r="H7035" s="302"/>
      <c r="I7035" s="302"/>
      <c r="J7035" s="351"/>
      <c r="K7035" s="328">
        <v>0</v>
      </c>
      <c r="L7035" s="310">
        <f>J7035*K7035</f>
        <v>0</v>
      </c>
    </row>
    <row r="7036" spans="6:12" ht="15" customHeight="1" thickBot="1">
      <c r="F7036" s="316"/>
      <c r="G7036" s="317"/>
      <c r="H7036" s="318"/>
      <c r="I7036" s="318"/>
      <c r="J7036" s="319" t="s">
        <v>192</v>
      </c>
      <c r="K7036" s="320"/>
      <c r="L7036" s="321">
        <f>L7035</f>
        <v>0</v>
      </c>
    </row>
    <row r="7037" spans="6:12" ht="15" customHeight="1">
      <c r="F7037" s="344" t="s">
        <v>193</v>
      </c>
      <c r="G7037" s="345" t="s">
        <v>194</v>
      </c>
      <c r="H7037" s="346"/>
      <c r="I7037" s="346"/>
      <c r="J7037" s="347"/>
      <c r="K7037" s="348">
        <v>0</v>
      </c>
      <c r="L7037" s="310">
        <f>SUM(L7025:L7036)/2</f>
        <v>34120.5</v>
      </c>
    </row>
    <row r="7038" spans="6:12" ht="15" customHeight="1" thickBot="1">
      <c r="F7038" s="331" t="s">
        <v>195</v>
      </c>
      <c r="G7038" s="332" t="s">
        <v>196</v>
      </c>
      <c r="H7038" s="333"/>
      <c r="I7038" s="333"/>
      <c r="J7038" s="350">
        <v>0.1</v>
      </c>
      <c r="K7038" s="335"/>
      <c r="L7038" s="330">
        <f>J7038*L7037</f>
        <v>3412.05</v>
      </c>
    </row>
    <row r="7039" spans="6:12" ht="15" customHeight="1" thickBot="1">
      <c r="F7039" s="340" t="s">
        <v>197</v>
      </c>
      <c r="G7039" s="341" t="s">
        <v>198</v>
      </c>
      <c r="H7039" s="318"/>
      <c r="I7039" s="318"/>
      <c r="J7039" s="342"/>
      <c r="K7039" s="320">
        <v>0</v>
      </c>
      <c r="L7039" s="321">
        <f>ROUNDDOWN(L7037+L7038,0)</f>
        <v>37532</v>
      </c>
    </row>
    <row r="7040" spans="6:12" ht="15" customHeight="1">
      <c r="F7040" s="298"/>
      <c r="G7040" s="298"/>
      <c r="J7040" s="343"/>
    </row>
    <row r="7041" spans="5:13" ht="15" customHeight="1" thickBot="1">
      <c r="E7041" s="356" t="s">
        <v>1287</v>
      </c>
      <c r="F7041" s="295" t="s">
        <v>1288</v>
      </c>
      <c r="J7041" s="343"/>
      <c r="M7041" s="299">
        <f>L7057</f>
        <v>30523</v>
      </c>
    </row>
    <row r="7042" spans="5:13" ht="15" customHeight="1" thickBot="1">
      <c r="F7042" s="340" t="s">
        <v>136</v>
      </c>
      <c r="G7042" s="341" t="s">
        <v>162</v>
      </c>
      <c r="H7042" s="352" t="s">
        <v>163</v>
      </c>
      <c r="I7042" s="352" t="s">
        <v>138</v>
      </c>
      <c r="J7042" s="353" t="s">
        <v>164</v>
      </c>
      <c r="K7042" s="341" t="s">
        <v>165</v>
      </c>
      <c r="L7042" s="354" t="s">
        <v>166</v>
      </c>
    </row>
    <row r="7043" spans="5:13" ht="15" customHeight="1">
      <c r="F7043" s="300" t="s">
        <v>167</v>
      </c>
      <c r="G7043" s="301" t="s">
        <v>168</v>
      </c>
      <c r="H7043" s="302"/>
      <c r="I7043" s="302"/>
      <c r="J7043" s="351"/>
      <c r="K7043" s="328"/>
      <c r="L7043" s="310"/>
    </row>
    <row r="7044" spans="5:13" ht="15" customHeight="1">
      <c r="F7044" s="306"/>
      <c r="G7044" s="301" t="s">
        <v>169</v>
      </c>
      <c r="H7044" s="307" t="s">
        <v>170</v>
      </c>
      <c r="I7044" s="307" t="s">
        <v>171</v>
      </c>
      <c r="J7044" s="432">
        <v>2.8000000000000001E-2</v>
      </c>
      <c r="K7044" s="309">
        <f>VLOOKUP(G7044,Upah,8,FALSE)</f>
        <v>125000</v>
      </c>
      <c r="L7044" s="310">
        <f>J7044*K7044</f>
        <v>3500</v>
      </c>
    </row>
    <row r="7045" spans="5:13" ht="15" customHeight="1">
      <c r="F7045" s="306"/>
      <c r="G7045" s="301" t="s">
        <v>1258</v>
      </c>
      <c r="H7045" s="307" t="s">
        <v>1259</v>
      </c>
      <c r="I7045" s="307" t="s">
        <v>171</v>
      </c>
      <c r="J7045" s="432">
        <v>4.2000000000000003E-2</v>
      </c>
      <c r="K7045" s="309">
        <f>VLOOKUP(G7045,Upah,8,FALSE)</f>
        <v>150000</v>
      </c>
      <c r="L7045" s="310">
        <f>J7045*K7045</f>
        <v>6300</v>
      </c>
    </row>
    <row r="7046" spans="5:13" ht="15" customHeight="1">
      <c r="F7046" s="306"/>
      <c r="G7046" s="301" t="s">
        <v>232</v>
      </c>
      <c r="H7046" s="307" t="s">
        <v>175</v>
      </c>
      <c r="I7046" s="307" t="s">
        <v>171</v>
      </c>
      <c r="J7046" s="432">
        <v>4.1999999999999997E-3</v>
      </c>
      <c r="K7046" s="309">
        <f>VLOOKUP(G7046,Upah,8,FALSE)</f>
        <v>165000</v>
      </c>
      <c r="L7046" s="310">
        <f>J7046*K7046</f>
        <v>693</v>
      </c>
    </row>
    <row r="7047" spans="5:13" ht="15" customHeight="1" thickBot="1">
      <c r="F7047" s="306"/>
      <c r="G7047" s="301" t="s">
        <v>176</v>
      </c>
      <c r="H7047" s="307" t="s">
        <v>177</v>
      </c>
      <c r="I7047" s="307" t="s">
        <v>171</v>
      </c>
      <c r="J7047" s="432">
        <v>3.0000000000000001E-3</v>
      </c>
      <c r="K7047" s="309">
        <f>VLOOKUP(G7047,Upah,8,FALSE)</f>
        <v>170000</v>
      </c>
      <c r="L7047" s="310">
        <f>J7047*K7047</f>
        <v>510</v>
      </c>
    </row>
    <row r="7048" spans="5:13" ht="15" customHeight="1" thickBot="1">
      <c r="F7048" s="316"/>
      <c r="G7048" s="317"/>
      <c r="H7048" s="318"/>
      <c r="I7048" s="318"/>
      <c r="J7048" s="319" t="s">
        <v>178</v>
      </c>
      <c r="K7048" s="320"/>
      <c r="L7048" s="321">
        <f>SUM(L7044:L7047)</f>
        <v>11003</v>
      </c>
    </row>
    <row r="7049" spans="5:13" ht="15" customHeight="1">
      <c r="F7049" s="300" t="s">
        <v>179</v>
      </c>
      <c r="G7049" s="301" t="s">
        <v>180</v>
      </c>
      <c r="H7049" s="302"/>
      <c r="I7049" s="302"/>
      <c r="J7049" s="351"/>
      <c r="K7049" s="328"/>
      <c r="L7049" s="310"/>
    </row>
    <row r="7050" spans="5:13" ht="15" customHeight="1">
      <c r="F7050" s="306"/>
      <c r="G7050" s="301" t="s">
        <v>1285</v>
      </c>
      <c r="H7050" s="302"/>
      <c r="I7050" s="307" t="s">
        <v>45</v>
      </c>
      <c r="J7050" s="432">
        <v>0.12</v>
      </c>
      <c r="K7050" s="328">
        <f>VLOOKUP(G7050,Bahan,6,FALSE)</f>
        <v>78650</v>
      </c>
      <c r="L7050" s="310">
        <f>J7050*K7050</f>
        <v>9438</v>
      </c>
    </row>
    <row r="7051" spans="5:13" ht="15" customHeight="1" thickBot="1">
      <c r="F7051" s="306"/>
      <c r="G7051" s="301" t="s">
        <v>1286</v>
      </c>
      <c r="H7051" s="302"/>
      <c r="I7051" s="307" t="s">
        <v>45</v>
      </c>
      <c r="J7051" s="432">
        <v>0.18</v>
      </c>
      <c r="K7051" s="328">
        <f>VLOOKUP(G7051,Bahan,6,FALSE)</f>
        <v>40600</v>
      </c>
      <c r="L7051" s="310">
        <f>J7051*K7051</f>
        <v>7308</v>
      </c>
    </row>
    <row r="7052" spans="5:13" ht="15" customHeight="1" thickBot="1">
      <c r="F7052" s="316"/>
      <c r="G7052" s="317"/>
      <c r="H7052" s="318"/>
      <c r="I7052" s="318"/>
      <c r="J7052" s="319" t="s">
        <v>189</v>
      </c>
      <c r="K7052" s="320"/>
      <c r="L7052" s="321">
        <f>SUM(L7050:L7051)</f>
        <v>16746</v>
      </c>
    </row>
    <row r="7053" spans="5:13" ht="15" customHeight="1" thickBot="1">
      <c r="F7053" s="300" t="s">
        <v>190</v>
      </c>
      <c r="G7053" s="301" t="s">
        <v>191</v>
      </c>
      <c r="H7053" s="302"/>
      <c r="I7053" s="302"/>
      <c r="J7053" s="351"/>
      <c r="K7053" s="328">
        <v>0</v>
      </c>
      <c r="L7053" s="310">
        <f>J7053*K7053</f>
        <v>0</v>
      </c>
    </row>
    <row r="7054" spans="5:13" ht="15" customHeight="1" thickBot="1">
      <c r="F7054" s="316"/>
      <c r="G7054" s="317"/>
      <c r="H7054" s="318"/>
      <c r="I7054" s="318"/>
      <c r="J7054" s="319" t="s">
        <v>192</v>
      </c>
      <c r="K7054" s="320"/>
      <c r="L7054" s="321">
        <f>L7053</f>
        <v>0</v>
      </c>
    </row>
    <row r="7055" spans="5:13" ht="15" customHeight="1">
      <c r="F7055" s="344" t="s">
        <v>193</v>
      </c>
      <c r="G7055" s="345" t="s">
        <v>194</v>
      </c>
      <c r="H7055" s="346"/>
      <c r="I7055" s="346"/>
      <c r="J7055" s="347"/>
      <c r="K7055" s="348">
        <v>0</v>
      </c>
      <c r="L7055" s="310">
        <f>SUM(L7044:L7054)/2</f>
        <v>27749</v>
      </c>
    </row>
    <row r="7056" spans="5:13" ht="15" customHeight="1" thickBot="1">
      <c r="F7056" s="331" t="s">
        <v>195</v>
      </c>
      <c r="G7056" s="332" t="s">
        <v>196</v>
      </c>
      <c r="H7056" s="333"/>
      <c r="I7056" s="333"/>
      <c r="J7056" s="350">
        <v>0.1</v>
      </c>
      <c r="K7056" s="335"/>
      <c r="L7056" s="330">
        <f>J7056*L7055</f>
        <v>2774.9</v>
      </c>
    </row>
    <row r="7057" spans="5:13" ht="15" customHeight="1" thickBot="1">
      <c r="F7057" s="340" t="s">
        <v>197</v>
      </c>
      <c r="G7057" s="341" t="s">
        <v>198</v>
      </c>
      <c r="H7057" s="318"/>
      <c r="I7057" s="318"/>
      <c r="J7057" s="342"/>
      <c r="K7057" s="320">
        <v>0</v>
      </c>
      <c r="L7057" s="321">
        <f>ROUNDDOWN(L7055+L7056,0)</f>
        <v>30523</v>
      </c>
    </row>
    <row r="7058" spans="5:13" ht="15" customHeight="1">
      <c r="F7058" s="298"/>
      <c r="G7058" s="298"/>
      <c r="J7058" s="343"/>
    </row>
    <row r="7059" spans="5:13" ht="15" customHeight="1" thickBot="1">
      <c r="E7059" s="356" t="s">
        <v>1289</v>
      </c>
      <c r="F7059" s="295" t="s">
        <v>1290</v>
      </c>
      <c r="J7059" s="343"/>
      <c r="M7059" s="299">
        <f>L7074</f>
        <v>12750</v>
      </c>
    </row>
    <row r="7060" spans="5:13" ht="15" customHeight="1" thickBot="1">
      <c r="F7060" s="340" t="s">
        <v>136</v>
      </c>
      <c r="G7060" s="341" t="s">
        <v>162</v>
      </c>
      <c r="H7060" s="352" t="s">
        <v>163</v>
      </c>
      <c r="I7060" s="352" t="s">
        <v>138</v>
      </c>
      <c r="J7060" s="353" t="s">
        <v>164</v>
      </c>
      <c r="K7060" s="341" t="s">
        <v>165</v>
      </c>
      <c r="L7060" s="354" t="s">
        <v>166</v>
      </c>
    </row>
    <row r="7061" spans="5:13" ht="15" customHeight="1">
      <c r="F7061" s="300" t="s">
        <v>167</v>
      </c>
      <c r="G7061" s="301" t="s">
        <v>168</v>
      </c>
      <c r="H7061" s="302"/>
      <c r="I7061" s="302"/>
      <c r="J7061" s="351"/>
      <c r="K7061" s="328"/>
      <c r="L7061" s="310"/>
    </row>
    <row r="7062" spans="5:13" ht="15" customHeight="1">
      <c r="F7062" s="306"/>
      <c r="G7062" s="301" t="s">
        <v>169</v>
      </c>
      <c r="H7062" s="307" t="s">
        <v>170</v>
      </c>
      <c r="I7062" s="307" t="s">
        <v>171</v>
      </c>
      <c r="J7062" s="432">
        <v>2.8000000000000001E-2</v>
      </c>
      <c r="K7062" s="309">
        <f>VLOOKUP(G7062,Upah,8,FALSE)</f>
        <v>125000</v>
      </c>
      <c r="L7062" s="310">
        <f>J7062*K7062</f>
        <v>3500</v>
      </c>
    </row>
    <row r="7063" spans="5:13" ht="15" customHeight="1">
      <c r="F7063" s="306"/>
      <c r="G7063" s="301" t="s">
        <v>1258</v>
      </c>
      <c r="H7063" s="307" t="s">
        <v>1259</v>
      </c>
      <c r="I7063" s="307" t="s">
        <v>171</v>
      </c>
      <c r="J7063" s="432">
        <v>4.2000000000000003E-2</v>
      </c>
      <c r="K7063" s="309">
        <f>VLOOKUP(G7063,Upah,8,FALSE)</f>
        <v>150000</v>
      </c>
      <c r="L7063" s="310">
        <f>J7063*K7063</f>
        <v>6300</v>
      </c>
    </row>
    <row r="7064" spans="5:13" ht="15" customHeight="1">
      <c r="F7064" s="306"/>
      <c r="G7064" s="301" t="s">
        <v>232</v>
      </c>
      <c r="H7064" s="307" t="s">
        <v>175</v>
      </c>
      <c r="I7064" s="307" t="s">
        <v>171</v>
      </c>
      <c r="J7064" s="432">
        <v>4.1999999999999997E-3</v>
      </c>
      <c r="K7064" s="309">
        <f>VLOOKUP(G7064,Upah,8,FALSE)</f>
        <v>165000</v>
      </c>
      <c r="L7064" s="310">
        <f>J7064*K7064</f>
        <v>693</v>
      </c>
    </row>
    <row r="7065" spans="5:13" ht="15" customHeight="1" thickBot="1">
      <c r="F7065" s="306"/>
      <c r="G7065" s="301" t="s">
        <v>176</v>
      </c>
      <c r="H7065" s="307" t="s">
        <v>177</v>
      </c>
      <c r="I7065" s="307" t="s">
        <v>171</v>
      </c>
      <c r="J7065" s="432">
        <v>3.0000000000000001E-3</v>
      </c>
      <c r="K7065" s="309">
        <f>VLOOKUP(G7065,Upah,8,FALSE)</f>
        <v>170000</v>
      </c>
      <c r="L7065" s="310">
        <f>J7065*K7065</f>
        <v>510</v>
      </c>
    </row>
    <row r="7066" spans="5:13" ht="15" customHeight="1" thickBot="1">
      <c r="F7066" s="316"/>
      <c r="G7066" s="317"/>
      <c r="H7066" s="318"/>
      <c r="I7066" s="318"/>
      <c r="J7066" s="319" t="s">
        <v>178</v>
      </c>
      <c r="K7066" s="320"/>
      <c r="L7066" s="321">
        <f>SUM(L7062:L7065)</f>
        <v>11003</v>
      </c>
    </row>
    <row r="7067" spans="5:13" ht="15" customHeight="1">
      <c r="F7067" s="300" t="s">
        <v>179</v>
      </c>
      <c r="G7067" s="301" t="s">
        <v>180</v>
      </c>
      <c r="H7067" s="302"/>
      <c r="I7067" s="302"/>
      <c r="J7067" s="351"/>
      <c r="K7067" s="328"/>
      <c r="L7067" s="310"/>
    </row>
    <row r="7068" spans="5:13" ht="15" customHeight="1" thickBot="1">
      <c r="F7068" s="306"/>
      <c r="G7068" s="301" t="s">
        <v>1291</v>
      </c>
      <c r="H7068" s="302"/>
      <c r="I7068" s="307" t="s">
        <v>45</v>
      </c>
      <c r="J7068" s="432">
        <v>0.1</v>
      </c>
      <c r="K7068" s="328">
        <f>VLOOKUP(G7068,Bahan,6,FALSE)</f>
        <v>5880</v>
      </c>
      <c r="L7068" s="310">
        <f>J7068*K7068</f>
        <v>588</v>
      </c>
    </row>
    <row r="7069" spans="5:13" ht="15" customHeight="1" thickBot="1">
      <c r="F7069" s="316"/>
      <c r="G7069" s="317"/>
      <c r="H7069" s="318"/>
      <c r="I7069" s="318"/>
      <c r="J7069" s="319" t="s">
        <v>189</v>
      </c>
      <c r="K7069" s="320"/>
      <c r="L7069" s="321">
        <f>SUM(L7068)</f>
        <v>588</v>
      </c>
    </row>
    <row r="7070" spans="5:13" ht="15" customHeight="1" thickBot="1">
      <c r="F7070" s="300" t="s">
        <v>190</v>
      </c>
      <c r="G7070" s="301" t="s">
        <v>191</v>
      </c>
      <c r="H7070" s="302"/>
      <c r="I7070" s="302"/>
      <c r="J7070" s="351"/>
      <c r="K7070" s="328">
        <v>0</v>
      </c>
      <c r="L7070" s="310">
        <f>J7070*K7070</f>
        <v>0</v>
      </c>
    </row>
    <row r="7071" spans="5:13" ht="15" customHeight="1" thickBot="1">
      <c r="F7071" s="316"/>
      <c r="G7071" s="317"/>
      <c r="H7071" s="318"/>
      <c r="I7071" s="318"/>
      <c r="J7071" s="319" t="s">
        <v>192</v>
      </c>
      <c r="K7071" s="320"/>
      <c r="L7071" s="321">
        <f>L7070</f>
        <v>0</v>
      </c>
    </row>
    <row r="7072" spans="5:13" ht="15" customHeight="1">
      <c r="F7072" s="344" t="s">
        <v>193</v>
      </c>
      <c r="G7072" s="345" t="s">
        <v>194</v>
      </c>
      <c r="H7072" s="346"/>
      <c r="I7072" s="346"/>
      <c r="J7072" s="347"/>
      <c r="K7072" s="348">
        <v>0</v>
      </c>
      <c r="L7072" s="310">
        <f>SUM(L7061:L7071)/2</f>
        <v>11591</v>
      </c>
    </row>
    <row r="7073" spans="5:13" ht="15" customHeight="1" thickBot="1">
      <c r="F7073" s="331" t="s">
        <v>195</v>
      </c>
      <c r="G7073" s="332" t="s">
        <v>196</v>
      </c>
      <c r="H7073" s="333"/>
      <c r="I7073" s="333"/>
      <c r="J7073" s="350">
        <v>0.1</v>
      </c>
      <c r="K7073" s="335"/>
      <c r="L7073" s="330">
        <f>J7073*L7072</f>
        <v>1159.1000000000001</v>
      </c>
    </row>
    <row r="7074" spans="5:13" ht="15" customHeight="1" thickBot="1">
      <c r="F7074" s="340" t="s">
        <v>197</v>
      </c>
      <c r="G7074" s="341" t="s">
        <v>198</v>
      </c>
      <c r="H7074" s="318"/>
      <c r="I7074" s="318"/>
      <c r="J7074" s="342"/>
      <c r="K7074" s="320">
        <v>0</v>
      </c>
      <c r="L7074" s="321">
        <f>ROUNDDOWN(L7072+L7073,0)</f>
        <v>12750</v>
      </c>
    </row>
    <row r="7075" spans="5:13" ht="15" customHeight="1">
      <c r="F7075" s="298"/>
      <c r="G7075" s="298"/>
      <c r="J7075" s="343"/>
    </row>
    <row r="7076" spans="5:13" ht="15" customHeight="1" thickBot="1">
      <c r="E7076" s="356" t="s">
        <v>1292</v>
      </c>
      <c r="F7076" s="295" t="s">
        <v>1293</v>
      </c>
      <c r="J7076" s="343"/>
      <c r="M7076" s="299">
        <f>L7093</f>
        <v>25072</v>
      </c>
    </row>
    <row r="7077" spans="5:13" ht="15" customHeight="1" thickBot="1">
      <c r="F7077" s="340" t="s">
        <v>136</v>
      </c>
      <c r="G7077" s="341" t="s">
        <v>162</v>
      </c>
      <c r="H7077" s="352" t="s">
        <v>163</v>
      </c>
      <c r="I7077" s="352" t="s">
        <v>138</v>
      </c>
      <c r="J7077" s="353" t="s">
        <v>164</v>
      </c>
      <c r="K7077" s="341" t="s">
        <v>165</v>
      </c>
      <c r="L7077" s="354" t="s">
        <v>166</v>
      </c>
    </row>
    <row r="7078" spans="5:13" ht="15" customHeight="1">
      <c r="F7078" s="300" t="s">
        <v>167</v>
      </c>
      <c r="G7078" s="301" t="s">
        <v>168</v>
      </c>
      <c r="H7078" s="302"/>
      <c r="I7078" s="302"/>
      <c r="J7078" s="351"/>
      <c r="K7078" s="328"/>
      <c r="L7078" s="310"/>
    </row>
    <row r="7079" spans="5:13" ht="15" customHeight="1">
      <c r="F7079" s="306"/>
      <c r="G7079" s="301" t="s">
        <v>169</v>
      </c>
      <c r="H7079" s="307" t="s">
        <v>170</v>
      </c>
      <c r="I7079" s="307" t="s">
        <v>171</v>
      </c>
      <c r="J7079" s="432">
        <v>0.15</v>
      </c>
      <c r="K7079" s="309">
        <f>VLOOKUP(G7079,Upah,8,FALSE)</f>
        <v>125000</v>
      </c>
      <c r="L7079" s="310">
        <f>J7079*K7079</f>
        <v>18750</v>
      </c>
    </row>
    <row r="7080" spans="5:13" ht="15" customHeight="1">
      <c r="F7080" s="306"/>
      <c r="G7080" s="301" t="s">
        <v>1258</v>
      </c>
      <c r="H7080" s="307" t="s">
        <v>1259</v>
      </c>
      <c r="I7080" s="307" t="s">
        <v>171</v>
      </c>
      <c r="J7080" s="432">
        <v>1E-3</v>
      </c>
      <c r="K7080" s="309">
        <f>VLOOKUP(G7080,Upah,8,FALSE)</f>
        <v>150000</v>
      </c>
      <c r="L7080" s="310">
        <f>J7080*K7080</f>
        <v>150</v>
      </c>
    </row>
    <row r="7081" spans="5:13" ht="15" customHeight="1">
      <c r="F7081" s="306"/>
      <c r="G7081" s="301" t="s">
        <v>232</v>
      </c>
      <c r="H7081" s="307" t="s">
        <v>175</v>
      </c>
      <c r="I7081" s="307" t="s">
        <v>171</v>
      </c>
      <c r="J7081" s="432">
        <v>1E-4</v>
      </c>
      <c r="K7081" s="309">
        <f>VLOOKUP(G7081,Upah,8,FALSE)</f>
        <v>165000</v>
      </c>
      <c r="L7081" s="310">
        <f>J7081*K7081</f>
        <v>16.5</v>
      </c>
    </row>
    <row r="7082" spans="5:13" ht="15" customHeight="1" thickBot="1">
      <c r="F7082" s="306"/>
      <c r="G7082" s="301" t="s">
        <v>176</v>
      </c>
      <c r="H7082" s="307" t="s">
        <v>177</v>
      </c>
      <c r="I7082" s="307" t="s">
        <v>171</v>
      </c>
      <c r="J7082" s="432">
        <v>2.5000000000000001E-3</v>
      </c>
      <c r="K7082" s="309">
        <f>VLOOKUP(G7082,Upah,8,FALSE)</f>
        <v>170000</v>
      </c>
      <c r="L7082" s="310">
        <f>J7082*K7082</f>
        <v>425</v>
      </c>
    </row>
    <row r="7083" spans="5:13" ht="15" customHeight="1" thickBot="1">
      <c r="F7083" s="316"/>
      <c r="G7083" s="317"/>
      <c r="H7083" s="318"/>
      <c r="I7083" s="318"/>
      <c r="J7083" s="319" t="s">
        <v>178</v>
      </c>
      <c r="K7083" s="320"/>
      <c r="L7083" s="321">
        <f>SUM(L7079:L7082)</f>
        <v>19341.5</v>
      </c>
    </row>
    <row r="7084" spans="5:13" ht="15" customHeight="1">
      <c r="F7084" s="300" t="s">
        <v>179</v>
      </c>
      <c r="G7084" s="301" t="s">
        <v>180</v>
      </c>
      <c r="H7084" s="302"/>
      <c r="I7084" s="302"/>
      <c r="J7084" s="351"/>
      <c r="K7084" s="328"/>
      <c r="L7084" s="310"/>
    </row>
    <row r="7085" spans="5:13" ht="15" customHeight="1">
      <c r="F7085" s="306"/>
      <c r="G7085" s="301" t="s">
        <v>1294</v>
      </c>
      <c r="H7085" s="302"/>
      <c r="I7085" s="307" t="s">
        <v>45</v>
      </c>
      <c r="J7085" s="432">
        <v>0.15</v>
      </c>
      <c r="K7085" s="328">
        <f>VLOOKUP(G7085,Bahan,6,FALSE)</f>
        <v>16370</v>
      </c>
      <c r="L7085" s="310">
        <f>J7085*K7085</f>
        <v>2455.5</v>
      </c>
    </row>
    <row r="7086" spans="5:13" ht="15" customHeight="1">
      <c r="F7086" s="306"/>
      <c r="G7086" s="301" t="s">
        <v>1266</v>
      </c>
      <c r="H7086" s="302"/>
      <c r="I7086" s="307" t="s">
        <v>202</v>
      </c>
      <c r="J7086" s="432">
        <v>0.1</v>
      </c>
      <c r="K7086" s="328">
        <f>VLOOKUP(G7086,Bahan,6,FALSE)</f>
        <v>8260</v>
      </c>
      <c r="L7086" s="310">
        <f>J7086*K7086</f>
        <v>826</v>
      </c>
    </row>
    <row r="7087" spans="5:13" ht="15" customHeight="1" thickBot="1">
      <c r="F7087" s="306"/>
      <c r="G7087" s="301" t="s">
        <v>1295</v>
      </c>
      <c r="H7087" s="302"/>
      <c r="I7087" s="307" t="s">
        <v>1296</v>
      </c>
      <c r="J7087" s="432">
        <v>0.25</v>
      </c>
      <c r="K7087" s="328">
        <f>VLOOKUP(G7087,Bahan,6,FALSE)</f>
        <v>680</v>
      </c>
      <c r="L7087" s="310">
        <f>J7087*K7087</f>
        <v>170</v>
      </c>
    </row>
    <row r="7088" spans="5:13" ht="15" customHeight="1" thickBot="1">
      <c r="F7088" s="316"/>
      <c r="G7088" s="317"/>
      <c r="H7088" s="318"/>
      <c r="I7088" s="318"/>
      <c r="J7088" s="319" t="s">
        <v>189</v>
      </c>
      <c r="K7088" s="320"/>
      <c r="L7088" s="321">
        <f>SUM(L7085:L7087)</f>
        <v>3451.5</v>
      </c>
    </row>
    <row r="7089" spans="5:13" ht="15" customHeight="1" thickBot="1">
      <c r="F7089" s="300" t="s">
        <v>190</v>
      </c>
      <c r="G7089" s="301" t="s">
        <v>191</v>
      </c>
      <c r="H7089" s="302"/>
      <c r="I7089" s="302"/>
      <c r="J7089" s="351"/>
      <c r="K7089" s="328">
        <v>0</v>
      </c>
      <c r="L7089" s="310">
        <f>J7089*K7089</f>
        <v>0</v>
      </c>
    </row>
    <row r="7090" spans="5:13" ht="15" customHeight="1" thickBot="1">
      <c r="F7090" s="316"/>
      <c r="G7090" s="317"/>
      <c r="H7090" s="318"/>
      <c r="I7090" s="318"/>
      <c r="J7090" s="319" t="s">
        <v>192</v>
      </c>
      <c r="K7090" s="320"/>
      <c r="L7090" s="321">
        <f>L7089</f>
        <v>0</v>
      </c>
    </row>
    <row r="7091" spans="5:13" ht="15" customHeight="1">
      <c r="F7091" s="344" t="s">
        <v>193</v>
      </c>
      <c r="G7091" s="345" t="s">
        <v>194</v>
      </c>
      <c r="H7091" s="346"/>
      <c r="I7091" s="346"/>
      <c r="J7091" s="347"/>
      <c r="K7091" s="348">
        <v>0</v>
      </c>
      <c r="L7091" s="310">
        <f>SUM(L7079:L7090)/2</f>
        <v>22793</v>
      </c>
    </row>
    <row r="7092" spans="5:13" ht="15" customHeight="1" thickBot="1">
      <c r="F7092" s="331" t="s">
        <v>195</v>
      </c>
      <c r="G7092" s="332" t="s">
        <v>196</v>
      </c>
      <c r="H7092" s="333"/>
      <c r="I7092" s="333"/>
      <c r="J7092" s="350">
        <v>0.1</v>
      </c>
      <c r="K7092" s="335"/>
      <c r="L7092" s="330">
        <f>J7092*L7091</f>
        <v>2279.3000000000002</v>
      </c>
    </row>
    <row r="7093" spans="5:13" ht="15" customHeight="1" thickBot="1">
      <c r="F7093" s="340" t="s">
        <v>197</v>
      </c>
      <c r="G7093" s="341" t="s">
        <v>198</v>
      </c>
      <c r="H7093" s="318"/>
      <c r="I7093" s="318"/>
      <c r="J7093" s="342"/>
      <c r="K7093" s="320">
        <v>0</v>
      </c>
      <c r="L7093" s="321">
        <f>ROUNDDOWN(L7091+L7092,0)</f>
        <v>25072</v>
      </c>
    </row>
    <row r="7094" spans="5:13" ht="15" customHeight="1">
      <c r="F7094" s="298"/>
      <c r="G7094" s="298"/>
      <c r="J7094" s="343"/>
    </row>
    <row r="7095" spans="5:13" ht="15" customHeight="1" thickBot="1">
      <c r="E7095" s="356" t="s">
        <v>1297</v>
      </c>
      <c r="F7095" s="295" t="s">
        <v>1298</v>
      </c>
      <c r="J7095" s="343"/>
      <c r="M7095" s="299">
        <f>L7112</f>
        <v>14289</v>
      </c>
    </row>
    <row r="7096" spans="5:13" ht="15" customHeight="1" thickBot="1">
      <c r="F7096" s="340" t="s">
        <v>136</v>
      </c>
      <c r="G7096" s="341" t="s">
        <v>162</v>
      </c>
      <c r="H7096" s="352" t="s">
        <v>163</v>
      </c>
      <c r="I7096" s="352" t="s">
        <v>138</v>
      </c>
      <c r="J7096" s="353" t="s">
        <v>164</v>
      </c>
      <c r="K7096" s="341" t="s">
        <v>165</v>
      </c>
      <c r="L7096" s="354" t="s">
        <v>166</v>
      </c>
    </row>
    <row r="7097" spans="5:13" ht="15" customHeight="1">
      <c r="F7097" s="300" t="s">
        <v>167</v>
      </c>
      <c r="G7097" s="301" t="s">
        <v>168</v>
      </c>
      <c r="H7097" s="302"/>
      <c r="I7097" s="302"/>
      <c r="J7097" s="351"/>
      <c r="K7097" s="328"/>
      <c r="L7097" s="310"/>
    </row>
    <row r="7098" spans="5:13" ht="15" customHeight="1">
      <c r="F7098" s="306"/>
      <c r="G7098" s="301" t="s">
        <v>169</v>
      </c>
      <c r="H7098" s="307" t="s">
        <v>170</v>
      </c>
      <c r="I7098" s="307" t="s">
        <v>171</v>
      </c>
      <c r="J7098" s="432">
        <v>0.04</v>
      </c>
      <c r="K7098" s="309">
        <f>VLOOKUP(G7098,Upah,8,FALSE)</f>
        <v>125000</v>
      </c>
      <c r="L7098" s="310">
        <f>J7098*K7098</f>
        <v>5000</v>
      </c>
    </row>
    <row r="7099" spans="5:13" ht="15" customHeight="1">
      <c r="F7099" s="306"/>
      <c r="G7099" s="301" t="s">
        <v>1258</v>
      </c>
      <c r="H7099" s="307" t="s">
        <v>1259</v>
      </c>
      <c r="I7099" s="307" t="s">
        <v>171</v>
      </c>
      <c r="J7099" s="432">
        <v>5.0000000000000001E-3</v>
      </c>
      <c r="K7099" s="309">
        <f>VLOOKUP(G7099,Upah,8,FALSE)</f>
        <v>150000</v>
      </c>
      <c r="L7099" s="310">
        <f>J7099*K7099</f>
        <v>750</v>
      </c>
    </row>
    <row r="7100" spans="5:13" ht="15" customHeight="1">
      <c r="F7100" s="306"/>
      <c r="G7100" s="301" t="s">
        <v>232</v>
      </c>
      <c r="H7100" s="307" t="s">
        <v>175</v>
      </c>
      <c r="I7100" s="307" t="s">
        <v>171</v>
      </c>
      <c r="J7100" s="432">
        <v>5.0000000000000001E-4</v>
      </c>
      <c r="K7100" s="309">
        <f>VLOOKUP(G7100,Upah,8,FALSE)</f>
        <v>165000</v>
      </c>
      <c r="L7100" s="310">
        <f>J7100*K7100</f>
        <v>82.5</v>
      </c>
    </row>
    <row r="7101" spans="5:13" ht="15" customHeight="1" thickBot="1">
      <c r="F7101" s="306"/>
      <c r="G7101" s="301" t="s">
        <v>176</v>
      </c>
      <c r="H7101" s="307" t="s">
        <v>177</v>
      </c>
      <c r="I7101" s="307" t="s">
        <v>171</v>
      </c>
      <c r="J7101" s="432">
        <v>2.5000000000000001E-3</v>
      </c>
      <c r="K7101" s="309">
        <f>VLOOKUP(G7101,Upah,8,FALSE)</f>
        <v>170000</v>
      </c>
      <c r="L7101" s="310">
        <f>J7101*K7101</f>
        <v>425</v>
      </c>
    </row>
    <row r="7102" spans="5:13" ht="15" customHeight="1" thickBot="1">
      <c r="F7102" s="316"/>
      <c r="G7102" s="317"/>
      <c r="H7102" s="318"/>
      <c r="I7102" s="318"/>
      <c r="J7102" s="319" t="s">
        <v>178</v>
      </c>
      <c r="K7102" s="320"/>
      <c r="L7102" s="321">
        <f>SUM(L7098:L7101)</f>
        <v>6257.5</v>
      </c>
    </row>
    <row r="7103" spans="5:13" ht="15" customHeight="1">
      <c r="F7103" s="300" t="s">
        <v>179</v>
      </c>
      <c r="G7103" s="301" t="s">
        <v>180</v>
      </c>
      <c r="H7103" s="302"/>
      <c r="I7103" s="302"/>
      <c r="J7103" s="351"/>
      <c r="K7103" s="328"/>
      <c r="L7103" s="310"/>
    </row>
    <row r="7104" spans="5:13" ht="15" customHeight="1">
      <c r="F7104" s="306"/>
      <c r="G7104" s="301" t="s">
        <v>1294</v>
      </c>
      <c r="H7104" s="302"/>
      <c r="I7104" s="307" t="s">
        <v>45</v>
      </c>
      <c r="J7104" s="432">
        <v>0.3</v>
      </c>
      <c r="K7104" s="328">
        <f>VLOOKUP(G7104,Bahan,6,FALSE)</f>
        <v>16370</v>
      </c>
      <c r="L7104" s="310">
        <f>J7104*K7104</f>
        <v>4911</v>
      </c>
    </row>
    <row r="7105" spans="5:13" ht="15" customHeight="1">
      <c r="F7105" s="306"/>
      <c r="G7105" s="301" t="s">
        <v>1266</v>
      </c>
      <c r="H7105" s="302"/>
      <c r="I7105" s="307" t="s">
        <v>202</v>
      </c>
      <c r="J7105" s="432">
        <v>0.2</v>
      </c>
      <c r="K7105" s="328">
        <f>VLOOKUP(G7105,Bahan,6,FALSE)</f>
        <v>8260</v>
      </c>
      <c r="L7105" s="310">
        <f>J7105*K7105</f>
        <v>1652</v>
      </c>
    </row>
    <row r="7106" spans="5:13" ht="15" customHeight="1" thickBot="1">
      <c r="F7106" s="306"/>
      <c r="G7106" s="301" t="s">
        <v>1295</v>
      </c>
      <c r="H7106" s="302"/>
      <c r="I7106" s="307" t="s">
        <v>1296</v>
      </c>
      <c r="J7106" s="432">
        <v>0.25</v>
      </c>
      <c r="K7106" s="328">
        <f>VLOOKUP(G7106,Bahan,6,FALSE)</f>
        <v>680</v>
      </c>
      <c r="L7106" s="310">
        <f>J7106*K7106</f>
        <v>170</v>
      </c>
    </row>
    <row r="7107" spans="5:13" ht="15" customHeight="1" thickBot="1">
      <c r="F7107" s="316"/>
      <c r="G7107" s="317"/>
      <c r="H7107" s="318"/>
      <c r="I7107" s="318"/>
      <c r="J7107" s="319" t="s">
        <v>189</v>
      </c>
      <c r="K7107" s="320"/>
      <c r="L7107" s="321">
        <f>SUM(L7104:L7106)</f>
        <v>6733</v>
      </c>
    </row>
    <row r="7108" spans="5:13" ht="15" customHeight="1" thickBot="1">
      <c r="F7108" s="300" t="s">
        <v>190</v>
      </c>
      <c r="G7108" s="301" t="s">
        <v>191</v>
      </c>
      <c r="H7108" s="302"/>
      <c r="I7108" s="302"/>
      <c r="J7108" s="351"/>
      <c r="K7108" s="328">
        <v>0</v>
      </c>
      <c r="L7108" s="310">
        <f>J7108*K7108</f>
        <v>0</v>
      </c>
    </row>
    <row r="7109" spans="5:13" ht="15" customHeight="1" thickBot="1">
      <c r="F7109" s="316"/>
      <c r="G7109" s="317"/>
      <c r="H7109" s="318"/>
      <c r="I7109" s="318"/>
      <c r="J7109" s="319" t="s">
        <v>192</v>
      </c>
      <c r="K7109" s="320"/>
      <c r="L7109" s="321">
        <f>L7108</f>
        <v>0</v>
      </c>
    </row>
    <row r="7110" spans="5:13" ht="15" customHeight="1">
      <c r="F7110" s="344" t="s">
        <v>193</v>
      </c>
      <c r="G7110" s="345" t="s">
        <v>194</v>
      </c>
      <c r="H7110" s="346"/>
      <c r="I7110" s="346"/>
      <c r="J7110" s="347"/>
      <c r="K7110" s="348">
        <v>0</v>
      </c>
      <c r="L7110" s="310">
        <f>SUM(L7098:L7109)/2</f>
        <v>12990.5</v>
      </c>
    </row>
    <row r="7111" spans="5:13" ht="15" customHeight="1" thickBot="1">
      <c r="F7111" s="331" t="s">
        <v>195</v>
      </c>
      <c r="G7111" s="332" t="s">
        <v>196</v>
      </c>
      <c r="H7111" s="333"/>
      <c r="I7111" s="333"/>
      <c r="J7111" s="350">
        <v>0.1</v>
      </c>
      <c r="K7111" s="335"/>
      <c r="L7111" s="330">
        <f>J7111*L7110</f>
        <v>1299.0500000000002</v>
      </c>
    </row>
    <row r="7112" spans="5:13" ht="15" customHeight="1" thickBot="1">
      <c r="F7112" s="340" t="s">
        <v>197</v>
      </c>
      <c r="G7112" s="341" t="s">
        <v>198</v>
      </c>
      <c r="H7112" s="318"/>
      <c r="I7112" s="318"/>
      <c r="J7112" s="342"/>
      <c r="K7112" s="320">
        <v>0</v>
      </c>
      <c r="L7112" s="321">
        <f>ROUNDDOWN(L7110+L7111,0)</f>
        <v>14289</v>
      </c>
    </row>
    <row r="7113" spans="5:13" ht="15" customHeight="1">
      <c r="F7113" s="298"/>
      <c r="G7113" s="298"/>
      <c r="J7113" s="343"/>
    </row>
    <row r="7114" spans="5:13" ht="15" customHeight="1" thickBot="1">
      <c r="E7114" s="356" t="s">
        <v>1299</v>
      </c>
      <c r="F7114" s="295" t="s">
        <v>1300</v>
      </c>
      <c r="J7114" s="343"/>
      <c r="M7114" s="299">
        <f>L7130</f>
        <v>100943</v>
      </c>
    </row>
    <row r="7115" spans="5:13" ht="15" customHeight="1" thickBot="1">
      <c r="F7115" s="340" t="s">
        <v>136</v>
      </c>
      <c r="G7115" s="341" t="s">
        <v>162</v>
      </c>
      <c r="H7115" s="352" t="s">
        <v>163</v>
      </c>
      <c r="I7115" s="352" t="s">
        <v>138</v>
      </c>
      <c r="J7115" s="353" t="s">
        <v>164</v>
      </c>
      <c r="K7115" s="341" t="s">
        <v>165</v>
      </c>
      <c r="L7115" s="354" t="s">
        <v>166</v>
      </c>
    </row>
    <row r="7116" spans="5:13" ht="15" customHeight="1">
      <c r="F7116" s="300" t="s">
        <v>167</v>
      </c>
      <c r="G7116" s="301" t="s">
        <v>168</v>
      </c>
      <c r="H7116" s="302"/>
      <c r="I7116" s="302"/>
      <c r="J7116" s="351"/>
      <c r="K7116" s="328"/>
      <c r="L7116" s="310"/>
    </row>
    <row r="7117" spans="5:13" ht="15" customHeight="1">
      <c r="F7117" s="306"/>
      <c r="G7117" s="301" t="s">
        <v>169</v>
      </c>
      <c r="H7117" s="307" t="s">
        <v>170</v>
      </c>
      <c r="I7117" s="307" t="s">
        <v>171</v>
      </c>
      <c r="J7117" s="432">
        <v>0.02</v>
      </c>
      <c r="K7117" s="309">
        <f>VLOOKUP(G7117,Upah,8,FALSE)</f>
        <v>125000</v>
      </c>
      <c r="L7117" s="310">
        <f>J7117*K7117</f>
        <v>2500</v>
      </c>
    </row>
    <row r="7118" spans="5:13" ht="15" customHeight="1">
      <c r="F7118" s="306"/>
      <c r="G7118" s="301" t="s">
        <v>1258</v>
      </c>
      <c r="H7118" s="307" t="s">
        <v>1259</v>
      </c>
      <c r="I7118" s="307" t="s">
        <v>171</v>
      </c>
      <c r="J7118" s="432">
        <v>0.2</v>
      </c>
      <c r="K7118" s="309">
        <f>VLOOKUP(G7118,Upah,8,FALSE)</f>
        <v>150000</v>
      </c>
      <c r="L7118" s="310">
        <f>J7118*K7118</f>
        <v>30000</v>
      </c>
    </row>
    <row r="7119" spans="5:13" ht="15" customHeight="1">
      <c r="F7119" s="306"/>
      <c r="G7119" s="301" t="s">
        <v>232</v>
      </c>
      <c r="H7119" s="307" t="s">
        <v>175</v>
      </c>
      <c r="I7119" s="307" t="s">
        <v>171</v>
      </c>
      <c r="J7119" s="432">
        <v>0.02</v>
      </c>
      <c r="K7119" s="309">
        <f>VLOOKUP(G7119,Upah,8,FALSE)</f>
        <v>165000</v>
      </c>
      <c r="L7119" s="310">
        <f>J7119*K7119</f>
        <v>3300</v>
      </c>
    </row>
    <row r="7120" spans="5:13" ht="15" customHeight="1" thickBot="1">
      <c r="F7120" s="306"/>
      <c r="G7120" s="301" t="s">
        <v>176</v>
      </c>
      <c r="H7120" s="307" t="s">
        <v>177</v>
      </c>
      <c r="I7120" s="307" t="s">
        <v>171</v>
      </c>
      <c r="J7120" s="432">
        <v>2.5000000000000001E-3</v>
      </c>
      <c r="K7120" s="309">
        <f>VLOOKUP(G7120,Upah,8,FALSE)</f>
        <v>170000</v>
      </c>
      <c r="L7120" s="310">
        <f>J7120*K7120</f>
        <v>425</v>
      </c>
    </row>
    <row r="7121" spans="5:13" ht="15" customHeight="1" thickBot="1">
      <c r="F7121" s="316"/>
      <c r="G7121" s="317"/>
      <c r="H7121" s="318"/>
      <c r="I7121" s="318"/>
      <c r="J7121" s="319" t="s">
        <v>178</v>
      </c>
      <c r="K7121" s="320"/>
      <c r="L7121" s="321">
        <f>SUM(L7117:L7120)</f>
        <v>36225</v>
      </c>
    </row>
    <row r="7122" spans="5:13" ht="15" customHeight="1">
      <c r="F7122" s="300" t="s">
        <v>179</v>
      </c>
      <c r="G7122" s="301" t="s">
        <v>180</v>
      </c>
      <c r="H7122" s="302"/>
      <c r="I7122" s="302"/>
      <c r="J7122" s="351"/>
      <c r="K7122" s="328"/>
      <c r="L7122" s="310"/>
    </row>
    <row r="7123" spans="5:13" ht="15" customHeight="1">
      <c r="F7123" s="306"/>
      <c r="G7123" s="301" t="s">
        <v>1301</v>
      </c>
      <c r="H7123" s="302"/>
      <c r="I7123" s="307" t="s">
        <v>23</v>
      </c>
      <c r="J7123" s="432">
        <v>1.2</v>
      </c>
      <c r="K7123" s="328">
        <f>VLOOKUP(G7123,Bahan,6,FALSE)</f>
        <v>43750</v>
      </c>
      <c r="L7123" s="310">
        <f>J7123*K7123</f>
        <v>52500</v>
      </c>
    </row>
    <row r="7124" spans="5:13" ht="15" customHeight="1" thickBot="1">
      <c r="F7124" s="306"/>
      <c r="G7124" s="301" t="s">
        <v>880</v>
      </c>
      <c r="H7124" s="302"/>
      <c r="I7124" s="307" t="s">
        <v>45</v>
      </c>
      <c r="J7124" s="432">
        <v>0.2</v>
      </c>
      <c r="K7124" s="328">
        <f>VLOOKUP(G7124,Bahan,6,FALSE)</f>
        <v>15210</v>
      </c>
      <c r="L7124" s="310">
        <f>J7124*K7124</f>
        <v>3042</v>
      </c>
    </row>
    <row r="7125" spans="5:13" ht="15" customHeight="1" thickBot="1">
      <c r="F7125" s="316"/>
      <c r="G7125" s="317"/>
      <c r="H7125" s="318"/>
      <c r="I7125" s="318"/>
      <c r="J7125" s="319" t="s">
        <v>189</v>
      </c>
      <c r="K7125" s="320"/>
      <c r="L7125" s="321">
        <f>SUM(L7123:L7124)</f>
        <v>55542</v>
      </c>
    </row>
    <row r="7126" spans="5:13" ht="15" customHeight="1" thickBot="1">
      <c r="F7126" s="300" t="s">
        <v>190</v>
      </c>
      <c r="G7126" s="301" t="s">
        <v>191</v>
      </c>
      <c r="H7126" s="302"/>
      <c r="I7126" s="302"/>
      <c r="J7126" s="351"/>
      <c r="K7126" s="328">
        <v>0</v>
      </c>
      <c r="L7126" s="310">
        <f>J7126*K7126</f>
        <v>0</v>
      </c>
    </row>
    <row r="7127" spans="5:13" ht="15" customHeight="1" thickBot="1">
      <c r="F7127" s="316"/>
      <c r="G7127" s="317"/>
      <c r="H7127" s="318"/>
      <c r="I7127" s="318"/>
      <c r="J7127" s="319" t="s">
        <v>192</v>
      </c>
      <c r="K7127" s="320"/>
      <c r="L7127" s="321">
        <f>L7126</f>
        <v>0</v>
      </c>
    </row>
    <row r="7128" spans="5:13" ht="15" customHeight="1">
      <c r="F7128" s="344" t="s">
        <v>193</v>
      </c>
      <c r="G7128" s="345" t="s">
        <v>194</v>
      </c>
      <c r="H7128" s="346"/>
      <c r="I7128" s="346"/>
      <c r="J7128" s="347"/>
      <c r="K7128" s="348">
        <v>0</v>
      </c>
      <c r="L7128" s="310">
        <f>SUM(L7117:L7127)/2</f>
        <v>91767</v>
      </c>
    </row>
    <row r="7129" spans="5:13" ht="15" customHeight="1" thickBot="1">
      <c r="F7129" s="331" t="s">
        <v>195</v>
      </c>
      <c r="G7129" s="332" t="s">
        <v>196</v>
      </c>
      <c r="H7129" s="333"/>
      <c r="I7129" s="333"/>
      <c r="J7129" s="350">
        <v>0.1</v>
      </c>
      <c r="K7129" s="335"/>
      <c r="L7129" s="330">
        <f>J7129*L7128</f>
        <v>9176.7000000000007</v>
      </c>
    </row>
    <row r="7130" spans="5:13" ht="15" customHeight="1" thickBot="1">
      <c r="F7130" s="340" t="s">
        <v>197</v>
      </c>
      <c r="G7130" s="341" t="s">
        <v>198</v>
      </c>
      <c r="H7130" s="318"/>
      <c r="I7130" s="318"/>
      <c r="J7130" s="342"/>
      <c r="K7130" s="320">
        <v>0</v>
      </c>
      <c r="L7130" s="321">
        <f>ROUNDDOWN(L7128+L7129,0)</f>
        <v>100943</v>
      </c>
    </row>
    <row r="7131" spans="5:13" ht="15" customHeight="1">
      <c r="F7131" s="298"/>
      <c r="G7131" s="298"/>
      <c r="J7131" s="343"/>
    </row>
    <row r="7132" spans="5:13" ht="15" customHeight="1" thickBot="1">
      <c r="E7132" s="356" t="s">
        <v>1302</v>
      </c>
      <c r="F7132" s="295" t="s">
        <v>1303</v>
      </c>
      <c r="J7132" s="343"/>
      <c r="M7132" s="299">
        <f>L7148</f>
        <v>43847</v>
      </c>
    </row>
    <row r="7133" spans="5:13" ht="15" customHeight="1" thickBot="1">
      <c r="F7133" s="340" t="s">
        <v>136</v>
      </c>
      <c r="G7133" s="341" t="s">
        <v>162</v>
      </c>
      <c r="H7133" s="352" t="s">
        <v>163</v>
      </c>
      <c r="I7133" s="352" t="s">
        <v>138</v>
      </c>
      <c r="J7133" s="353" t="s">
        <v>164</v>
      </c>
      <c r="K7133" s="341" t="s">
        <v>165</v>
      </c>
      <c r="L7133" s="354" t="s">
        <v>166</v>
      </c>
    </row>
    <row r="7134" spans="5:13" ht="15" customHeight="1">
      <c r="F7134" s="300" t="s">
        <v>167</v>
      </c>
      <c r="G7134" s="301" t="s">
        <v>168</v>
      </c>
      <c r="H7134" s="302"/>
      <c r="I7134" s="302"/>
      <c r="J7134" s="351"/>
      <c r="K7134" s="328"/>
      <c r="L7134" s="310"/>
    </row>
    <row r="7135" spans="5:13" ht="15" customHeight="1">
      <c r="F7135" s="306"/>
      <c r="G7135" s="301" t="s">
        <v>169</v>
      </c>
      <c r="H7135" s="307" t="s">
        <v>170</v>
      </c>
      <c r="I7135" s="307" t="s">
        <v>171</v>
      </c>
      <c r="J7135" s="432">
        <v>0.02</v>
      </c>
      <c r="K7135" s="309">
        <f>VLOOKUP(G7135,Upah,8,FALSE)</f>
        <v>125000</v>
      </c>
      <c r="L7135" s="310">
        <f>J7135*K7135</f>
        <v>2500</v>
      </c>
    </row>
    <row r="7136" spans="5:13" ht="15" customHeight="1">
      <c r="F7136" s="306"/>
      <c r="G7136" s="301" t="s">
        <v>1258</v>
      </c>
      <c r="H7136" s="307" t="s">
        <v>1259</v>
      </c>
      <c r="I7136" s="307" t="s">
        <v>171</v>
      </c>
      <c r="J7136" s="432">
        <v>0.2</v>
      </c>
      <c r="K7136" s="309">
        <f>VLOOKUP(G7136,Upah,8,FALSE)</f>
        <v>150000</v>
      </c>
      <c r="L7136" s="310">
        <f>J7136*K7136</f>
        <v>30000</v>
      </c>
    </row>
    <row r="7137" spans="5:13" ht="15" customHeight="1">
      <c r="F7137" s="306"/>
      <c r="G7137" s="301" t="s">
        <v>232</v>
      </c>
      <c r="H7137" s="307" t="s">
        <v>175</v>
      </c>
      <c r="I7137" s="307" t="s">
        <v>171</v>
      </c>
      <c r="J7137" s="432">
        <v>0.02</v>
      </c>
      <c r="K7137" s="309">
        <f>VLOOKUP(G7137,Upah,8,FALSE)</f>
        <v>165000</v>
      </c>
      <c r="L7137" s="310">
        <f>J7137*K7137</f>
        <v>3300</v>
      </c>
    </row>
    <row r="7138" spans="5:13" ht="15" customHeight="1" thickBot="1">
      <c r="F7138" s="306"/>
      <c r="G7138" s="301" t="s">
        <v>176</v>
      </c>
      <c r="H7138" s="307" t="s">
        <v>177</v>
      </c>
      <c r="I7138" s="307" t="s">
        <v>171</v>
      </c>
      <c r="J7138" s="432">
        <v>2.5000000000000001E-3</v>
      </c>
      <c r="K7138" s="309">
        <f>VLOOKUP(G7138,Upah,8,FALSE)</f>
        <v>170000</v>
      </c>
      <c r="L7138" s="310">
        <f>J7138*K7138</f>
        <v>425</v>
      </c>
    </row>
    <row r="7139" spans="5:13" ht="15" customHeight="1" thickBot="1">
      <c r="F7139" s="316"/>
      <c r="G7139" s="317"/>
      <c r="H7139" s="318"/>
      <c r="I7139" s="318"/>
      <c r="J7139" s="319" t="s">
        <v>178</v>
      </c>
      <c r="K7139" s="320"/>
      <c r="L7139" s="321">
        <f>SUM(L7135:L7138)</f>
        <v>36225</v>
      </c>
    </row>
    <row r="7140" spans="5:13" ht="15" customHeight="1">
      <c r="F7140" s="300" t="s">
        <v>179</v>
      </c>
      <c r="G7140" s="301" t="s">
        <v>180</v>
      </c>
      <c r="H7140" s="302"/>
      <c r="I7140" s="302"/>
      <c r="J7140" s="351"/>
      <c r="K7140" s="328"/>
      <c r="L7140" s="310"/>
    </row>
    <row r="7141" spans="5:13" ht="15" customHeight="1">
      <c r="F7141" s="306"/>
      <c r="G7141" s="301" t="s">
        <v>1304</v>
      </c>
      <c r="H7141" s="302"/>
      <c r="I7141" s="307" t="s">
        <v>45</v>
      </c>
      <c r="J7141" s="432">
        <v>0.1</v>
      </c>
      <c r="K7141" s="328">
        <f>VLOOKUP(G7141,Bahan,6,FALSE)</f>
        <v>34290</v>
      </c>
      <c r="L7141" s="310">
        <f>J7141*K7141</f>
        <v>3429</v>
      </c>
    </row>
    <row r="7142" spans="5:13" ht="15" customHeight="1" thickBot="1">
      <c r="F7142" s="306"/>
      <c r="G7142" s="301" t="s">
        <v>1264</v>
      </c>
      <c r="H7142" s="302"/>
      <c r="I7142" s="307" t="s">
        <v>221</v>
      </c>
      <c r="J7142" s="432">
        <v>0.01</v>
      </c>
      <c r="K7142" s="328">
        <f>VLOOKUP(G7142,Bahan,6,FALSE)</f>
        <v>20740</v>
      </c>
      <c r="L7142" s="310">
        <f>J7142*K7142</f>
        <v>207.4</v>
      </c>
    </row>
    <row r="7143" spans="5:13" ht="15" customHeight="1" thickBot="1">
      <c r="F7143" s="316"/>
      <c r="G7143" s="317"/>
      <c r="H7143" s="318"/>
      <c r="I7143" s="318"/>
      <c r="J7143" s="319" t="s">
        <v>189</v>
      </c>
      <c r="K7143" s="320"/>
      <c r="L7143" s="321">
        <f>SUM(L7141:L7142)</f>
        <v>3636.4</v>
      </c>
    </row>
    <row r="7144" spans="5:13" ht="15" customHeight="1" thickBot="1">
      <c r="F7144" s="300" t="s">
        <v>190</v>
      </c>
      <c r="G7144" s="301" t="s">
        <v>191</v>
      </c>
      <c r="H7144" s="302"/>
      <c r="I7144" s="302"/>
      <c r="J7144" s="351"/>
      <c r="K7144" s="328">
        <v>0</v>
      </c>
      <c r="L7144" s="310">
        <f>J7144*K7144</f>
        <v>0</v>
      </c>
    </row>
    <row r="7145" spans="5:13" ht="15" customHeight="1" thickBot="1">
      <c r="F7145" s="316"/>
      <c r="G7145" s="317"/>
      <c r="H7145" s="318"/>
      <c r="I7145" s="318"/>
      <c r="J7145" s="319" t="s">
        <v>192</v>
      </c>
      <c r="K7145" s="320"/>
      <c r="L7145" s="321">
        <f>L7144</f>
        <v>0</v>
      </c>
    </row>
    <row r="7146" spans="5:13" ht="15" customHeight="1">
      <c r="F7146" s="344" t="s">
        <v>193</v>
      </c>
      <c r="G7146" s="345" t="s">
        <v>194</v>
      </c>
      <c r="H7146" s="346"/>
      <c r="I7146" s="346"/>
      <c r="J7146" s="347"/>
      <c r="K7146" s="348">
        <v>0</v>
      </c>
      <c r="L7146" s="310">
        <f>SUM(L7135:L7145)/2</f>
        <v>39861.399999999994</v>
      </c>
    </row>
    <row r="7147" spans="5:13" ht="15" customHeight="1" thickBot="1">
      <c r="F7147" s="331" t="s">
        <v>195</v>
      </c>
      <c r="G7147" s="332" t="s">
        <v>196</v>
      </c>
      <c r="H7147" s="333"/>
      <c r="I7147" s="333"/>
      <c r="J7147" s="350">
        <v>0.1</v>
      </c>
      <c r="K7147" s="335"/>
      <c r="L7147" s="330">
        <f>J7147*L7146</f>
        <v>3986.1399999999994</v>
      </c>
    </row>
    <row r="7148" spans="5:13" ht="15" customHeight="1" thickBot="1">
      <c r="F7148" s="340" t="s">
        <v>197</v>
      </c>
      <c r="G7148" s="341" t="s">
        <v>198</v>
      </c>
      <c r="H7148" s="318"/>
      <c r="I7148" s="318"/>
      <c r="J7148" s="342"/>
      <c r="K7148" s="320">
        <v>0</v>
      </c>
      <c r="L7148" s="321">
        <f>ROUNDDOWN(L7146+L7147,0)</f>
        <v>43847</v>
      </c>
    </row>
    <row r="7149" spans="5:13" ht="15" customHeight="1">
      <c r="F7149" s="298"/>
      <c r="G7149" s="298"/>
      <c r="J7149" s="343"/>
    </row>
    <row r="7150" spans="5:13" ht="15" customHeight="1" thickBot="1">
      <c r="E7150" s="356" t="s">
        <v>1305</v>
      </c>
      <c r="F7150" s="295" t="s">
        <v>1306</v>
      </c>
      <c r="J7150" s="343"/>
      <c r="M7150" s="299">
        <f>L7168</f>
        <v>82655</v>
      </c>
    </row>
    <row r="7151" spans="5:13" ht="15" customHeight="1" thickBot="1">
      <c r="F7151" s="340" t="s">
        <v>136</v>
      </c>
      <c r="G7151" s="341" t="s">
        <v>162</v>
      </c>
      <c r="H7151" s="352" t="s">
        <v>163</v>
      </c>
      <c r="I7151" s="352" t="s">
        <v>138</v>
      </c>
      <c r="J7151" s="353" t="s">
        <v>164</v>
      </c>
      <c r="K7151" s="341" t="s">
        <v>165</v>
      </c>
      <c r="L7151" s="354" t="s">
        <v>166</v>
      </c>
    </row>
    <row r="7152" spans="5:13" ht="15" customHeight="1">
      <c r="F7152" s="300" t="s">
        <v>167</v>
      </c>
      <c r="G7152" s="301" t="s">
        <v>168</v>
      </c>
      <c r="H7152" s="302"/>
      <c r="I7152" s="302"/>
      <c r="J7152" s="351"/>
      <c r="K7152" s="328"/>
      <c r="L7152" s="310"/>
    </row>
    <row r="7153" spans="6:12" ht="15" customHeight="1">
      <c r="F7153" s="306"/>
      <c r="G7153" s="301" t="s">
        <v>169</v>
      </c>
      <c r="H7153" s="307" t="s">
        <v>170</v>
      </c>
      <c r="I7153" s="307" t="s">
        <v>171</v>
      </c>
      <c r="J7153" s="432">
        <v>0.25</v>
      </c>
      <c r="K7153" s="309">
        <f>VLOOKUP(G7153,Upah,8,FALSE)</f>
        <v>125000</v>
      </c>
      <c r="L7153" s="310">
        <f>J7153*K7153</f>
        <v>31250</v>
      </c>
    </row>
    <row r="7154" spans="6:12" ht="15" customHeight="1">
      <c r="F7154" s="306"/>
      <c r="G7154" s="301" t="s">
        <v>1258</v>
      </c>
      <c r="H7154" s="307" t="s">
        <v>1259</v>
      </c>
      <c r="I7154" s="307" t="s">
        <v>171</v>
      </c>
      <c r="J7154" s="432">
        <v>0.22500000000000001</v>
      </c>
      <c r="K7154" s="309">
        <f>VLOOKUP(G7154,Upah,8,FALSE)</f>
        <v>150000</v>
      </c>
      <c r="L7154" s="310">
        <f>J7154*K7154</f>
        <v>33750</v>
      </c>
    </row>
    <row r="7155" spans="6:12" ht="15" customHeight="1">
      <c r="F7155" s="306"/>
      <c r="G7155" s="301" t="s">
        <v>232</v>
      </c>
      <c r="H7155" s="307" t="s">
        <v>175</v>
      </c>
      <c r="I7155" s="307" t="s">
        <v>171</v>
      </c>
      <c r="J7155" s="432">
        <v>2.2499999999999999E-2</v>
      </c>
      <c r="K7155" s="309">
        <f>VLOOKUP(G7155,Upah,8,FALSE)</f>
        <v>165000</v>
      </c>
      <c r="L7155" s="310">
        <f>J7155*K7155</f>
        <v>3712.5</v>
      </c>
    </row>
    <row r="7156" spans="6:12" ht="15" customHeight="1" thickBot="1">
      <c r="F7156" s="306"/>
      <c r="G7156" s="301" t="s">
        <v>176</v>
      </c>
      <c r="H7156" s="307" t="s">
        <v>177</v>
      </c>
      <c r="I7156" s="307" t="s">
        <v>171</v>
      </c>
      <c r="J7156" s="432">
        <v>7.4999999999999997E-3</v>
      </c>
      <c r="K7156" s="309">
        <f>VLOOKUP(G7156,Upah,8,FALSE)</f>
        <v>170000</v>
      </c>
      <c r="L7156" s="310">
        <f>J7156*K7156</f>
        <v>1275</v>
      </c>
    </row>
    <row r="7157" spans="6:12" ht="15" customHeight="1" thickBot="1">
      <c r="F7157" s="316"/>
      <c r="G7157" s="317"/>
      <c r="H7157" s="318"/>
      <c r="I7157" s="318"/>
      <c r="J7157" s="319" t="s">
        <v>178</v>
      </c>
      <c r="K7157" s="320"/>
      <c r="L7157" s="321">
        <f>SUM(L7153:L7156)</f>
        <v>69987.5</v>
      </c>
    </row>
    <row r="7158" spans="6:12" ht="15" customHeight="1">
      <c r="F7158" s="300" t="s">
        <v>179</v>
      </c>
      <c r="G7158" s="301" t="s">
        <v>180</v>
      </c>
      <c r="H7158" s="302"/>
      <c r="I7158" s="302"/>
      <c r="J7158" s="351"/>
      <c r="K7158" s="328"/>
      <c r="L7158" s="310"/>
    </row>
    <row r="7159" spans="6:12" ht="15" customHeight="1">
      <c r="F7159" s="306"/>
      <c r="G7159" s="301" t="s">
        <v>1304</v>
      </c>
      <c r="H7159" s="302"/>
      <c r="I7159" s="307" t="s">
        <v>45</v>
      </c>
      <c r="J7159" s="432">
        <v>0.1</v>
      </c>
      <c r="K7159" s="328">
        <f>VLOOKUP(G7159,Bahan,6,FALSE)</f>
        <v>34290</v>
      </c>
      <c r="L7159" s="310">
        <f>J7159*K7159</f>
        <v>3429</v>
      </c>
    </row>
    <row r="7160" spans="6:12" ht="15" customHeight="1">
      <c r="F7160" s="306"/>
      <c r="G7160" s="301" t="s">
        <v>1265</v>
      </c>
      <c r="H7160" s="302"/>
      <c r="I7160" s="307" t="s">
        <v>438</v>
      </c>
      <c r="J7160" s="432">
        <v>0.01</v>
      </c>
      <c r="K7160" s="328">
        <f>VLOOKUP(G7160,Bahan,6,FALSE)</f>
        <v>42000</v>
      </c>
      <c r="L7160" s="310">
        <f>J7160*K7160</f>
        <v>420</v>
      </c>
    </row>
    <row r="7161" spans="6:12" ht="15" customHeight="1">
      <c r="F7161" s="306"/>
      <c r="G7161" s="301" t="s">
        <v>1264</v>
      </c>
      <c r="H7161" s="302"/>
      <c r="I7161" s="307" t="s">
        <v>221</v>
      </c>
      <c r="J7161" s="432">
        <v>0.01</v>
      </c>
      <c r="K7161" s="328">
        <f>VLOOKUP(G7161,Bahan,6,FALSE)</f>
        <v>20740</v>
      </c>
      <c r="L7161" s="310">
        <f>J7161*K7161</f>
        <v>207.4</v>
      </c>
    </row>
    <row r="7162" spans="6:12" ht="15" customHeight="1" thickBot="1">
      <c r="F7162" s="306"/>
      <c r="G7162" s="301" t="s">
        <v>1307</v>
      </c>
      <c r="H7162" s="302"/>
      <c r="I7162" s="307" t="s">
        <v>44</v>
      </c>
      <c r="J7162" s="432">
        <v>2E-3</v>
      </c>
      <c r="K7162" s="328">
        <f>ROUNDDOWN(L240+L241,0)</f>
        <v>548811</v>
      </c>
      <c r="L7162" s="310">
        <f>J7162*K7162</f>
        <v>1097.6220000000001</v>
      </c>
    </row>
    <row r="7163" spans="6:12" ht="15" customHeight="1" thickBot="1">
      <c r="F7163" s="316"/>
      <c r="G7163" s="317"/>
      <c r="H7163" s="318"/>
      <c r="I7163" s="318"/>
      <c r="J7163" s="319" t="s">
        <v>189</v>
      </c>
      <c r="K7163" s="320"/>
      <c r="L7163" s="321">
        <f>SUM(L7159:L7162)</f>
        <v>5154.0219999999999</v>
      </c>
    </row>
    <row r="7164" spans="6:12" ht="15" customHeight="1" thickBot="1">
      <c r="F7164" s="300" t="s">
        <v>190</v>
      </c>
      <c r="G7164" s="301" t="s">
        <v>191</v>
      </c>
      <c r="H7164" s="302"/>
      <c r="I7164" s="302"/>
      <c r="J7164" s="351"/>
      <c r="K7164" s="328">
        <v>0</v>
      </c>
      <c r="L7164" s="310">
        <f>J7164*K7164</f>
        <v>0</v>
      </c>
    </row>
    <row r="7165" spans="6:12" ht="15" customHeight="1" thickBot="1">
      <c r="F7165" s="316"/>
      <c r="G7165" s="317"/>
      <c r="H7165" s="318"/>
      <c r="I7165" s="318"/>
      <c r="J7165" s="319" t="s">
        <v>192</v>
      </c>
      <c r="K7165" s="320"/>
      <c r="L7165" s="321">
        <f>L7164</f>
        <v>0</v>
      </c>
    </row>
    <row r="7166" spans="6:12" ht="15" customHeight="1">
      <c r="F7166" s="344" t="s">
        <v>193</v>
      </c>
      <c r="G7166" s="345" t="s">
        <v>194</v>
      </c>
      <c r="H7166" s="346"/>
      <c r="I7166" s="346"/>
      <c r="J7166" s="347"/>
      <c r="K7166" s="348">
        <v>0</v>
      </c>
      <c r="L7166" s="310">
        <f>SUM(L7153:L7165)/2</f>
        <v>75141.521999999997</v>
      </c>
    </row>
    <row r="7167" spans="6:12" ht="15" customHeight="1" thickBot="1">
      <c r="F7167" s="331" t="s">
        <v>195</v>
      </c>
      <c r="G7167" s="332" t="s">
        <v>196</v>
      </c>
      <c r="H7167" s="333"/>
      <c r="I7167" s="333"/>
      <c r="J7167" s="350">
        <v>0.1</v>
      </c>
      <c r="K7167" s="335"/>
      <c r="L7167" s="330">
        <f>J7167*L7166</f>
        <v>7514.1522000000004</v>
      </c>
    </row>
    <row r="7168" spans="6:12" ht="15" customHeight="1" thickBot="1">
      <c r="F7168" s="340" t="s">
        <v>197</v>
      </c>
      <c r="G7168" s="341" t="s">
        <v>198</v>
      </c>
      <c r="H7168" s="318"/>
      <c r="I7168" s="318"/>
      <c r="J7168" s="342"/>
      <c r="K7168" s="320">
        <v>0</v>
      </c>
      <c r="L7168" s="321">
        <f>ROUNDDOWN(L7166+L7167,0)</f>
        <v>82655</v>
      </c>
    </row>
    <row r="7169" spans="5:13" ht="15" customHeight="1">
      <c r="F7169" s="298"/>
      <c r="G7169" s="298"/>
      <c r="J7169" s="343"/>
    </row>
    <row r="7170" spans="5:13" ht="15" customHeight="1" thickBot="1">
      <c r="E7170" s="356" t="s">
        <v>1308</v>
      </c>
      <c r="F7170" s="295" t="s">
        <v>1309</v>
      </c>
      <c r="J7170" s="343"/>
      <c r="M7170" s="299">
        <f>L7189</f>
        <v>95422</v>
      </c>
    </row>
    <row r="7171" spans="5:13" ht="15" customHeight="1" thickBot="1">
      <c r="F7171" s="340" t="s">
        <v>136</v>
      </c>
      <c r="G7171" s="341" t="s">
        <v>162</v>
      </c>
      <c r="H7171" s="352" t="s">
        <v>163</v>
      </c>
      <c r="I7171" s="352" t="s">
        <v>138</v>
      </c>
      <c r="J7171" s="353" t="s">
        <v>164</v>
      </c>
      <c r="K7171" s="341" t="s">
        <v>165</v>
      </c>
      <c r="L7171" s="354" t="s">
        <v>166</v>
      </c>
    </row>
    <row r="7172" spans="5:13" ht="15" customHeight="1">
      <c r="F7172" s="300" t="s">
        <v>167</v>
      </c>
      <c r="G7172" s="301" t="s">
        <v>168</v>
      </c>
      <c r="H7172" s="302"/>
      <c r="I7172" s="302"/>
      <c r="J7172" s="351"/>
      <c r="K7172" s="328"/>
      <c r="L7172" s="310"/>
    </row>
    <row r="7173" spans="5:13" ht="15" customHeight="1">
      <c r="F7173" s="306"/>
      <c r="G7173" s="301" t="s">
        <v>169</v>
      </c>
      <c r="H7173" s="307" t="s">
        <v>170</v>
      </c>
      <c r="I7173" s="307" t="s">
        <v>171</v>
      </c>
      <c r="J7173" s="432">
        <v>0.25</v>
      </c>
      <c r="K7173" s="309">
        <f>VLOOKUP(G7173,Upah,8,FALSE)</f>
        <v>125000</v>
      </c>
      <c r="L7173" s="310">
        <f>J7173*K7173</f>
        <v>31250</v>
      </c>
    </row>
    <row r="7174" spans="5:13" ht="15" customHeight="1">
      <c r="F7174" s="306"/>
      <c r="G7174" s="301" t="s">
        <v>1258</v>
      </c>
      <c r="H7174" s="307" t="s">
        <v>1259</v>
      </c>
      <c r="I7174" s="307" t="s">
        <v>171</v>
      </c>
      <c r="J7174" s="432">
        <v>0.25</v>
      </c>
      <c r="K7174" s="309">
        <f>VLOOKUP(G7174,Upah,8,FALSE)</f>
        <v>150000</v>
      </c>
      <c r="L7174" s="310">
        <f>J7174*K7174</f>
        <v>37500</v>
      </c>
    </row>
    <row r="7175" spans="5:13" ht="15" customHeight="1">
      <c r="F7175" s="306"/>
      <c r="G7175" s="301" t="s">
        <v>232</v>
      </c>
      <c r="H7175" s="307" t="s">
        <v>175</v>
      </c>
      <c r="I7175" s="307" t="s">
        <v>171</v>
      </c>
      <c r="J7175" s="432">
        <v>2.5000000000000001E-2</v>
      </c>
      <c r="K7175" s="309">
        <f>VLOOKUP(G7175,Upah,8,FALSE)</f>
        <v>165000</v>
      </c>
      <c r="L7175" s="310">
        <f>J7175*K7175</f>
        <v>4125</v>
      </c>
    </row>
    <row r="7176" spans="5:13" ht="15" customHeight="1" thickBot="1">
      <c r="F7176" s="306"/>
      <c r="G7176" s="301" t="s">
        <v>176</v>
      </c>
      <c r="H7176" s="307" t="s">
        <v>177</v>
      </c>
      <c r="I7176" s="307" t="s">
        <v>171</v>
      </c>
      <c r="J7176" s="432">
        <v>1.2999999999999999E-3</v>
      </c>
      <c r="K7176" s="309">
        <f>VLOOKUP(G7176,Upah,8,FALSE)</f>
        <v>170000</v>
      </c>
      <c r="L7176" s="310">
        <f>J7176*K7176</f>
        <v>221</v>
      </c>
    </row>
    <row r="7177" spans="5:13" ht="15" customHeight="1" thickBot="1">
      <c r="F7177" s="316"/>
      <c r="G7177" s="317"/>
      <c r="H7177" s="318"/>
      <c r="I7177" s="318"/>
      <c r="J7177" s="319" t="s">
        <v>178</v>
      </c>
      <c r="K7177" s="320"/>
      <c r="L7177" s="321">
        <f>SUM(L7173:L7176)</f>
        <v>73096</v>
      </c>
    </row>
    <row r="7178" spans="5:13" ht="15" customHeight="1">
      <c r="F7178" s="300" t="s">
        <v>179</v>
      </c>
      <c r="G7178" s="301" t="s">
        <v>180</v>
      </c>
      <c r="H7178" s="302"/>
      <c r="I7178" s="302"/>
      <c r="J7178" s="351"/>
      <c r="K7178" s="328"/>
      <c r="L7178" s="310"/>
    </row>
    <row r="7179" spans="5:13" ht="15" customHeight="1">
      <c r="F7179" s="306"/>
      <c r="G7179" s="301" t="s">
        <v>1310</v>
      </c>
      <c r="H7179" s="302"/>
      <c r="I7179" s="307" t="s">
        <v>45</v>
      </c>
      <c r="J7179" s="432">
        <v>0.1</v>
      </c>
      <c r="K7179" s="328">
        <f>VLOOKUP(G7179,Bahan,6,FALSE)</f>
        <v>38080</v>
      </c>
      <c r="L7179" s="310">
        <f>J7179*K7179</f>
        <v>3808</v>
      </c>
    </row>
    <row r="7180" spans="5:13" ht="15" customHeight="1">
      <c r="F7180" s="306"/>
      <c r="G7180" s="301" t="s">
        <v>1311</v>
      </c>
      <c r="H7180" s="302"/>
      <c r="I7180" s="307" t="s">
        <v>45</v>
      </c>
      <c r="J7180" s="432">
        <v>0.1</v>
      </c>
      <c r="K7180" s="328">
        <f>VLOOKUP(G7180,Bahan,6,FALSE)</f>
        <v>45360</v>
      </c>
      <c r="L7180" s="310">
        <f>J7180*K7180</f>
        <v>4536</v>
      </c>
    </row>
    <row r="7181" spans="5:13" ht="15" customHeight="1">
      <c r="F7181" s="306"/>
      <c r="G7181" s="301" t="s">
        <v>1312</v>
      </c>
      <c r="H7181" s="302"/>
      <c r="I7181" s="307" t="s">
        <v>45</v>
      </c>
      <c r="J7181" s="432">
        <v>0.08</v>
      </c>
      <c r="K7181" s="328">
        <f>VLOOKUP(G7181,Bahan,6,FALSE)</f>
        <v>58500</v>
      </c>
      <c r="L7181" s="310">
        <f>J7181*K7181</f>
        <v>4680</v>
      </c>
    </row>
    <row r="7182" spans="5:13" ht="15" customHeight="1">
      <c r="F7182" s="306"/>
      <c r="G7182" s="301" t="s">
        <v>1264</v>
      </c>
      <c r="H7182" s="302"/>
      <c r="I7182" s="307" t="s">
        <v>221</v>
      </c>
      <c r="J7182" s="432">
        <v>0.01</v>
      </c>
      <c r="K7182" s="328">
        <f>VLOOKUP(G7182,Bahan,6,FALSE)</f>
        <v>20740</v>
      </c>
      <c r="L7182" s="310">
        <f>J7182*K7182</f>
        <v>207.4</v>
      </c>
    </row>
    <row r="7183" spans="5:13" ht="15" customHeight="1" thickBot="1">
      <c r="F7183" s="306"/>
      <c r="G7183" s="301" t="s">
        <v>1265</v>
      </c>
      <c r="H7183" s="302"/>
      <c r="I7183" s="307" t="s">
        <v>438</v>
      </c>
      <c r="J7183" s="432">
        <v>0.01</v>
      </c>
      <c r="K7183" s="328">
        <f>VLOOKUP(G7183,Bahan,6,FALSE)</f>
        <v>42000</v>
      </c>
      <c r="L7183" s="310">
        <f>J7183*K7183</f>
        <v>420</v>
      </c>
    </row>
    <row r="7184" spans="5:13" ht="15" customHeight="1" thickBot="1">
      <c r="F7184" s="316"/>
      <c r="G7184" s="317"/>
      <c r="H7184" s="318"/>
      <c r="I7184" s="318"/>
      <c r="J7184" s="319" t="s">
        <v>189</v>
      </c>
      <c r="K7184" s="320"/>
      <c r="L7184" s="321">
        <f>SUM(L7179:L7183)</f>
        <v>13651.4</v>
      </c>
    </row>
    <row r="7185" spans="5:13" ht="15" customHeight="1" thickBot="1">
      <c r="F7185" s="300" t="s">
        <v>190</v>
      </c>
      <c r="G7185" s="301" t="s">
        <v>191</v>
      </c>
      <c r="H7185" s="302"/>
      <c r="I7185" s="302"/>
      <c r="J7185" s="351"/>
      <c r="K7185" s="328">
        <v>0</v>
      </c>
      <c r="L7185" s="310">
        <f>J7185*K7185</f>
        <v>0</v>
      </c>
    </row>
    <row r="7186" spans="5:13" ht="15" customHeight="1" thickBot="1">
      <c r="F7186" s="316"/>
      <c r="G7186" s="317"/>
      <c r="H7186" s="318"/>
      <c r="I7186" s="318"/>
      <c r="J7186" s="319" t="s">
        <v>192</v>
      </c>
      <c r="K7186" s="320"/>
      <c r="L7186" s="321">
        <f>L7185</f>
        <v>0</v>
      </c>
    </row>
    <row r="7187" spans="5:13" ht="15" customHeight="1">
      <c r="F7187" s="344" t="s">
        <v>193</v>
      </c>
      <c r="G7187" s="345" t="s">
        <v>194</v>
      </c>
      <c r="H7187" s="346"/>
      <c r="I7187" s="346"/>
      <c r="J7187" s="347"/>
      <c r="K7187" s="348">
        <v>0</v>
      </c>
      <c r="L7187" s="310">
        <f>SUM(L7173:L7186)/2</f>
        <v>86747.4</v>
      </c>
    </row>
    <row r="7188" spans="5:13" ht="15" customHeight="1" thickBot="1">
      <c r="F7188" s="331" t="s">
        <v>195</v>
      </c>
      <c r="G7188" s="332" t="s">
        <v>196</v>
      </c>
      <c r="H7188" s="333"/>
      <c r="I7188" s="333"/>
      <c r="J7188" s="350">
        <v>0.1</v>
      </c>
      <c r="K7188" s="335"/>
      <c r="L7188" s="330">
        <f>J7188*L7187</f>
        <v>8674.74</v>
      </c>
    </row>
    <row r="7189" spans="5:13" ht="15" customHeight="1" thickBot="1">
      <c r="F7189" s="340" t="s">
        <v>197</v>
      </c>
      <c r="G7189" s="341" t="s">
        <v>198</v>
      </c>
      <c r="H7189" s="318"/>
      <c r="I7189" s="318"/>
      <c r="J7189" s="342"/>
      <c r="K7189" s="320">
        <v>0</v>
      </c>
      <c r="L7189" s="321">
        <f>ROUNDDOWN(L7187+L7188,0)</f>
        <v>95422</v>
      </c>
    </row>
    <row r="7190" spans="5:13" ht="15" customHeight="1">
      <c r="F7190" s="298"/>
      <c r="G7190" s="298"/>
      <c r="J7190" s="343"/>
    </row>
    <row r="7191" spans="5:13" ht="15" customHeight="1" thickBot="1">
      <c r="E7191" s="356" t="s">
        <v>1313</v>
      </c>
      <c r="F7191" s="295" t="s">
        <v>1314</v>
      </c>
      <c r="J7191" s="343"/>
      <c r="M7191" s="299">
        <f>L7208</f>
        <v>40884</v>
      </c>
    </row>
    <row r="7192" spans="5:13" ht="15" customHeight="1" thickBot="1">
      <c r="F7192" s="340" t="s">
        <v>136</v>
      </c>
      <c r="G7192" s="341" t="s">
        <v>162</v>
      </c>
      <c r="H7192" s="352" t="s">
        <v>163</v>
      </c>
      <c r="I7192" s="352" t="s">
        <v>138</v>
      </c>
      <c r="J7192" s="353" t="s">
        <v>164</v>
      </c>
      <c r="K7192" s="341" t="s">
        <v>165</v>
      </c>
      <c r="L7192" s="354" t="s">
        <v>166</v>
      </c>
    </row>
    <row r="7193" spans="5:13" ht="15" customHeight="1">
      <c r="F7193" s="300" t="s">
        <v>167</v>
      </c>
      <c r="G7193" s="301" t="s">
        <v>168</v>
      </c>
      <c r="H7193" s="302"/>
      <c r="I7193" s="302"/>
      <c r="J7193" s="351"/>
      <c r="K7193" s="328"/>
      <c r="L7193" s="310"/>
    </row>
    <row r="7194" spans="5:13" ht="15" customHeight="1">
      <c r="F7194" s="306"/>
      <c r="G7194" s="301" t="s">
        <v>169</v>
      </c>
      <c r="H7194" s="307" t="s">
        <v>170</v>
      </c>
      <c r="I7194" s="307" t="s">
        <v>171</v>
      </c>
      <c r="J7194" s="432">
        <v>0.06</v>
      </c>
      <c r="K7194" s="309">
        <f>VLOOKUP(G7194,Upah,8,FALSE)</f>
        <v>125000</v>
      </c>
      <c r="L7194" s="310">
        <f>J7194*K7194</f>
        <v>7500</v>
      </c>
    </row>
    <row r="7195" spans="5:13" ht="15" customHeight="1">
      <c r="F7195" s="306"/>
      <c r="G7195" s="301" t="s">
        <v>1258</v>
      </c>
      <c r="H7195" s="307" t="s">
        <v>1259</v>
      </c>
      <c r="I7195" s="307" t="s">
        <v>171</v>
      </c>
      <c r="J7195" s="432">
        <v>0.06</v>
      </c>
      <c r="K7195" s="309">
        <f>VLOOKUP(G7195,Upah,8,FALSE)</f>
        <v>150000</v>
      </c>
      <c r="L7195" s="310">
        <f>J7195*K7195</f>
        <v>9000</v>
      </c>
    </row>
    <row r="7196" spans="5:13" ht="15" customHeight="1">
      <c r="F7196" s="306"/>
      <c r="G7196" s="301" t="s">
        <v>232</v>
      </c>
      <c r="H7196" s="307" t="s">
        <v>175</v>
      </c>
      <c r="I7196" s="307" t="s">
        <v>171</v>
      </c>
      <c r="J7196" s="432">
        <v>1.2E-2</v>
      </c>
      <c r="K7196" s="309">
        <f>VLOOKUP(G7196,Upah,8,FALSE)</f>
        <v>165000</v>
      </c>
      <c r="L7196" s="310">
        <f>J7196*K7196</f>
        <v>1980</v>
      </c>
    </row>
    <row r="7197" spans="5:13" ht="15" customHeight="1" thickBot="1">
      <c r="F7197" s="306"/>
      <c r="G7197" s="301" t="s">
        <v>176</v>
      </c>
      <c r="H7197" s="307" t="s">
        <v>177</v>
      </c>
      <c r="I7197" s="307" t="s">
        <v>171</v>
      </c>
      <c r="J7197" s="432">
        <v>3.0000000000000001E-3</v>
      </c>
      <c r="K7197" s="309">
        <f>VLOOKUP(G7197,Upah,8,FALSE)</f>
        <v>170000</v>
      </c>
      <c r="L7197" s="310">
        <f>J7197*K7197</f>
        <v>510</v>
      </c>
    </row>
    <row r="7198" spans="5:13" ht="15" customHeight="1" thickBot="1">
      <c r="F7198" s="316"/>
      <c r="G7198" s="317"/>
      <c r="H7198" s="318"/>
      <c r="I7198" s="318"/>
      <c r="J7198" s="319" t="s">
        <v>178</v>
      </c>
      <c r="K7198" s="320"/>
      <c r="L7198" s="321">
        <f>SUM(L7194:L7197)</f>
        <v>18990</v>
      </c>
    </row>
    <row r="7199" spans="5:13" ht="15" customHeight="1">
      <c r="F7199" s="300" t="s">
        <v>179</v>
      </c>
      <c r="G7199" s="301" t="s">
        <v>180</v>
      </c>
      <c r="H7199" s="302"/>
      <c r="I7199" s="302"/>
      <c r="J7199" s="351"/>
      <c r="K7199" s="328"/>
      <c r="L7199" s="310"/>
    </row>
    <row r="7200" spans="5:13" ht="15" customHeight="1">
      <c r="F7200" s="306"/>
      <c r="G7200" s="301" t="s">
        <v>1312</v>
      </c>
      <c r="H7200" s="302"/>
      <c r="I7200" s="307" t="s">
        <v>45</v>
      </c>
      <c r="J7200" s="432">
        <v>0.3</v>
      </c>
      <c r="K7200" s="328">
        <f>VLOOKUP(G7200,Bahan,6,FALSE)</f>
        <v>58500</v>
      </c>
      <c r="L7200" s="310">
        <f>J7200*K7200</f>
        <v>17550</v>
      </c>
    </row>
    <row r="7201" spans="5:13" ht="15" customHeight="1">
      <c r="F7201" s="306"/>
      <c r="G7201" s="301" t="s">
        <v>1264</v>
      </c>
      <c r="H7201" s="302"/>
      <c r="I7201" s="307" t="s">
        <v>221</v>
      </c>
      <c r="J7201" s="432">
        <v>0.01</v>
      </c>
      <c r="K7201" s="328">
        <f>VLOOKUP(G7201,Bahan,6,FALSE)</f>
        <v>20740</v>
      </c>
      <c r="L7201" s="310">
        <f>J7201*K7201</f>
        <v>207.4</v>
      </c>
    </row>
    <row r="7202" spans="5:13" ht="15" customHeight="1" thickBot="1">
      <c r="F7202" s="306"/>
      <c r="G7202" s="301" t="s">
        <v>1265</v>
      </c>
      <c r="H7202" s="302"/>
      <c r="I7202" s="307" t="s">
        <v>438</v>
      </c>
      <c r="J7202" s="432">
        <v>0.01</v>
      </c>
      <c r="K7202" s="328">
        <f>VLOOKUP(G7202,Bahan,6,FALSE)</f>
        <v>42000</v>
      </c>
      <c r="L7202" s="310">
        <f>J7202*K7202</f>
        <v>420</v>
      </c>
    </row>
    <row r="7203" spans="5:13" ht="15" customHeight="1" thickBot="1">
      <c r="F7203" s="316"/>
      <c r="G7203" s="317"/>
      <c r="H7203" s="318"/>
      <c r="I7203" s="318"/>
      <c r="J7203" s="319" t="s">
        <v>189</v>
      </c>
      <c r="K7203" s="320"/>
      <c r="L7203" s="321">
        <f>SUM(L7200:L7202)</f>
        <v>18177.400000000001</v>
      </c>
    </row>
    <row r="7204" spans="5:13" ht="15" customHeight="1" thickBot="1">
      <c r="F7204" s="300" t="s">
        <v>190</v>
      </c>
      <c r="G7204" s="301" t="s">
        <v>191</v>
      </c>
      <c r="H7204" s="302"/>
      <c r="I7204" s="302"/>
      <c r="J7204" s="351"/>
      <c r="K7204" s="328">
        <v>0</v>
      </c>
      <c r="L7204" s="310">
        <f>J7204*K7204</f>
        <v>0</v>
      </c>
    </row>
    <row r="7205" spans="5:13" ht="15" customHeight="1" thickBot="1">
      <c r="F7205" s="316"/>
      <c r="G7205" s="317"/>
      <c r="H7205" s="318"/>
      <c r="I7205" s="318"/>
      <c r="J7205" s="319" t="s">
        <v>192</v>
      </c>
      <c r="K7205" s="320"/>
      <c r="L7205" s="321">
        <f>L7204</f>
        <v>0</v>
      </c>
    </row>
    <row r="7206" spans="5:13" ht="15" customHeight="1">
      <c r="F7206" s="344" t="s">
        <v>193</v>
      </c>
      <c r="G7206" s="345" t="s">
        <v>194</v>
      </c>
      <c r="H7206" s="346"/>
      <c r="I7206" s="346"/>
      <c r="J7206" s="347"/>
      <c r="K7206" s="348">
        <v>0</v>
      </c>
      <c r="L7206" s="310">
        <f>SUM(L7194:L7205)/2</f>
        <v>37167.4</v>
      </c>
    </row>
    <row r="7207" spans="5:13" ht="15" customHeight="1" thickBot="1">
      <c r="F7207" s="331" t="s">
        <v>195</v>
      </c>
      <c r="G7207" s="332" t="s">
        <v>196</v>
      </c>
      <c r="H7207" s="333"/>
      <c r="I7207" s="333"/>
      <c r="J7207" s="350">
        <v>0.1</v>
      </c>
      <c r="K7207" s="335"/>
      <c r="L7207" s="330">
        <f>J7207*L7206</f>
        <v>3716.7400000000002</v>
      </c>
    </row>
    <row r="7208" spans="5:13" ht="15" customHeight="1" thickBot="1">
      <c r="F7208" s="340" t="s">
        <v>197</v>
      </c>
      <c r="G7208" s="341" t="s">
        <v>198</v>
      </c>
      <c r="H7208" s="318"/>
      <c r="I7208" s="318"/>
      <c r="J7208" s="342"/>
      <c r="K7208" s="320">
        <v>0</v>
      </c>
      <c r="L7208" s="321">
        <f>ROUNDDOWN(L7206+L7207,0)</f>
        <v>40884</v>
      </c>
    </row>
    <row r="7209" spans="5:13" ht="15" customHeight="1">
      <c r="F7209" s="298"/>
      <c r="G7209" s="298"/>
      <c r="J7209" s="343"/>
    </row>
    <row r="7210" spans="5:13" ht="15" customHeight="1" thickBot="1">
      <c r="E7210" s="356" t="s">
        <v>1315</v>
      </c>
      <c r="F7210" s="295" t="s">
        <v>1316</v>
      </c>
      <c r="J7210" s="343"/>
      <c r="M7210" s="299">
        <f>L7229</f>
        <v>225865</v>
      </c>
    </row>
    <row r="7211" spans="5:13" ht="15" customHeight="1" thickBot="1">
      <c r="F7211" s="340" t="s">
        <v>136</v>
      </c>
      <c r="G7211" s="341" t="s">
        <v>162</v>
      </c>
      <c r="H7211" s="352" t="s">
        <v>163</v>
      </c>
      <c r="I7211" s="352" t="s">
        <v>138</v>
      </c>
      <c r="J7211" s="353" t="s">
        <v>164</v>
      </c>
      <c r="K7211" s="341" t="s">
        <v>165</v>
      </c>
      <c r="L7211" s="354" t="s">
        <v>166</v>
      </c>
    </row>
    <row r="7212" spans="5:13" ht="15" customHeight="1">
      <c r="F7212" s="300" t="s">
        <v>167</v>
      </c>
      <c r="G7212" s="301" t="s">
        <v>168</v>
      </c>
      <c r="H7212" s="302"/>
      <c r="I7212" s="302"/>
      <c r="J7212" s="351"/>
      <c r="K7212" s="328"/>
      <c r="L7212" s="310"/>
    </row>
    <row r="7213" spans="5:13" ht="15" customHeight="1">
      <c r="F7213" s="306"/>
      <c r="G7213" s="301" t="s">
        <v>169</v>
      </c>
      <c r="H7213" s="307" t="s">
        <v>170</v>
      </c>
      <c r="I7213" s="307" t="s">
        <v>171</v>
      </c>
      <c r="J7213" s="432">
        <v>0.4</v>
      </c>
      <c r="K7213" s="309">
        <f>VLOOKUP(G7213,Upah,8,FALSE)</f>
        <v>125000</v>
      </c>
      <c r="L7213" s="310">
        <f>J7213*K7213</f>
        <v>50000</v>
      </c>
    </row>
    <row r="7214" spans="5:13" ht="15" customHeight="1">
      <c r="F7214" s="306"/>
      <c r="G7214" s="301" t="s">
        <v>1258</v>
      </c>
      <c r="H7214" s="307" t="s">
        <v>1259</v>
      </c>
      <c r="I7214" s="307" t="s">
        <v>171</v>
      </c>
      <c r="J7214" s="432">
        <v>0.8</v>
      </c>
      <c r="K7214" s="309">
        <f>VLOOKUP(G7214,Upah,8,FALSE)</f>
        <v>150000</v>
      </c>
      <c r="L7214" s="310">
        <f>J7214*K7214</f>
        <v>120000</v>
      </c>
    </row>
    <row r="7215" spans="5:13" ht="15" customHeight="1">
      <c r="F7215" s="306"/>
      <c r="G7215" s="301" t="s">
        <v>232</v>
      </c>
      <c r="H7215" s="307" t="s">
        <v>175</v>
      </c>
      <c r="I7215" s="307" t="s">
        <v>171</v>
      </c>
      <c r="J7215" s="432">
        <v>0.08</v>
      </c>
      <c r="K7215" s="309">
        <f>VLOOKUP(G7215,Upah,8,FALSE)</f>
        <v>165000</v>
      </c>
      <c r="L7215" s="310">
        <f>J7215*K7215</f>
        <v>13200</v>
      </c>
    </row>
    <row r="7216" spans="5:13" ht="15" customHeight="1" thickBot="1">
      <c r="F7216" s="306"/>
      <c r="G7216" s="301" t="s">
        <v>176</v>
      </c>
      <c r="H7216" s="307" t="s">
        <v>177</v>
      </c>
      <c r="I7216" s="307" t="s">
        <v>171</v>
      </c>
      <c r="J7216" s="432">
        <v>0.02</v>
      </c>
      <c r="K7216" s="309">
        <f>VLOOKUP(G7216,Upah,8,FALSE)</f>
        <v>170000</v>
      </c>
      <c r="L7216" s="310">
        <f>J7216*K7216</f>
        <v>3400</v>
      </c>
    </row>
    <row r="7217" spans="5:13" ht="15" customHeight="1" thickBot="1">
      <c r="F7217" s="316"/>
      <c r="G7217" s="317"/>
      <c r="H7217" s="318"/>
      <c r="I7217" s="318"/>
      <c r="J7217" s="319" t="s">
        <v>178</v>
      </c>
      <c r="K7217" s="320"/>
      <c r="L7217" s="321">
        <f>SUM(L7213:L7216)</f>
        <v>186600</v>
      </c>
    </row>
    <row r="7218" spans="5:13" ht="15" customHeight="1">
      <c r="F7218" s="300" t="s">
        <v>179</v>
      </c>
      <c r="G7218" s="301" t="s">
        <v>180</v>
      </c>
      <c r="H7218" s="302"/>
      <c r="I7218" s="302"/>
      <c r="J7218" s="351"/>
      <c r="K7218" s="328"/>
      <c r="L7218" s="310"/>
    </row>
    <row r="7219" spans="5:13" ht="15" customHeight="1">
      <c r="F7219" s="306"/>
      <c r="G7219" s="301" t="s">
        <v>1317</v>
      </c>
      <c r="H7219" s="302"/>
      <c r="I7219" s="307" t="s">
        <v>45</v>
      </c>
      <c r="J7219" s="432">
        <v>0.11</v>
      </c>
      <c r="K7219" s="328">
        <f>VLOOKUP(G7219,Bahan,6,FALSE)</f>
        <v>37200</v>
      </c>
      <c r="L7219" s="310">
        <f>J7219*K7219</f>
        <v>4092</v>
      </c>
    </row>
    <row r="7220" spans="5:13" ht="15" customHeight="1">
      <c r="F7220" s="306"/>
      <c r="G7220" s="301" t="s">
        <v>1318</v>
      </c>
      <c r="H7220" s="302"/>
      <c r="I7220" s="307" t="s">
        <v>45</v>
      </c>
      <c r="J7220" s="432">
        <v>0.17</v>
      </c>
      <c r="K7220" s="328">
        <f>VLOOKUP(G7220,Bahan,6,FALSE)</f>
        <v>54900</v>
      </c>
      <c r="L7220" s="310">
        <f>J7220*K7220</f>
        <v>9333</v>
      </c>
    </row>
    <row r="7221" spans="5:13" ht="15" customHeight="1">
      <c r="F7221" s="306"/>
      <c r="G7221" s="301" t="s">
        <v>1312</v>
      </c>
      <c r="H7221" s="302"/>
      <c r="I7221" s="307" t="s">
        <v>45</v>
      </c>
      <c r="J7221" s="432">
        <v>0.08</v>
      </c>
      <c r="K7221" s="328">
        <f>VLOOKUP(G7221,Bahan,6,FALSE)</f>
        <v>58500</v>
      </c>
      <c r="L7221" s="310">
        <f>J7221*K7221</f>
        <v>4680</v>
      </c>
    </row>
    <row r="7222" spans="5:13" ht="15" customHeight="1">
      <c r="F7222" s="306"/>
      <c r="G7222" s="301" t="s">
        <v>1264</v>
      </c>
      <c r="H7222" s="302"/>
      <c r="I7222" s="307" t="s">
        <v>221</v>
      </c>
      <c r="J7222" s="432">
        <v>0.01</v>
      </c>
      <c r="K7222" s="328">
        <f>VLOOKUP(G7222,Bahan,6,FALSE)</f>
        <v>20740</v>
      </c>
      <c r="L7222" s="310">
        <f>J7222*K7222</f>
        <v>207.4</v>
      </c>
    </row>
    <row r="7223" spans="5:13" ht="15" customHeight="1" thickBot="1">
      <c r="F7223" s="306"/>
      <c r="G7223" s="301" t="s">
        <v>1265</v>
      </c>
      <c r="H7223" s="302"/>
      <c r="I7223" s="307" t="s">
        <v>438</v>
      </c>
      <c r="J7223" s="432">
        <v>0.01</v>
      </c>
      <c r="K7223" s="328">
        <f>VLOOKUP(G7223,Bahan,6,FALSE)</f>
        <v>42000</v>
      </c>
      <c r="L7223" s="310">
        <f>J7223*K7223</f>
        <v>420</v>
      </c>
    </row>
    <row r="7224" spans="5:13" ht="15" customHeight="1" thickBot="1">
      <c r="F7224" s="316"/>
      <c r="G7224" s="317"/>
      <c r="H7224" s="318"/>
      <c r="I7224" s="318"/>
      <c r="J7224" s="319" t="s">
        <v>189</v>
      </c>
      <c r="K7224" s="320"/>
      <c r="L7224" s="321">
        <f>SUM(L7219:L7223)</f>
        <v>18732.400000000001</v>
      </c>
    </row>
    <row r="7225" spans="5:13" ht="15" customHeight="1" thickBot="1">
      <c r="F7225" s="300" t="s">
        <v>190</v>
      </c>
      <c r="G7225" s="301" t="s">
        <v>191</v>
      </c>
      <c r="H7225" s="302"/>
      <c r="I7225" s="302"/>
      <c r="J7225" s="351"/>
      <c r="K7225" s="328">
        <v>0</v>
      </c>
      <c r="L7225" s="310">
        <f>J7225*K7225</f>
        <v>0</v>
      </c>
    </row>
    <row r="7226" spans="5:13" ht="15" customHeight="1" thickBot="1">
      <c r="F7226" s="316"/>
      <c r="G7226" s="317"/>
      <c r="H7226" s="318"/>
      <c r="I7226" s="318"/>
      <c r="J7226" s="319" t="s">
        <v>192</v>
      </c>
      <c r="K7226" s="320"/>
      <c r="L7226" s="321">
        <f>L7225</f>
        <v>0</v>
      </c>
    </row>
    <row r="7227" spans="5:13" ht="15" customHeight="1">
      <c r="F7227" s="344" t="s">
        <v>193</v>
      </c>
      <c r="G7227" s="345" t="s">
        <v>194</v>
      </c>
      <c r="H7227" s="346"/>
      <c r="I7227" s="346"/>
      <c r="J7227" s="347"/>
      <c r="K7227" s="348">
        <v>0</v>
      </c>
      <c r="L7227" s="310">
        <f>SUM(L7212:L7226)/2</f>
        <v>205332.40000000002</v>
      </c>
    </row>
    <row r="7228" spans="5:13" ht="15" customHeight="1" thickBot="1">
      <c r="F7228" s="331" t="s">
        <v>195</v>
      </c>
      <c r="G7228" s="332" t="s">
        <v>196</v>
      </c>
      <c r="H7228" s="333"/>
      <c r="I7228" s="333"/>
      <c r="J7228" s="350">
        <v>0.1</v>
      </c>
      <c r="K7228" s="335"/>
      <c r="L7228" s="330">
        <f>J7228*L7227</f>
        <v>20533.240000000005</v>
      </c>
    </row>
    <row r="7229" spans="5:13" ht="15" customHeight="1" thickBot="1">
      <c r="F7229" s="340" t="s">
        <v>197</v>
      </c>
      <c r="G7229" s="341" t="s">
        <v>198</v>
      </c>
      <c r="H7229" s="318"/>
      <c r="I7229" s="318"/>
      <c r="J7229" s="342"/>
      <c r="K7229" s="320">
        <v>0</v>
      </c>
      <c r="L7229" s="321">
        <f>ROUNDDOWN(L7227+L7228,0)</f>
        <v>225865</v>
      </c>
    </row>
    <row r="7230" spans="5:13" ht="15" customHeight="1">
      <c r="F7230" s="298"/>
      <c r="G7230" s="298"/>
      <c r="J7230" s="343"/>
    </row>
    <row r="7231" spans="5:13" ht="15" customHeight="1" thickBot="1">
      <c r="E7231" s="356" t="s">
        <v>1319</v>
      </c>
      <c r="F7231" s="295" t="s">
        <v>1320</v>
      </c>
      <c r="J7231" s="343"/>
      <c r="M7231" s="299">
        <f>L7247</f>
        <v>206712</v>
      </c>
    </row>
    <row r="7232" spans="5:13" ht="15" customHeight="1" thickBot="1">
      <c r="F7232" s="340" t="s">
        <v>136</v>
      </c>
      <c r="G7232" s="341" t="s">
        <v>162</v>
      </c>
      <c r="H7232" s="352" t="s">
        <v>163</v>
      </c>
      <c r="I7232" s="352" t="s">
        <v>138</v>
      </c>
      <c r="J7232" s="353" t="s">
        <v>164</v>
      </c>
      <c r="K7232" s="341" t="s">
        <v>165</v>
      </c>
      <c r="L7232" s="354" t="s">
        <v>166</v>
      </c>
    </row>
    <row r="7233" spans="6:12" ht="15" customHeight="1">
      <c r="F7233" s="300" t="s">
        <v>167</v>
      </c>
      <c r="G7233" s="301" t="s">
        <v>168</v>
      </c>
      <c r="H7233" s="302"/>
      <c r="I7233" s="302"/>
      <c r="J7233" s="351"/>
      <c r="K7233" s="328"/>
      <c r="L7233" s="310"/>
    </row>
    <row r="7234" spans="6:12" ht="15" customHeight="1">
      <c r="F7234" s="306"/>
      <c r="G7234" s="301" t="s">
        <v>169</v>
      </c>
      <c r="H7234" s="307" t="s">
        <v>170</v>
      </c>
      <c r="I7234" s="307" t="s">
        <v>171</v>
      </c>
      <c r="J7234" s="432">
        <v>0.4</v>
      </c>
      <c r="K7234" s="309">
        <f>VLOOKUP(G7234,Upah,8,FALSE)</f>
        <v>125000</v>
      </c>
      <c r="L7234" s="310">
        <f>J7234*K7234</f>
        <v>50000</v>
      </c>
    </row>
    <row r="7235" spans="6:12" ht="15" customHeight="1">
      <c r="F7235" s="306"/>
      <c r="G7235" s="301" t="s">
        <v>1258</v>
      </c>
      <c r="H7235" s="307" t="s">
        <v>1259</v>
      </c>
      <c r="I7235" s="307" t="s">
        <v>171</v>
      </c>
      <c r="J7235" s="432">
        <v>0.7</v>
      </c>
      <c r="K7235" s="309">
        <f>VLOOKUP(G7235,Upah,8,FALSE)</f>
        <v>150000</v>
      </c>
      <c r="L7235" s="310">
        <f>J7235*K7235</f>
        <v>105000</v>
      </c>
    </row>
    <row r="7236" spans="6:12" ht="15" customHeight="1">
      <c r="F7236" s="306"/>
      <c r="G7236" s="301" t="s">
        <v>232</v>
      </c>
      <c r="H7236" s="307" t="s">
        <v>175</v>
      </c>
      <c r="I7236" s="307" t="s">
        <v>171</v>
      </c>
      <c r="J7236" s="432">
        <v>7.0000000000000007E-2</v>
      </c>
      <c r="K7236" s="309">
        <f>VLOOKUP(G7236,Upah,8,FALSE)</f>
        <v>165000</v>
      </c>
      <c r="L7236" s="310">
        <f>J7236*K7236</f>
        <v>11550.000000000002</v>
      </c>
    </row>
    <row r="7237" spans="6:12" ht="15" customHeight="1" thickBot="1">
      <c r="F7237" s="306"/>
      <c r="G7237" s="301" t="s">
        <v>176</v>
      </c>
      <c r="H7237" s="307" t="s">
        <v>177</v>
      </c>
      <c r="I7237" s="307" t="s">
        <v>171</v>
      </c>
      <c r="J7237" s="432">
        <v>0.02</v>
      </c>
      <c r="K7237" s="309">
        <f>VLOOKUP(G7237,Upah,8,FALSE)</f>
        <v>170000</v>
      </c>
      <c r="L7237" s="310">
        <f>J7237*K7237</f>
        <v>3400</v>
      </c>
    </row>
    <row r="7238" spans="6:12" ht="15" customHeight="1" thickBot="1">
      <c r="F7238" s="316"/>
      <c r="G7238" s="317"/>
      <c r="H7238" s="318"/>
      <c r="I7238" s="318"/>
      <c r="J7238" s="319" t="s">
        <v>178</v>
      </c>
      <c r="K7238" s="320"/>
      <c r="L7238" s="321">
        <f>SUM(L7234:L7237)</f>
        <v>169950</v>
      </c>
    </row>
    <row r="7239" spans="6:12" ht="15" customHeight="1">
      <c r="F7239" s="300" t="s">
        <v>179</v>
      </c>
      <c r="G7239" s="301" t="s">
        <v>180</v>
      </c>
      <c r="H7239" s="302"/>
      <c r="I7239" s="302"/>
      <c r="J7239" s="351"/>
      <c r="K7239" s="328"/>
      <c r="L7239" s="310"/>
    </row>
    <row r="7240" spans="6:12" ht="15" customHeight="1">
      <c r="F7240" s="306"/>
      <c r="G7240" s="301" t="s">
        <v>1312</v>
      </c>
      <c r="H7240" s="302"/>
      <c r="I7240" s="307" t="s">
        <v>45</v>
      </c>
      <c r="J7240" s="432">
        <v>0.3</v>
      </c>
      <c r="K7240" s="328">
        <f>VLOOKUP(G7240,Bahan,6,FALSE)</f>
        <v>58500</v>
      </c>
      <c r="L7240" s="310">
        <f>J7240*K7240</f>
        <v>17550</v>
      </c>
    </row>
    <row r="7241" spans="6:12" ht="15" customHeight="1" thickBot="1">
      <c r="F7241" s="306"/>
      <c r="G7241" s="301" t="s">
        <v>1265</v>
      </c>
      <c r="H7241" s="302"/>
      <c r="I7241" s="307" t="s">
        <v>438</v>
      </c>
      <c r="J7241" s="432">
        <v>0.01</v>
      </c>
      <c r="K7241" s="328">
        <f>VLOOKUP(G7241,Bahan,6,FALSE)</f>
        <v>42000</v>
      </c>
      <c r="L7241" s="310">
        <f>J7241*K7241</f>
        <v>420</v>
      </c>
    </row>
    <row r="7242" spans="6:12" ht="15" customHeight="1" thickBot="1">
      <c r="F7242" s="316"/>
      <c r="G7242" s="317"/>
      <c r="H7242" s="318"/>
      <c r="I7242" s="318"/>
      <c r="J7242" s="319" t="s">
        <v>189</v>
      </c>
      <c r="K7242" s="320"/>
      <c r="L7242" s="321">
        <f>SUM(L7240:L7241)</f>
        <v>17970</v>
      </c>
    </row>
    <row r="7243" spans="6:12" ht="15" customHeight="1" thickBot="1">
      <c r="F7243" s="300" t="s">
        <v>190</v>
      </c>
      <c r="G7243" s="301" t="s">
        <v>191</v>
      </c>
      <c r="H7243" s="302"/>
      <c r="I7243" s="302"/>
      <c r="J7243" s="351"/>
      <c r="K7243" s="328">
        <v>0</v>
      </c>
      <c r="L7243" s="310">
        <f>J7243*K7243</f>
        <v>0</v>
      </c>
    </row>
    <row r="7244" spans="6:12" ht="15" customHeight="1" thickBot="1">
      <c r="F7244" s="316"/>
      <c r="G7244" s="317"/>
      <c r="H7244" s="318"/>
      <c r="I7244" s="318"/>
      <c r="J7244" s="319" t="s">
        <v>192</v>
      </c>
      <c r="K7244" s="320"/>
      <c r="L7244" s="321">
        <f>L7243</f>
        <v>0</v>
      </c>
    </row>
    <row r="7245" spans="6:12" ht="15" customHeight="1">
      <c r="F7245" s="344" t="s">
        <v>193</v>
      </c>
      <c r="G7245" s="345" t="s">
        <v>194</v>
      </c>
      <c r="H7245" s="346"/>
      <c r="I7245" s="346"/>
      <c r="J7245" s="347"/>
      <c r="K7245" s="348">
        <v>0</v>
      </c>
      <c r="L7245" s="310">
        <f>SUM(L7234:L7244)/2</f>
        <v>187920</v>
      </c>
    </row>
    <row r="7246" spans="6:12" ht="15" customHeight="1" thickBot="1">
      <c r="F7246" s="331" t="s">
        <v>195</v>
      </c>
      <c r="G7246" s="332" t="s">
        <v>196</v>
      </c>
      <c r="H7246" s="333"/>
      <c r="I7246" s="333"/>
      <c r="J7246" s="350">
        <v>0.1</v>
      </c>
      <c r="K7246" s="335"/>
      <c r="L7246" s="330">
        <f>J7246*L7245</f>
        <v>18792</v>
      </c>
    </row>
    <row r="7247" spans="6:12" ht="15" customHeight="1" thickBot="1">
      <c r="F7247" s="340" t="s">
        <v>197</v>
      </c>
      <c r="G7247" s="341" t="s">
        <v>198</v>
      </c>
      <c r="H7247" s="318"/>
      <c r="I7247" s="318"/>
      <c r="J7247" s="342"/>
      <c r="K7247" s="320">
        <v>0</v>
      </c>
      <c r="L7247" s="321">
        <f>ROUNDDOWN(L7245+L7246,0)</f>
        <v>206712</v>
      </c>
    </row>
    <row r="7248" spans="6:12" ht="15" customHeight="1">
      <c r="F7248" s="298"/>
      <c r="G7248" s="298"/>
      <c r="J7248" s="343"/>
      <c r="K7248" s="355"/>
      <c r="L7248" s="299"/>
    </row>
    <row r="7249" spans="5:13" ht="15" customHeight="1" thickBot="1">
      <c r="E7249" s="387" t="s">
        <v>1321</v>
      </c>
      <c r="F7249" s="298" t="s">
        <v>1322</v>
      </c>
      <c r="G7249" s="298"/>
      <c r="J7249" s="343"/>
      <c r="K7249" s="355"/>
      <c r="L7249" s="299"/>
      <c r="M7249" s="299">
        <f>L7265</f>
        <v>200399</v>
      </c>
    </row>
    <row r="7250" spans="5:13" ht="15" customHeight="1" thickBot="1">
      <c r="F7250" s="340" t="s">
        <v>136</v>
      </c>
      <c r="G7250" s="341" t="s">
        <v>162</v>
      </c>
      <c r="H7250" s="352" t="s">
        <v>163</v>
      </c>
      <c r="I7250" s="352" t="s">
        <v>138</v>
      </c>
      <c r="J7250" s="353" t="s">
        <v>164</v>
      </c>
      <c r="K7250" s="341" t="s">
        <v>165</v>
      </c>
      <c r="L7250" s="354" t="s">
        <v>166</v>
      </c>
    </row>
    <row r="7251" spans="5:13" ht="15" customHeight="1">
      <c r="F7251" s="300" t="s">
        <v>167</v>
      </c>
      <c r="G7251" s="301" t="s">
        <v>168</v>
      </c>
      <c r="H7251" s="302"/>
      <c r="I7251" s="302"/>
      <c r="J7251" s="351"/>
      <c r="K7251" s="328"/>
      <c r="L7251" s="310"/>
    </row>
    <row r="7252" spans="5:13" ht="15" customHeight="1">
      <c r="F7252" s="306"/>
      <c r="G7252" s="301" t="s">
        <v>169</v>
      </c>
      <c r="H7252" s="307" t="s">
        <v>170</v>
      </c>
      <c r="I7252" s="307" t="s">
        <v>171</v>
      </c>
      <c r="J7252" s="432">
        <v>0.4</v>
      </c>
      <c r="K7252" s="309">
        <f>VLOOKUP(G7252,Upah,8,FALSE)</f>
        <v>125000</v>
      </c>
      <c r="L7252" s="310">
        <f>J7252*K7252</f>
        <v>50000</v>
      </c>
    </row>
    <row r="7253" spans="5:13" ht="15" customHeight="1">
      <c r="F7253" s="306"/>
      <c r="G7253" s="301" t="s">
        <v>1258</v>
      </c>
      <c r="H7253" s="307" t="s">
        <v>1259</v>
      </c>
      <c r="I7253" s="307" t="s">
        <v>171</v>
      </c>
      <c r="J7253" s="432">
        <v>0.7</v>
      </c>
      <c r="K7253" s="309">
        <f>VLOOKUP(G7253,Upah,8,FALSE)</f>
        <v>150000</v>
      </c>
      <c r="L7253" s="310">
        <f>J7253*K7253</f>
        <v>105000</v>
      </c>
    </row>
    <row r="7254" spans="5:13" ht="15" customHeight="1">
      <c r="F7254" s="306"/>
      <c r="G7254" s="301" t="s">
        <v>232</v>
      </c>
      <c r="H7254" s="307" t="s">
        <v>175</v>
      </c>
      <c r="I7254" s="307" t="s">
        <v>171</v>
      </c>
      <c r="J7254" s="432">
        <v>7.0000000000000007E-2</v>
      </c>
      <c r="K7254" s="309">
        <f>VLOOKUP(G7254,Upah,8,FALSE)</f>
        <v>165000</v>
      </c>
      <c r="L7254" s="310">
        <f>J7254*K7254</f>
        <v>11550.000000000002</v>
      </c>
    </row>
    <row r="7255" spans="5:13" ht="15" customHeight="1" thickBot="1">
      <c r="F7255" s="306"/>
      <c r="G7255" s="301" t="s">
        <v>176</v>
      </c>
      <c r="H7255" s="307" t="s">
        <v>177</v>
      </c>
      <c r="I7255" s="307" t="s">
        <v>171</v>
      </c>
      <c r="J7255" s="432">
        <v>0.02</v>
      </c>
      <c r="K7255" s="309">
        <f>VLOOKUP(G7255,Upah,8,FALSE)</f>
        <v>170000</v>
      </c>
      <c r="L7255" s="310">
        <f>J7255*K7255</f>
        <v>3400</v>
      </c>
    </row>
    <row r="7256" spans="5:13" ht="15" customHeight="1" thickBot="1">
      <c r="F7256" s="316"/>
      <c r="G7256" s="317"/>
      <c r="H7256" s="318"/>
      <c r="I7256" s="318"/>
      <c r="J7256" s="319" t="s">
        <v>178</v>
      </c>
      <c r="K7256" s="320"/>
      <c r="L7256" s="321">
        <f>SUM(L7252:L7255)</f>
        <v>169950</v>
      </c>
    </row>
    <row r="7257" spans="5:13" ht="15" customHeight="1">
      <c r="F7257" s="300" t="s">
        <v>179</v>
      </c>
      <c r="G7257" s="301" t="s">
        <v>180</v>
      </c>
      <c r="H7257" s="302"/>
      <c r="I7257" s="302"/>
      <c r="J7257" s="351"/>
      <c r="K7257" s="328"/>
      <c r="L7257" s="310"/>
    </row>
    <row r="7258" spans="5:13" ht="15" customHeight="1">
      <c r="F7258" s="306"/>
      <c r="G7258" s="301" t="s">
        <v>1323</v>
      </c>
      <c r="H7258" s="302"/>
      <c r="I7258" s="307" t="s">
        <v>45</v>
      </c>
      <c r="J7258" s="432">
        <v>0.3</v>
      </c>
      <c r="K7258" s="328">
        <f>VLOOKUP(G7258,Bahan,6,FALSE)</f>
        <v>39370</v>
      </c>
      <c r="L7258" s="310">
        <f>J7258*K7258</f>
        <v>11811</v>
      </c>
    </row>
    <row r="7259" spans="5:13" ht="15" customHeight="1" thickBot="1">
      <c r="F7259" s="306"/>
      <c r="G7259" s="301" t="s">
        <v>1265</v>
      </c>
      <c r="H7259" s="302"/>
      <c r="I7259" s="307" t="s">
        <v>438</v>
      </c>
      <c r="J7259" s="432">
        <v>0.01</v>
      </c>
      <c r="K7259" s="328">
        <f>VLOOKUP(G7259,Bahan,6,FALSE)</f>
        <v>42000</v>
      </c>
      <c r="L7259" s="310">
        <f>J7259*K7259</f>
        <v>420</v>
      </c>
    </row>
    <row r="7260" spans="5:13" ht="15" customHeight="1" thickBot="1">
      <c r="F7260" s="316"/>
      <c r="G7260" s="317"/>
      <c r="H7260" s="318"/>
      <c r="I7260" s="318"/>
      <c r="J7260" s="319" t="s">
        <v>189</v>
      </c>
      <c r="K7260" s="320"/>
      <c r="L7260" s="321">
        <f>SUM(L7258:L7259)</f>
        <v>12231</v>
      </c>
    </row>
    <row r="7261" spans="5:13" ht="15" customHeight="1" thickBot="1">
      <c r="F7261" s="300" t="s">
        <v>190</v>
      </c>
      <c r="G7261" s="301" t="s">
        <v>191</v>
      </c>
      <c r="H7261" s="302"/>
      <c r="I7261" s="302"/>
      <c r="J7261" s="351"/>
      <c r="K7261" s="328">
        <v>0</v>
      </c>
      <c r="L7261" s="310">
        <f>J7261*K7261</f>
        <v>0</v>
      </c>
    </row>
    <row r="7262" spans="5:13" ht="15" customHeight="1" thickBot="1">
      <c r="F7262" s="316"/>
      <c r="G7262" s="317"/>
      <c r="H7262" s="318"/>
      <c r="I7262" s="318"/>
      <c r="J7262" s="319" t="s">
        <v>192</v>
      </c>
      <c r="K7262" s="320"/>
      <c r="L7262" s="321">
        <f>L7261</f>
        <v>0</v>
      </c>
    </row>
    <row r="7263" spans="5:13" ht="15" customHeight="1">
      <c r="F7263" s="344" t="s">
        <v>193</v>
      </c>
      <c r="G7263" s="345" t="s">
        <v>194</v>
      </c>
      <c r="H7263" s="346"/>
      <c r="I7263" s="346"/>
      <c r="J7263" s="347"/>
      <c r="K7263" s="348">
        <v>0</v>
      </c>
      <c r="L7263" s="310">
        <f>SUM(L7252:L7262)/2</f>
        <v>182181</v>
      </c>
    </row>
    <row r="7264" spans="5:13" ht="15" customHeight="1" thickBot="1">
      <c r="F7264" s="331" t="s">
        <v>195</v>
      </c>
      <c r="G7264" s="332" t="s">
        <v>196</v>
      </c>
      <c r="H7264" s="333"/>
      <c r="I7264" s="333"/>
      <c r="J7264" s="350">
        <v>0.1</v>
      </c>
      <c r="K7264" s="335"/>
      <c r="L7264" s="330">
        <f>J7264*L7263</f>
        <v>18218.100000000002</v>
      </c>
    </row>
    <row r="7265" spans="4:13" ht="15" customHeight="1" thickBot="1">
      <c r="F7265" s="340" t="s">
        <v>197</v>
      </c>
      <c r="G7265" s="341" t="s">
        <v>198</v>
      </c>
      <c r="H7265" s="318"/>
      <c r="I7265" s="318"/>
      <c r="J7265" s="342"/>
      <c r="K7265" s="320">
        <v>0</v>
      </c>
      <c r="L7265" s="321">
        <f>ROUNDDOWN(L7263+L7264,0)</f>
        <v>200399</v>
      </c>
    </row>
    <row r="7266" spans="4:13" ht="15" customHeight="1">
      <c r="F7266" s="298"/>
      <c r="G7266" s="298"/>
      <c r="J7266" s="343"/>
      <c r="K7266" s="355"/>
      <c r="L7266" s="299"/>
    </row>
    <row r="7267" spans="4:13" ht="15" customHeight="1">
      <c r="D7267" s="562" t="s">
        <v>1324</v>
      </c>
      <c r="E7267" s="358" t="s">
        <v>1325</v>
      </c>
      <c r="J7267" s="343"/>
    </row>
    <row r="7268" spans="4:13" ht="15" customHeight="1" thickBot="1">
      <c r="E7268" s="356" t="s">
        <v>1326</v>
      </c>
      <c r="F7268" s="295" t="s">
        <v>1327</v>
      </c>
      <c r="J7268" s="343"/>
      <c r="M7268" s="299">
        <f>L7284</f>
        <v>2407185</v>
      </c>
    </row>
    <row r="7269" spans="4:13" ht="15" customHeight="1" thickBot="1">
      <c r="F7269" s="340" t="s">
        <v>136</v>
      </c>
      <c r="G7269" s="341" t="s">
        <v>162</v>
      </c>
      <c r="H7269" s="352" t="s">
        <v>163</v>
      </c>
      <c r="I7269" s="352" t="s">
        <v>138</v>
      </c>
      <c r="J7269" s="353" t="s">
        <v>164</v>
      </c>
      <c r="K7269" s="341" t="s">
        <v>165</v>
      </c>
      <c r="L7269" s="354" t="s">
        <v>166</v>
      </c>
    </row>
    <row r="7270" spans="4:13" ht="15" customHeight="1">
      <c r="F7270" s="300" t="s">
        <v>167</v>
      </c>
      <c r="G7270" s="301" t="s">
        <v>168</v>
      </c>
      <c r="H7270" s="302"/>
      <c r="I7270" s="302"/>
      <c r="J7270" s="351"/>
      <c r="K7270" s="328"/>
      <c r="L7270" s="310"/>
    </row>
    <row r="7271" spans="4:13" ht="15" customHeight="1">
      <c r="F7271" s="306"/>
      <c r="G7271" s="301" t="s">
        <v>169</v>
      </c>
      <c r="H7271" s="307" t="s">
        <v>170</v>
      </c>
      <c r="I7271" s="429" t="s">
        <v>171</v>
      </c>
      <c r="J7271" s="432">
        <v>3.3</v>
      </c>
      <c r="K7271" s="309">
        <f>VLOOKUP(G7271,Upah,8,FALSE)</f>
        <v>125000</v>
      </c>
      <c r="L7271" s="310">
        <f>J7271*K7271</f>
        <v>412500</v>
      </c>
    </row>
    <row r="7272" spans="4:13" ht="15" customHeight="1">
      <c r="F7272" s="306"/>
      <c r="G7272" s="301" t="s">
        <v>216</v>
      </c>
      <c r="H7272" s="307" t="s">
        <v>217</v>
      </c>
      <c r="I7272" s="429" t="s">
        <v>171</v>
      </c>
      <c r="J7272" s="432">
        <v>1.1000000000000001</v>
      </c>
      <c r="K7272" s="309">
        <f>VLOOKUP(G7272,Upah,8,FALSE)</f>
        <v>150000</v>
      </c>
      <c r="L7272" s="310">
        <f>J7272*K7272</f>
        <v>165000</v>
      </c>
    </row>
    <row r="7273" spans="4:13" ht="15" customHeight="1">
      <c r="F7273" s="306"/>
      <c r="G7273" s="301" t="s">
        <v>232</v>
      </c>
      <c r="H7273" s="307" t="s">
        <v>175</v>
      </c>
      <c r="I7273" s="429" t="s">
        <v>171</v>
      </c>
      <c r="J7273" s="432">
        <v>0.01</v>
      </c>
      <c r="K7273" s="309">
        <f>VLOOKUP(G7273,Upah,8,FALSE)</f>
        <v>165000</v>
      </c>
      <c r="L7273" s="310">
        <f>J7273*K7273</f>
        <v>1650</v>
      </c>
    </row>
    <row r="7274" spans="4:13" ht="15" customHeight="1" thickBot="1">
      <c r="F7274" s="306"/>
      <c r="G7274" s="301" t="s">
        <v>176</v>
      </c>
      <c r="H7274" s="307" t="s">
        <v>177</v>
      </c>
      <c r="I7274" s="429" t="s">
        <v>171</v>
      </c>
      <c r="J7274" s="432">
        <v>0.16</v>
      </c>
      <c r="K7274" s="309">
        <f>VLOOKUP(G7274,Upah,8,FALSE)</f>
        <v>170000</v>
      </c>
      <c r="L7274" s="310">
        <f>J7274*K7274</f>
        <v>27200</v>
      </c>
    </row>
    <row r="7275" spans="4:13" ht="15" customHeight="1" thickBot="1">
      <c r="F7275" s="316"/>
      <c r="G7275" s="317"/>
      <c r="H7275" s="318"/>
      <c r="I7275" s="318"/>
      <c r="J7275" s="319" t="s">
        <v>178</v>
      </c>
      <c r="K7275" s="320"/>
      <c r="L7275" s="321">
        <f>SUM(L7271:L7274)</f>
        <v>606350</v>
      </c>
    </row>
    <row r="7276" spans="4:13" ht="15" customHeight="1">
      <c r="F7276" s="300" t="s">
        <v>179</v>
      </c>
      <c r="G7276" s="301" t="s">
        <v>180</v>
      </c>
      <c r="H7276" s="302"/>
      <c r="I7276" s="302"/>
      <c r="J7276" s="351"/>
      <c r="K7276" s="328"/>
      <c r="L7276" s="310"/>
    </row>
    <row r="7277" spans="4:13" ht="15" customHeight="1">
      <c r="F7277" s="306"/>
      <c r="G7277" s="301" t="s">
        <v>1328</v>
      </c>
      <c r="H7277" s="302"/>
      <c r="I7277" s="429" t="s">
        <v>1329</v>
      </c>
      <c r="J7277" s="432">
        <v>1</v>
      </c>
      <c r="K7277" s="328">
        <f>VLOOKUP(G7277,Bahan,6,FALSE)</f>
        <v>2825000</v>
      </c>
      <c r="L7277" s="310">
        <f>J7277*K7277</f>
        <v>2825000</v>
      </c>
    </row>
    <row r="7278" spans="4:13" ht="15" customHeight="1" thickBot="1">
      <c r="F7278" s="306"/>
      <c r="G7278" s="301" t="s">
        <v>1330</v>
      </c>
      <c r="H7278" s="302"/>
      <c r="I7278" s="429" t="s">
        <v>943</v>
      </c>
      <c r="J7278" s="432">
        <v>0.06</v>
      </c>
      <c r="K7278" s="328">
        <f>L7277</f>
        <v>2825000</v>
      </c>
      <c r="L7278" s="310">
        <f>J7278*K7278</f>
        <v>169500</v>
      </c>
    </row>
    <row r="7279" spans="4:13" ht="15" customHeight="1" thickBot="1">
      <c r="F7279" s="316"/>
      <c r="G7279" s="317"/>
      <c r="H7279" s="318"/>
      <c r="I7279" s="318"/>
      <c r="J7279" s="319" t="s">
        <v>189</v>
      </c>
      <c r="K7279" s="320">
        <f>SUM(K7277:K7278)</f>
        <v>5650000</v>
      </c>
      <c r="L7279" s="321">
        <f>SUM(L7278)</f>
        <v>169500</v>
      </c>
    </row>
    <row r="7280" spans="4:13" ht="15" customHeight="1" thickBot="1">
      <c r="F7280" s="300" t="s">
        <v>190</v>
      </c>
      <c r="G7280" s="301" t="s">
        <v>191</v>
      </c>
      <c r="H7280" s="302"/>
      <c r="I7280" s="302"/>
      <c r="J7280" s="351"/>
      <c r="K7280" s="328">
        <v>0</v>
      </c>
      <c r="L7280" s="310">
        <f>J7280*K7280</f>
        <v>0</v>
      </c>
    </row>
    <row r="7281" spans="5:13" ht="15" customHeight="1" thickBot="1">
      <c r="F7281" s="316"/>
      <c r="G7281" s="317"/>
      <c r="H7281" s="318"/>
      <c r="I7281" s="318"/>
      <c r="J7281" s="319" t="s">
        <v>192</v>
      </c>
      <c r="K7281" s="320"/>
      <c r="L7281" s="321">
        <f>L7280</f>
        <v>0</v>
      </c>
    </row>
    <row r="7282" spans="5:13" ht="15" customHeight="1">
      <c r="F7282" s="344" t="s">
        <v>193</v>
      </c>
      <c r="G7282" s="345" t="s">
        <v>194</v>
      </c>
      <c r="H7282" s="346"/>
      <c r="I7282" s="346"/>
      <c r="J7282" s="347"/>
      <c r="K7282" s="348">
        <v>0</v>
      </c>
      <c r="L7282" s="310">
        <f>SUM(L7271:L7281)/2</f>
        <v>2188350</v>
      </c>
    </row>
    <row r="7283" spans="5:13" ht="15" customHeight="1" thickBot="1">
      <c r="F7283" s="331" t="s">
        <v>195</v>
      </c>
      <c r="G7283" s="332" t="s">
        <v>196</v>
      </c>
      <c r="H7283" s="333"/>
      <c r="I7283" s="333"/>
      <c r="J7283" s="350">
        <v>0.1</v>
      </c>
      <c r="K7283" s="335"/>
      <c r="L7283" s="330">
        <f>J7283*L7282</f>
        <v>218835</v>
      </c>
    </row>
    <row r="7284" spans="5:13" ht="15" customHeight="1" thickBot="1">
      <c r="F7284" s="340" t="s">
        <v>197</v>
      </c>
      <c r="G7284" s="341" t="s">
        <v>198</v>
      </c>
      <c r="H7284" s="318"/>
      <c r="I7284" s="318"/>
      <c r="J7284" s="342"/>
      <c r="K7284" s="320">
        <v>0</v>
      </c>
      <c r="L7284" s="321">
        <f>ROUNDDOWN(L7282+L7283,0)</f>
        <v>2407185</v>
      </c>
    </row>
    <row r="7285" spans="5:13" ht="15" customHeight="1">
      <c r="F7285" s="298"/>
      <c r="G7285" s="298"/>
      <c r="J7285" s="343"/>
    </row>
    <row r="7286" spans="5:13" ht="15" customHeight="1" thickBot="1">
      <c r="E7286" s="356" t="s">
        <v>1331</v>
      </c>
      <c r="F7286" s="295" t="s">
        <v>1332</v>
      </c>
      <c r="J7286" s="343"/>
      <c r="M7286" s="299">
        <f>L7303</f>
        <v>648741</v>
      </c>
    </row>
    <row r="7287" spans="5:13" ht="15" customHeight="1" thickBot="1">
      <c r="F7287" s="340" t="s">
        <v>136</v>
      </c>
      <c r="G7287" s="341" t="s">
        <v>162</v>
      </c>
      <c r="H7287" s="352" t="s">
        <v>163</v>
      </c>
      <c r="I7287" s="352" t="s">
        <v>138</v>
      </c>
      <c r="J7287" s="353" t="s">
        <v>164</v>
      </c>
      <c r="K7287" s="341" t="s">
        <v>165</v>
      </c>
      <c r="L7287" s="354" t="s">
        <v>166</v>
      </c>
    </row>
    <row r="7288" spans="5:13" ht="15" customHeight="1">
      <c r="F7288" s="300" t="s">
        <v>167</v>
      </c>
      <c r="G7288" s="301" t="s">
        <v>168</v>
      </c>
      <c r="H7288" s="302"/>
      <c r="I7288" s="302"/>
      <c r="J7288" s="351"/>
      <c r="K7288" s="328"/>
      <c r="L7288" s="310"/>
    </row>
    <row r="7289" spans="5:13" ht="15" customHeight="1">
      <c r="F7289" s="306"/>
      <c r="G7289" s="301" t="s">
        <v>169</v>
      </c>
      <c r="H7289" s="307" t="s">
        <v>170</v>
      </c>
      <c r="I7289" s="429" t="s">
        <v>171</v>
      </c>
      <c r="J7289" s="432">
        <v>1</v>
      </c>
      <c r="K7289" s="309">
        <f>VLOOKUP(G7289,Upah,8,FALSE)</f>
        <v>125000</v>
      </c>
      <c r="L7289" s="310">
        <f>J7289*K7289</f>
        <v>125000</v>
      </c>
    </row>
    <row r="7290" spans="5:13" ht="15" customHeight="1">
      <c r="F7290" s="306"/>
      <c r="G7290" s="301" t="s">
        <v>216</v>
      </c>
      <c r="H7290" s="307" t="s">
        <v>217</v>
      </c>
      <c r="I7290" s="429" t="s">
        <v>171</v>
      </c>
      <c r="J7290" s="432">
        <v>1.5</v>
      </c>
      <c r="K7290" s="309">
        <f>VLOOKUP(G7290,Upah,8,FALSE)</f>
        <v>150000</v>
      </c>
      <c r="L7290" s="310">
        <f>J7290*K7290</f>
        <v>225000</v>
      </c>
    </row>
    <row r="7291" spans="5:13" ht="15" customHeight="1">
      <c r="F7291" s="306"/>
      <c r="G7291" s="301" t="s">
        <v>232</v>
      </c>
      <c r="H7291" s="307" t="s">
        <v>175</v>
      </c>
      <c r="I7291" s="429" t="s">
        <v>171</v>
      </c>
      <c r="J7291" s="432">
        <v>0.15</v>
      </c>
      <c r="K7291" s="309">
        <f>VLOOKUP(G7291,Upah,8,FALSE)</f>
        <v>165000</v>
      </c>
      <c r="L7291" s="310">
        <f>J7291*K7291</f>
        <v>24750</v>
      </c>
    </row>
    <row r="7292" spans="5:13" ht="15" customHeight="1" thickBot="1">
      <c r="F7292" s="306"/>
      <c r="G7292" s="301" t="s">
        <v>176</v>
      </c>
      <c r="H7292" s="307" t="s">
        <v>177</v>
      </c>
      <c r="I7292" s="429" t="s">
        <v>171</v>
      </c>
      <c r="J7292" s="432">
        <v>0.16</v>
      </c>
      <c r="K7292" s="309">
        <f>VLOOKUP(G7292,Upah,8,FALSE)</f>
        <v>170000</v>
      </c>
      <c r="L7292" s="310">
        <f>J7292*K7292</f>
        <v>27200</v>
      </c>
    </row>
    <row r="7293" spans="5:13" ht="15" customHeight="1" thickBot="1">
      <c r="F7293" s="316"/>
      <c r="G7293" s="317"/>
      <c r="H7293" s="318"/>
      <c r="I7293" s="318"/>
      <c r="J7293" s="319" t="s">
        <v>178</v>
      </c>
      <c r="K7293" s="320"/>
      <c r="L7293" s="321">
        <f>SUM(L7289:L7292)</f>
        <v>401950</v>
      </c>
    </row>
    <row r="7294" spans="5:13" ht="15" customHeight="1">
      <c r="F7294" s="300" t="s">
        <v>179</v>
      </c>
      <c r="G7294" s="301" t="s">
        <v>180</v>
      </c>
      <c r="H7294" s="302"/>
      <c r="I7294" s="302"/>
      <c r="J7294" s="351"/>
      <c r="K7294" s="328"/>
      <c r="L7294" s="310"/>
    </row>
    <row r="7295" spans="5:13" ht="15" customHeight="1">
      <c r="F7295" s="306"/>
      <c r="G7295" s="301" t="s">
        <v>1333</v>
      </c>
      <c r="H7295" s="302"/>
      <c r="I7295" s="429" t="s">
        <v>1329</v>
      </c>
      <c r="J7295" s="432">
        <v>1</v>
      </c>
      <c r="K7295" s="328">
        <f>VLOOKUP(G7295,Bahan,6,FALSE)</f>
        <v>174000</v>
      </c>
      <c r="L7295" s="310">
        <f>J7295*K7295</f>
        <v>174000</v>
      </c>
    </row>
    <row r="7296" spans="5:13" ht="15" customHeight="1">
      <c r="F7296" s="306"/>
      <c r="G7296" s="301" t="s">
        <v>183</v>
      </c>
      <c r="H7296" s="302"/>
      <c r="I7296" s="429" t="s">
        <v>45</v>
      </c>
      <c r="J7296" s="432">
        <v>6</v>
      </c>
      <c r="K7296" s="328">
        <f>VLOOKUP(G7296,Bahan,6,FALSE)</f>
        <v>1880</v>
      </c>
      <c r="L7296" s="310">
        <f>J7296*K7296</f>
        <v>11280</v>
      </c>
    </row>
    <row r="7297" spans="5:13" ht="15" customHeight="1" thickBot="1">
      <c r="F7297" s="306"/>
      <c r="G7297" s="301" t="s">
        <v>219</v>
      </c>
      <c r="H7297" s="302"/>
      <c r="I7297" s="429" t="s">
        <v>292</v>
      </c>
      <c r="J7297" s="432">
        <v>0.01</v>
      </c>
      <c r="K7297" s="328">
        <f>VLOOKUP(G7297,Bahan,6,FALSE)</f>
        <v>253510</v>
      </c>
      <c r="L7297" s="310">
        <f>J7297*K7297</f>
        <v>2535.1</v>
      </c>
    </row>
    <row r="7298" spans="5:13" ht="15" customHeight="1" thickBot="1">
      <c r="F7298" s="316"/>
      <c r="G7298" s="317"/>
      <c r="H7298" s="318"/>
      <c r="I7298" s="318"/>
      <c r="J7298" s="319" t="s">
        <v>189</v>
      </c>
      <c r="K7298" s="320"/>
      <c r="L7298" s="321">
        <f>SUM(L7295:L7297)</f>
        <v>187815.1</v>
      </c>
    </row>
    <row r="7299" spans="5:13" ht="15" customHeight="1" thickBot="1">
      <c r="F7299" s="300" t="s">
        <v>190</v>
      </c>
      <c r="G7299" s="301" t="s">
        <v>191</v>
      </c>
      <c r="H7299" s="302"/>
      <c r="I7299" s="302"/>
      <c r="J7299" s="351"/>
      <c r="K7299" s="328">
        <v>0</v>
      </c>
      <c r="L7299" s="310">
        <f>J7299*K7299</f>
        <v>0</v>
      </c>
    </row>
    <row r="7300" spans="5:13" ht="15" customHeight="1" thickBot="1">
      <c r="F7300" s="316"/>
      <c r="G7300" s="317"/>
      <c r="H7300" s="318"/>
      <c r="I7300" s="318"/>
      <c r="J7300" s="319" t="s">
        <v>192</v>
      </c>
      <c r="K7300" s="320"/>
      <c r="L7300" s="321">
        <f>L7299</f>
        <v>0</v>
      </c>
    </row>
    <row r="7301" spans="5:13" ht="15" customHeight="1">
      <c r="F7301" s="344" t="s">
        <v>193</v>
      </c>
      <c r="G7301" s="345" t="s">
        <v>194</v>
      </c>
      <c r="H7301" s="346"/>
      <c r="I7301" s="346"/>
      <c r="J7301" s="347"/>
      <c r="K7301" s="348">
        <v>0</v>
      </c>
      <c r="L7301" s="310">
        <f>SUM(L7289:L7300)/2</f>
        <v>589765.1</v>
      </c>
    </row>
    <row r="7302" spans="5:13" ht="15" customHeight="1" thickBot="1">
      <c r="F7302" s="331" t="s">
        <v>195</v>
      </c>
      <c r="G7302" s="332" t="s">
        <v>196</v>
      </c>
      <c r="H7302" s="333"/>
      <c r="I7302" s="333"/>
      <c r="J7302" s="350">
        <v>0.1</v>
      </c>
      <c r="K7302" s="335"/>
      <c r="L7302" s="330">
        <f>J7302*L7301</f>
        <v>58976.51</v>
      </c>
    </row>
    <row r="7303" spans="5:13" ht="15" customHeight="1" thickBot="1">
      <c r="F7303" s="340" t="s">
        <v>197</v>
      </c>
      <c r="G7303" s="341" t="s">
        <v>198</v>
      </c>
      <c r="H7303" s="318"/>
      <c r="I7303" s="318"/>
      <c r="J7303" s="342"/>
      <c r="K7303" s="320">
        <v>0</v>
      </c>
      <c r="L7303" s="321">
        <f>ROUNDDOWN(L7301+L7302,0)</f>
        <v>648741</v>
      </c>
    </row>
    <row r="7304" spans="5:13" ht="15" customHeight="1">
      <c r="F7304" s="298"/>
      <c r="G7304" s="298"/>
      <c r="J7304" s="343"/>
    </row>
    <row r="7305" spans="5:13" ht="15" customHeight="1" thickBot="1">
      <c r="E7305" s="356" t="s">
        <v>1334</v>
      </c>
      <c r="F7305" s="295" t="s">
        <v>1335</v>
      </c>
      <c r="J7305" s="343"/>
      <c r="M7305" s="299">
        <f>L7323</f>
        <v>636179</v>
      </c>
    </row>
    <row r="7306" spans="5:13" ht="15" customHeight="1" thickBot="1">
      <c r="F7306" s="340" t="s">
        <v>136</v>
      </c>
      <c r="G7306" s="341" t="s">
        <v>162</v>
      </c>
      <c r="H7306" s="352" t="s">
        <v>163</v>
      </c>
      <c r="I7306" s="352" t="s">
        <v>138</v>
      </c>
      <c r="J7306" s="353" t="s">
        <v>164</v>
      </c>
      <c r="K7306" s="341" t="s">
        <v>165</v>
      </c>
      <c r="L7306" s="354" t="s">
        <v>166</v>
      </c>
    </row>
    <row r="7307" spans="5:13" ht="15" customHeight="1">
      <c r="F7307" s="344" t="s">
        <v>167</v>
      </c>
      <c r="G7307" s="345" t="s">
        <v>168</v>
      </c>
      <c r="H7307" s="346"/>
      <c r="I7307" s="346"/>
      <c r="J7307" s="347"/>
      <c r="K7307" s="348"/>
      <c r="L7307" s="349"/>
    </row>
    <row r="7308" spans="5:13" ht="15" customHeight="1">
      <c r="F7308" s="306"/>
      <c r="G7308" s="301" t="s">
        <v>169</v>
      </c>
      <c r="H7308" s="307" t="s">
        <v>170</v>
      </c>
      <c r="I7308" s="429" t="s">
        <v>171</v>
      </c>
      <c r="J7308" s="432">
        <v>1</v>
      </c>
      <c r="K7308" s="309">
        <f>VLOOKUP(G7308,Upah,8,FALSE)</f>
        <v>125000</v>
      </c>
      <c r="L7308" s="310">
        <f>J7308*K7308</f>
        <v>125000</v>
      </c>
    </row>
    <row r="7309" spans="5:13" ht="15" customHeight="1">
      <c r="F7309" s="306"/>
      <c r="G7309" s="301" t="s">
        <v>216</v>
      </c>
      <c r="H7309" s="307" t="s">
        <v>217</v>
      </c>
      <c r="I7309" s="429" t="s">
        <v>171</v>
      </c>
      <c r="J7309" s="432">
        <v>1.5</v>
      </c>
      <c r="K7309" s="309">
        <f>VLOOKUP(G7309,Upah,8,FALSE)</f>
        <v>150000</v>
      </c>
      <c r="L7309" s="310">
        <f>J7309*K7309</f>
        <v>225000</v>
      </c>
    </row>
    <row r="7310" spans="5:13" ht="15" customHeight="1">
      <c r="F7310" s="306"/>
      <c r="G7310" s="301" t="s">
        <v>232</v>
      </c>
      <c r="H7310" s="307" t="s">
        <v>175</v>
      </c>
      <c r="I7310" s="429" t="s">
        <v>171</v>
      </c>
      <c r="J7310" s="432">
        <v>0.15</v>
      </c>
      <c r="K7310" s="309">
        <f>VLOOKUP(G7310,Upah,8,FALSE)</f>
        <v>165000</v>
      </c>
      <c r="L7310" s="310">
        <f>J7310*K7310</f>
        <v>24750</v>
      </c>
    </row>
    <row r="7311" spans="5:13" ht="15" customHeight="1" thickBot="1">
      <c r="F7311" s="306"/>
      <c r="G7311" s="301" t="s">
        <v>176</v>
      </c>
      <c r="H7311" s="307" t="s">
        <v>177</v>
      </c>
      <c r="I7311" s="429" t="s">
        <v>171</v>
      </c>
      <c r="J7311" s="432">
        <v>0.05</v>
      </c>
      <c r="K7311" s="309">
        <f>VLOOKUP(G7311,Upah,8,FALSE)</f>
        <v>170000</v>
      </c>
      <c r="L7311" s="310">
        <f>J7311*K7311</f>
        <v>8500</v>
      </c>
    </row>
    <row r="7312" spans="5:13" ht="15" customHeight="1" thickBot="1">
      <c r="F7312" s="316"/>
      <c r="G7312" s="317"/>
      <c r="H7312" s="318"/>
      <c r="I7312" s="318"/>
      <c r="J7312" s="319" t="s">
        <v>178</v>
      </c>
      <c r="K7312" s="320"/>
      <c r="L7312" s="321">
        <f>SUM(L7308:L7311)</f>
        <v>383250</v>
      </c>
    </row>
    <row r="7313" spans="5:13" ht="15" customHeight="1">
      <c r="F7313" s="300" t="s">
        <v>179</v>
      </c>
      <c r="G7313" s="301" t="s">
        <v>180</v>
      </c>
      <c r="H7313" s="302"/>
      <c r="I7313" s="302"/>
      <c r="J7313" s="351"/>
      <c r="K7313" s="328"/>
      <c r="L7313" s="310"/>
    </row>
    <row r="7314" spans="5:13" ht="15" customHeight="1">
      <c r="F7314" s="306"/>
      <c r="G7314" s="301" t="s">
        <v>1333</v>
      </c>
      <c r="H7314" s="302"/>
      <c r="I7314" s="429" t="s">
        <v>1329</v>
      </c>
      <c r="J7314" s="432">
        <v>1</v>
      </c>
      <c r="K7314" s="328">
        <f>VLOOKUP(G7314,Bahan,6,FALSE)</f>
        <v>174000</v>
      </c>
      <c r="L7314" s="310">
        <f>J7314*K7314</f>
        <v>174000</v>
      </c>
    </row>
    <row r="7315" spans="5:13" ht="15" customHeight="1">
      <c r="F7315" s="306"/>
      <c r="G7315" s="301" t="s">
        <v>183</v>
      </c>
      <c r="H7315" s="302"/>
      <c r="I7315" s="429" t="s">
        <v>45</v>
      </c>
      <c r="J7315" s="432">
        <v>6</v>
      </c>
      <c r="K7315" s="328">
        <f>VLOOKUP(G7315,Bahan,6,FALSE)</f>
        <v>1880</v>
      </c>
      <c r="L7315" s="310">
        <f>J7315*K7315</f>
        <v>11280</v>
      </c>
    </row>
    <row r="7316" spans="5:13" ht="15" customHeight="1">
      <c r="F7316" s="306"/>
      <c r="G7316" s="301" t="s">
        <v>219</v>
      </c>
      <c r="H7316" s="302"/>
      <c r="I7316" s="429" t="s">
        <v>292</v>
      </c>
      <c r="J7316" s="432">
        <v>0.01</v>
      </c>
      <c r="K7316" s="328">
        <f>VLOOKUP(G7316,Bahan,6,FALSE)</f>
        <v>253510</v>
      </c>
      <c r="L7316" s="310">
        <f>J7316*K7316</f>
        <v>2535.1</v>
      </c>
    </row>
    <row r="7317" spans="5:13" ht="15" customHeight="1" thickBot="1">
      <c r="F7317" s="306"/>
      <c r="G7317" s="301" t="s">
        <v>220</v>
      </c>
      <c r="H7317" s="302"/>
      <c r="I7317" s="429" t="s">
        <v>221</v>
      </c>
      <c r="J7317" s="432">
        <v>7</v>
      </c>
      <c r="K7317" s="328">
        <f>VLOOKUP(G7317,Bahan,6,FALSE)</f>
        <v>1040</v>
      </c>
      <c r="L7317" s="310">
        <f>J7317*K7317</f>
        <v>7280</v>
      </c>
    </row>
    <row r="7318" spans="5:13" ht="15" customHeight="1" thickBot="1">
      <c r="F7318" s="316"/>
      <c r="G7318" s="317"/>
      <c r="H7318" s="318"/>
      <c r="I7318" s="318"/>
      <c r="J7318" s="319" t="s">
        <v>189</v>
      </c>
      <c r="K7318" s="320"/>
      <c r="L7318" s="321">
        <f>SUM(L7314:L7317)</f>
        <v>195095.1</v>
      </c>
    </row>
    <row r="7319" spans="5:13" ht="15" customHeight="1" thickBot="1">
      <c r="F7319" s="300" t="s">
        <v>190</v>
      </c>
      <c r="G7319" s="301" t="s">
        <v>191</v>
      </c>
      <c r="H7319" s="302"/>
      <c r="I7319" s="302"/>
      <c r="J7319" s="351"/>
      <c r="K7319" s="328">
        <v>0</v>
      </c>
      <c r="L7319" s="310">
        <f>J7319*K7319</f>
        <v>0</v>
      </c>
    </row>
    <row r="7320" spans="5:13" ht="15" customHeight="1" thickBot="1">
      <c r="F7320" s="316"/>
      <c r="G7320" s="317"/>
      <c r="H7320" s="318"/>
      <c r="I7320" s="318"/>
      <c r="J7320" s="319" t="s">
        <v>192</v>
      </c>
      <c r="K7320" s="320"/>
      <c r="L7320" s="321">
        <f>L7319</f>
        <v>0</v>
      </c>
    </row>
    <row r="7321" spans="5:13" ht="15" customHeight="1">
      <c r="F7321" s="344" t="s">
        <v>193</v>
      </c>
      <c r="G7321" s="345" t="s">
        <v>194</v>
      </c>
      <c r="H7321" s="346"/>
      <c r="I7321" s="346"/>
      <c r="J7321" s="347"/>
      <c r="K7321" s="348">
        <v>0</v>
      </c>
      <c r="L7321" s="310">
        <f>SUM(L7308:L7320)/2</f>
        <v>578345.1</v>
      </c>
    </row>
    <row r="7322" spans="5:13" ht="15" customHeight="1" thickBot="1">
      <c r="F7322" s="331" t="s">
        <v>195</v>
      </c>
      <c r="G7322" s="332" t="s">
        <v>196</v>
      </c>
      <c r="H7322" s="333"/>
      <c r="I7322" s="333"/>
      <c r="J7322" s="350">
        <v>0.1</v>
      </c>
      <c r="K7322" s="335"/>
      <c r="L7322" s="330">
        <f>J7322*L7321</f>
        <v>57834.51</v>
      </c>
    </row>
    <row r="7323" spans="5:13" ht="15" customHeight="1" thickBot="1">
      <c r="F7323" s="340" t="s">
        <v>197</v>
      </c>
      <c r="G7323" s="341" t="s">
        <v>198</v>
      </c>
      <c r="H7323" s="318"/>
      <c r="I7323" s="318"/>
      <c r="J7323" s="342"/>
      <c r="K7323" s="320">
        <v>0</v>
      </c>
      <c r="L7323" s="321">
        <f>ROUNDDOWN(L7321+L7322,0)</f>
        <v>636179</v>
      </c>
    </row>
    <row r="7324" spans="5:13" ht="15" customHeight="1">
      <c r="F7324" s="298"/>
      <c r="G7324" s="298"/>
      <c r="J7324" s="343"/>
      <c r="K7324" s="355"/>
      <c r="L7324" s="299"/>
    </row>
    <row r="7325" spans="5:13" ht="15" customHeight="1" thickBot="1">
      <c r="E7325" s="356" t="s">
        <v>1336</v>
      </c>
      <c r="F7325" s="295" t="s">
        <v>1337</v>
      </c>
      <c r="J7325" s="343"/>
      <c r="M7325" s="299">
        <f>L7343</f>
        <v>2712115</v>
      </c>
    </row>
    <row r="7326" spans="5:13" ht="15" customHeight="1" thickBot="1">
      <c r="F7326" s="340" t="s">
        <v>136</v>
      </c>
      <c r="G7326" s="341" t="s">
        <v>162</v>
      </c>
      <c r="H7326" s="352" t="s">
        <v>163</v>
      </c>
      <c r="I7326" s="352" t="s">
        <v>138</v>
      </c>
      <c r="J7326" s="353" t="s">
        <v>164</v>
      </c>
      <c r="K7326" s="341" t="s">
        <v>165</v>
      </c>
      <c r="L7326" s="354" t="s">
        <v>166</v>
      </c>
    </row>
    <row r="7327" spans="5:13" ht="15" customHeight="1">
      <c r="F7327" s="300" t="s">
        <v>167</v>
      </c>
      <c r="G7327" s="301" t="s">
        <v>168</v>
      </c>
      <c r="H7327" s="302"/>
      <c r="I7327" s="302"/>
      <c r="J7327" s="351"/>
      <c r="K7327" s="328"/>
      <c r="L7327" s="310"/>
    </row>
    <row r="7328" spans="5:13" ht="15" customHeight="1">
      <c r="F7328" s="306"/>
      <c r="G7328" s="301" t="s">
        <v>169</v>
      </c>
      <c r="H7328" s="307" t="s">
        <v>170</v>
      </c>
      <c r="I7328" s="429" t="s">
        <v>171</v>
      </c>
      <c r="J7328" s="432">
        <v>1</v>
      </c>
      <c r="K7328" s="309">
        <f>VLOOKUP(G7328,Upah,8,FALSE)</f>
        <v>125000</v>
      </c>
      <c r="L7328" s="310">
        <f>J7328*K7328</f>
        <v>125000</v>
      </c>
    </row>
    <row r="7329" spans="6:12" ht="15" customHeight="1">
      <c r="F7329" s="306"/>
      <c r="G7329" s="301" t="s">
        <v>216</v>
      </c>
      <c r="H7329" s="307" t="s">
        <v>217</v>
      </c>
      <c r="I7329" s="429" t="s">
        <v>171</v>
      </c>
      <c r="J7329" s="432">
        <v>1</v>
      </c>
      <c r="K7329" s="309">
        <f>VLOOKUP(G7329,Upah,8,FALSE)</f>
        <v>150000</v>
      </c>
      <c r="L7329" s="310">
        <f>J7329*K7329</f>
        <v>150000</v>
      </c>
    </row>
    <row r="7330" spans="6:12" ht="15" customHeight="1">
      <c r="F7330" s="306"/>
      <c r="G7330" s="301" t="s">
        <v>232</v>
      </c>
      <c r="H7330" s="307" t="s">
        <v>175</v>
      </c>
      <c r="I7330" s="429" t="s">
        <v>171</v>
      </c>
      <c r="J7330" s="432">
        <v>0.1</v>
      </c>
      <c r="K7330" s="309">
        <f>VLOOKUP(G7330,Upah,8,FALSE)</f>
        <v>165000</v>
      </c>
      <c r="L7330" s="310">
        <f>J7330*K7330</f>
        <v>16500</v>
      </c>
    </row>
    <row r="7331" spans="6:12" ht="15" customHeight="1" thickBot="1">
      <c r="F7331" s="306"/>
      <c r="G7331" s="301" t="s">
        <v>176</v>
      </c>
      <c r="H7331" s="307" t="s">
        <v>177</v>
      </c>
      <c r="I7331" s="429" t="s">
        <v>171</v>
      </c>
      <c r="J7331" s="432">
        <v>0.05</v>
      </c>
      <c r="K7331" s="309">
        <f>VLOOKUP(G7331,Upah,8,FALSE)</f>
        <v>170000</v>
      </c>
      <c r="L7331" s="310">
        <f>J7331*K7331</f>
        <v>8500</v>
      </c>
    </row>
    <row r="7332" spans="6:12" ht="15" customHeight="1" thickBot="1">
      <c r="F7332" s="316"/>
      <c r="G7332" s="317"/>
      <c r="H7332" s="318"/>
      <c r="I7332" s="318"/>
      <c r="J7332" s="319" t="s">
        <v>178</v>
      </c>
      <c r="K7332" s="320"/>
      <c r="L7332" s="321">
        <f>SUM(L7328:L7331)</f>
        <v>300000</v>
      </c>
    </row>
    <row r="7333" spans="6:12" ht="15" customHeight="1">
      <c r="F7333" s="300" t="s">
        <v>179</v>
      </c>
      <c r="G7333" s="301" t="s">
        <v>180</v>
      </c>
      <c r="H7333" s="302"/>
      <c r="I7333" s="302"/>
      <c r="J7333" s="351"/>
      <c r="K7333" s="328"/>
      <c r="L7333" s="310"/>
    </row>
    <row r="7334" spans="6:12" ht="15" customHeight="1">
      <c r="F7334" s="306"/>
      <c r="G7334" s="301" t="s">
        <v>1338</v>
      </c>
      <c r="H7334" s="302"/>
      <c r="I7334" s="429" t="s">
        <v>1329</v>
      </c>
      <c r="J7334" s="432">
        <v>1</v>
      </c>
      <c r="K7334" s="328">
        <f>VLOOKUP(G7334,Bahan,6,FALSE)</f>
        <v>1652000</v>
      </c>
      <c r="L7334" s="310">
        <f>J7334*K7334</f>
        <v>1652000</v>
      </c>
    </row>
    <row r="7335" spans="6:12" ht="15" customHeight="1">
      <c r="F7335" s="306"/>
      <c r="G7335" s="301" t="s">
        <v>183</v>
      </c>
      <c r="H7335" s="302"/>
      <c r="I7335" s="429" t="s">
        <v>45</v>
      </c>
      <c r="J7335" s="432">
        <v>6</v>
      </c>
      <c r="K7335" s="328">
        <f>VLOOKUP(G7335,Bahan,6,FALSE)</f>
        <v>1880</v>
      </c>
      <c r="L7335" s="310">
        <f>J7335*K7335</f>
        <v>11280</v>
      </c>
    </row>
    <row r="7336" spans="6:12" ht="15" customHeight="1">
      <c r="F7336" s="306"/>
      <c r="G7336" s="301" t="s">
        <v>219</v>
      </c>
      <c r="H7336" s="302"/>
      <c r="I7336" s="429" t="s">
        <v>292</v>
      </c>
      <c r="J7336" s="432">
        <v>0.01</v>
      </c>
      <c r="K7336" s="328">
        <f>VLOOKUP(G7336,Bahan,6,FALSE)</f>
        <v>253510</v>
      </c>
      <c r="L7336" s="310">
        <f>J7336*K7336</f>
        <v>2535.1</v>
      </c>
    </row>
    <row r="7337" spans="6:12" ht="15" customHeight="1" thickBot="1">
      <c r="F7337" s="306"/>
      <c r="G7337" s="301" t="s">
        <v>1330</v>
      </c>
      <c r="H7337" s="302"/>
      <c r="I7337" s="429" t="s">
        <v>943</v>
      </c>
      <c r="J7337" s="432">
        <v>30</v>
      </c>
      <c r="K7337" s="433">
        <f>SUM(L7334:L7336)/100</f>
        <v>16658.151000000002</v>
      </c>
      <c r="L7337" s="310">
        <f>J7337*K7337</f>
        <v>499744.53</v>
      </c>
    </row>
    <row r="7338" spans="6:12" ht="15" customHeight="1" thickBot="1">
      <c r="F7338" s="316"/>
      <c r="G7338" s="317"/>
      <c r="H7338" s="318"/>
      <c r="I7338" s="318"/>
      <c r="J7338" s="319" t="s">
        <v>189</v>
      </c>
      <c r="K7338" s="320"/>
      <c r="L7338" s="321">
        <f>SUM(L7334:L7337)</f>
        <v>2165559.63</v>
      </c>
    </row>
    <row r="7339" spans="6:12" ht="15" customHeight="1" thickBot="1">
      <c r="F7339" s="300" t="s">
        <v>190</v>
      </c>
      <c r="G7339" s="301" t="s">
        <v>191</v>
      </c>
      <c r="H7339" s="302"/>
      <c r="I7339" s="302"/>
      <c r="J7339" s="351"/>
      <c r="K7339" s="328">
        <v>0</v>
      </c>
      <c r="L7339" s="310">
        <f>J7339*K7339</f>
        <v>0</v>
      </c>
    </row>
    <row r="7340" spans="6:12" ht="15" customHeight="1" thickBot="1">
      <c r="F7340" s="316"/>
      <c r="G7340" s="317"/>
      <c r="H7340" s="318"/>
      <c r="I7340" s="318"/>
      <c r="J7340" s="319" t="s">
        <v>192</v>
      </c>
      <c r="K7340" s="320"/>
      <c r="L7340" s="321">
        <f>L7339</f>
        <v>0</v>
      </c>
    </row>
    <row r="7341" spans="6:12" ht="15" customHeight="1">
      <c r="F7341" s="344" t="s">
        <v>193</v>
      </c>
      <c r="G7341" s="345" t="s">
        <v>194</v>
      </c>
      <c r="H7341" s="346"/>
      <c r="I7341" s="346"/>
      <c r="J7341" s="347"/>
      <c r="K7341" s="348">
        <v>0</v>
      </c>
      <c r="L7341" s="310">
        <f>SUM(L7328:L7340)/2</f>
        <v>2465559.63</v>
      </c>
    </row>
    <row r="7342" spans="6:12" ht="15" customHeight="1" thickBot="1">
      <c r="F7342" s="331" t="s">
        <v>195</v>
      </c>
      <c r="G7342" s="332" t="s">
        <v>196</v>
      </c>
      <c r="H7342" s="333"/>
      <c r="I7342" s="333"/>
      <c r="J7342" s="350">
        <v>0.1</v>
      </c>
      <c r="K7342" s="335"/>
      <c r="L7342" s="330">
        <f>J7342*L7341</f>
        <v>246555.96299999999</v>
      </c>
    </row>
    <row r="7343" spans="6:12" ht="15" customHeight="1" thickBot="1">
      <c r="F7343" s="340" t="s">
        <v>197</v>
      </c>
      <c r="G7343" s="341" t="s">
        <v>198</v>
      </c>
      <c r="H7343" s="318"/>
      <c r="I7343" s="318"/>
      <c r="J7343" s="342"/>
      <c r="K7343" s="320">
        <v>0</v>
      </c>
      <c r="L7343" s="321">
        <f>ROUNDDOWN(L7341+L7342,0)</f>
        <v>2712115</v>
      </c>
    </row>
    <row r="7344" spans="6:12" ht="15" customHeight="1">
      <c r="F7344" s="298"/>
      <c r="G7344" s="298"/>
      <c r="J7344" s="343"/>
      <c r="K7344" s="355"/>
      <c r="L7344" s="299"/>
    </row>
    <row r="7345" spans="5:13" ht="15" customHeight="1" thickBot="1">
      <c r="E7345" s="356" t="s">
        <v>1339</v>
      </c>
      <c r="F7345" s="295" t="s">
        <v>1340</v>
      </c>
      <c r="J7345" s="343"/>
      <c r="M7345" s="299">
        <f>L7363</f>
        <v>1021507</v>
      </c>
    </row>
    <row r="7346" spans="5:13" ht="15" customHeight="1" thickBot="1">
      <c r="F7346" s="340" t="s">
        <v>136</v>
      </c>
      <c r="G7346" s="341" t="s">
        <v>162</v>
      </c>
      <c r="H7346" s="352" t="s">
        <v>163</v>
      </c>
      <c r="I7346" s="352" t="s">
        <v>138</v>
      </c>
      <c r="J7346" s="353" t="s">
        <v>164</v>
      </c>
      <c r="K7346" s="341" t="s">
        <v>165</v>
      </c>
      <c r="L7346" s="354" t="s">
        <v>166</v>
      </c>
    </row>
    <row r="7347" spans="5:13" ht="15" customHeight="1">
      <c r="F7347" s="300" t="s">
        <v>167</v>
      </c>
      <c r="G7347" s="301" t="s">
        <v>168</v>
      </c>
      <c r="H7347" s="302"/>
      <c r="I7347" s="302"/>
      <c r="J7347" s="351"/>
      <c r="K7347" s="328"/>
      <c r="L7347" s="310"/>
    </row>
    <row r="7348" spans="5:13" ht="15" customHeight="1">
      <c r="F7348" s="306"/>
      <c r="G7348" s="301" t="s">
        <v>169</v>
      </c>
      <c r="H7348" s="307" t="s">
        <v>170</v>
      </c>
      <c r="I7348" s="429" t="s">
        <v>171</v>
      </c>
      <c r="J7348" s="432">
        <v>1.2</v>
      </c>
      <c r="K7348" s="309">
        <f>VLOOKUP(G7348,Upah,8,FALSE)</f>
        <v>125000</v>
      </c>
      <c r="L7348" s="310">
        <f>J7348*K7348</f>
        <v>150000</v>
      </c>
    </row>
    <row r="7349" spans="5:13" ht="15" customHeight="1">
      <c r="F7349" s="306"/>
      <c r="G7349" s="301" t="s">
        <v>216</v>
      </c>
      <c r="H7349" s="307" t="s">
        <v>217</v>
      </c>
      <c r="I7349" s="429" t="s">
        <v>171</v>
      </c>
      <c r="J7349" s="432">
        <v>1.45</v>
      </c>
      <c r="K7349" s="309">
        <f>VLOOKUP(G7349,Upah,8,FALSE)</f>
        <v>150000</v>
      </c>
      <c r="L7349" s="310">
        <f>J7349*K7349</f>
        <v>217500</v>
      </c>
    </row>
    <row r="7350" spans="5:13" ht="15" customHeight="1">
      <c r="F7350" s="306"/>
      <c r="G7350" s="301" t="s">
        <v>232</v>
      </c>
      <c r="H7350" s="307" t="s">
        <v>175</v>
      </c>
      <c r="I7350" s="429" t="s">
        <v>171</v>
      </c>
      <c r="J7350" s="432">
        <v>0.15</v>
      </c>
      <c r="K7350" s="309">
        <f>VLOOKUP(G7350,Upah,8,FALSE)</f>
        <v>165000</v>
      </c>
      <c r="L7350" s="310">
        <f>J7350*K7350</f>
        <v>24750</v>
      </c>
    </row>
    <row r="7351" spans="5:13" ht="15" customHeight="1" thickBot="1">
      <c r="F7351" s="306"/>
      <c r="G7351" s="301" t="s">
        <v>176</v>
      </c>
      <c r="H7351" s="307" t="s">
        <v>177</v>
      </c>
      <c r="I7351" s="429" t="s">
        <v>171</v>
      </c>
      <c r="J7351" s="432">
        <v>0.06</v>
      </c>
      <c r="K7351" s="309">
        <f>VLOOKUP(G7351,Upah,8,FALSE)</f>
        <v>170000</v>
      </c>
      <c r="L7351" s="310">
        <f>J7351*K7351</f>
        <v>10200</v>
      </c>
    </row>
    <row r="7352" spans="5:13" ht="15" customHeight="1" thickBot="1">
      <c r="F7352" s="316"/>
      <c r="G7352" s="317"/>
      <c r="H7352" s="318"/>
      <c r="I7352" s="318"/>
      <c r="J7352" s="319" t="s">
        <v>178</v>
      </c>
      <c r="K7352" s="320"/>
      <c r="L7352" s="321">
        <f>SUM(L7348:L7351)</f>
        <v>402450</v>
      </c>
    </row>
    <row r="7353" spans="5:13" ht="15" customHeight="1">
      <c r="F7353" s="300" t="s">
        <v>179</v>
      </c>
      <c r="G7353" s="301" t="s">
        <v>180</v>
      </c>
      <c r="H7353" s="302"/>
      <c r="I7353" s="302"/>
      <c r="J7353" s="351"/>
      <c r="K7353" s="328"/>
      <c r="L7353" s="310"/>
    </row>
    <row r="7354" spans="5:13" ht="15" customHeight="1">
      <c r="F7354" s="306"/>
      <c r="G7354" s="301" t="s">
        <v>1341</v>
      </c>
      <c r="H7354" s="302"/>
      <c r="I7354" s="429" t="s">
        <v>1329</v>
      </c>
      <c r="J7354" s="432">
        <v>1.2</v>
      </c>
      <c r="K7354" s="328">
        <f>VLOOKUP(G7354,Bahan,6,FALSE)</f>
        <v>380000</v>
      </c>
      <c r="L7354" s="310">
        <f>J7354*K7354</f>
        <v>456000</v>
      </c>
    </row>
    <row r="7355" spans="5:13" ht="15" customHeight="1">
      <c r="F7355" s="306"/>
      <c r="G7355" s="301" t="s">
        <v>183</v>
      </c>
      <c r="H7355" s="302"/>
      <c r="I7355" s="429" t="s">
        <v>45</v>
      </c>
      <c r="J7355" s="432">
        <v>6</v>
      </c>
      <c r="K7355" s="328">
        <f>VLOOKUP(G7355,Bahan,6,FALSE)</f>
        <v>1880</v>
      </c>
      <c r="L7355" s="310">
        <f>J7355*K7355</f>
        <v>11280</v>
      </c>
    </row>
    <row r="7356" spans="5:13" ht="15" customHeight="1">
      <c r="F7356" s="306"/>
      <c r="G7356" s="301" t="s">
        <v>219</v>
      </c>
      <c r="H7356" s="302"/>
      <c r="I7356" s="429" t="s">
        <v>292</v>
      </c>
      <c r="J7356" s="432">
        <v>0.01</v>
      </c>
      <c r="K7356" s="328">
        <f>VLOOKUP(G7356,Bahan,6,FALSE)</f>
        <v>253510</v>
      </c>
      <c r="L7356" s="310">
        <f>J7356*K7356</f>
        <v>2535.1</v>
      </c>
    </row>
    <row r="7357" spans="5:13" ht="15" customHeight="1" thickBot="1">
      <c r="F7357" s="306"/>
      <c r="G7357" s="301" t="s">
        <v>1330</v>
      </c>
      <c r="H7357" s="302"/>
      <c r="I7357" s="429" t="s">
        <v>943</v>
      </c>
      <c r="J7357" s="432">
        <v>12</v>
      </c>
      <c r="K7357" s="328">
        <f>SUM(L7354:L7356)/100</f>
        <v>4698.1509999999998</v>
      </c>
      <c r="L7357" s="310">
        <f>J7357*K7357</f>
        <v>56377.811999999998</v>
      </c>
    </row>
    <row r="7358" spans="5:13" ht="15" customHeight="1" thickBot="1">
      <c r="F7358" s="316"/>
      <c r="G7358" s="317"/>
      <c r="H7358" s="318"/>
      <c r="I7358" s="318"/>
      <c r="J7358" s="319" t="s">
        <v>189</v>
      </c>
      <c r="K7358" s="320"/>
      <c r="L7358" s="321">
        <f>SUM(L7354:L7357)</f>
        <v>526192.91200000001</v>
      </c>
    </row>
    <row r="7359" spans="5:13" ht="15" customHeight="1" thickBot="1">
      <c r="F7359" s="300" t="s">
        <v>190</v>
      </c>
      <c r="G7359" s="301" t="s">
        <v>191</v>
      </c>
      <c r="H7359" s="302"/>
      <c r="I7359" s="302"/>
      <c r="J7359" s="351"/>
      <c r="K7359" s="328">
        <v>0</v>
      </c>
      <c r="L7359" s="310">
        <f>J7359*K7359</f>
        <v>0</v>
      </c>
    </row>
    <row r="7360" spans="5:13" ht="15" customHeight="1" thickBot="1">
      <c r="F7360" s="316"/>
      <c r="G7360" s="317"/>
      <c r="H7360" s="318"/>
      <c r="I7360" s="318"/>
      <c r="J7360" s="319" t="s">
        <v>192</v>
      </c>
      <c r="K7360" s="320"/>
      <c r="L7360" s="321">
        <f>L7359</f>
        <v>0</v>
      </c>
    </row>
    <row r="7361" spans="5:13" ht="15" customHeight="1">
      <c r="F7361" s="344" t="s">
        <v>193</v>
      </c>
      <c r="G7361" s="345" t="s">
        <v>194</v>
      </c>
      <c r="H7361" s="346"/>
      <c r="I7361" s="346"/>
      <c r="J7361" s="347"/>
      <c r="K7361" s="348">
        <v>0</v>
      </c>
      <c r="L7361" s="310">
        <f>SUM(L7348:L7360)/2</f>
        <v>928642.91200000001</v>
      </c>
    </row>
    <row r="7362" spans="5:13" ht="15" customHeight="1" thickBot="1">
      <c r="F7362" s="331" t="s">
        <v>195</v>
      </c>
      <c r="G7362" s="332" t="s">
        <v>196</v>
      </c>
      <c r="H7362" s="333"/>
      <c r="I7362" s="333"/>
      <c r="J7362" s="350">
        <v>0.1</v>
      </c>
      <c r="K7362" s="335"/>
      <c r="L7362" s="330">
        <f>J7362*L7361</f>
        <v>92864.291200000007</v>
      </c>
    </row>
    <row r="7363" spans="5:13" ht="15" customHeight="1" thickBot="1">
      <c r="F7363" s="340" t="s">
        <v>197</v>
      </c>
      <c r="G7363" s="341" t="s">
        <v>198</v>
      </c>
      <c r="H7363" s="318"/>
      <c r="I7363" s="318"/>
      <c r="J7363" s="342"/>
      <c r="K7363" s="320">
        <v>0</v>
      </c>
      <c r="L7363" s="321">
        <f>ROUNDDOWN(L7361+L7362,0)</f>
        <v>1021507</v>
      </c>
    </row>
    <row r="7364" spans="5:13" ht="15" customHeight="1">
      <c r="F7364" s="298"/>
      <c r="G7364" s="298"/>
      <c r="J7364" s="343"/>
      <c r="K7364" s="355"/>
      <c r="L7364" s="299"/>
    </row>
    <row r="7365" spans="5:13" ht="15" customHeight="1" thickBot="1">
      <c r="E7365" s="356" t="s">
        <v>1342</v>
      </c>
      <c r="F7365" s="295" t="s">
        <v>1343</v>
      </c>
      <c r="J7365" s="343"/>
      <c r="M7365" s="299">
        <f>L7381</f>
        <v>4576836</v>
      </c>
    </row>
    <row r="7366" spans="5:13" ht="15" customHeight="1" thickBot="1">
      <c r="F7366" s="340" t="s">
        <v>136</v>
      </c>
      <c r="G7366" s="341" t="s">
        <v>162</v>
      </c>
      <c r="H7366" s="352" t="s">
        <v>163</v>
      </c>
      <c r="I7366" s="352" t="s">
        <v>138</v>
      </c>
      <c r="J7366" s="353" t="s">
        <v>164</v>
      </c>
      <c r="K7366" s="341" t="s">
        <v>165</v>
      </c>
      <c r="L7366" s="354" t="s">
        <v>166</v>
      </c>
    </row>
    <row r="7367" spans="5:13" ht="15" customHeight="1">
      <c r="F7367" s="300" t="s">
        <v>167</v>
      </c>
      <c r="G7367" s="301" t="s">
        <v>168</v>
      </c>
      <c r="H7367" s="302"/>
      <c r="I7367" s="302"/>
      <c r="J7367" s="351"/>
      <c r="K7367" s="328"/>
      <c r="L7367" s="310"/>
    </row>
    <row r="7368" spans="5:13" ht="15" customHeight="1">
      <c r="F7368" s="306"/>
      <c r="G7368" s="301" t="s">
        <v>169</v>
      </c>
      <c r="H7368" s="307" t="s">
        <v>170</v>
      </c>
      <c r="I7368" s="429" t="s">
        <v>171</v>
      </c>
      <c r="J7368" s="432">
        <v>7.4999999999999997E-2</v>
      </c>
      <c r="K7368" s="309">
        <f>VLOOKUP(G7368,Upah,8,FALSE)</f>
        <v>125000</v>
      </c>
      <c r="L7368" s="310">
        <f>J7368*K7368</f>
        <v>9375</v>
      </c>
    </row>
    <row r="7369" spans="5:13" ht="15" customHeight="1">
      <c r="F7369" s="306"/>
      <c r="G7369" s="301" t="s">
        <v>216</v>
      </c>
      <c r="H7369" s="307" t="s">
        <v>217</v>
      </c>
      <c r="I7369" s="429" t="s">
        <v>171</v>
      </c>
      <c r="J7369" s="432">
        <v>0.75</v>
      </c>
      <c r="K7369" s="309">
        <f>VLOOKUP(G7369,Upah,8,FALSE)</f>
        <v>150000</v>
      </c>
      <c r="L7369" s="310">
        <f>J7369*K7369</f>
        <v>112500</v>
      </c>
    </row>
    <row r="7370" spans="5:13" ht="15" customHeight="1">
      <c r="F7370" s="306"/>
      <c r="G7370" s="301" t="s">
        <v>232</v>
      </c>
      <c r="H7370" s="307" t="s">
        <v>175</v>
      </c>
      <c r="I7370" s="429" t="s">
        <v>171</v>
      </c>
      <c r="J7370" s="432">
        <v>7.4999999999999997E-2</v>
      </c>
      <c r="K7370" s="309">
        <f>VLOOKUP(G7370,Upah,8,FALSE)</f>
        <v>165000</v>
      </c>
      <c r="L7370" s="310">
        <f>J7370*K7370</f>
        <v>12375</v>
      </c>
    </row>
    <row r="7371" spans="5:13" ht="15" customHeight="1" thickBot="1">
      <c r="F7371" s="306"/>
      <c r="G7371" s="301" t="s">
        <v>176</v>
      </c>
      <c r="H7371" s="307" t="s">
        <v>177</v>
      </c>
      <c r="I7371" s="429" t="s">
        <v>171</v>
      </c>
      <c r="J7371" s="432">
        <v>3.0000000000000001E-3</v>
      </c>
      <c r="K7371" s="309">
        <f>VLOOKUP(G7371,Upah,8,FALSE)</f>
        <v>170000</v>
      </c>
      <c r="L7371" s="310">
        <f>J7371*K7371</f>
        <v>510</v>
      </c>
    </row>
    <row r="7372" spans="5:13" ht="15" customHeight="1" thickBot="1">
      <c r="F7372" s="316"/>
      <c r="G7372" s="317"/>
      <c r="H7372" s="318"/>
      <c r="I7372" s="318"/>
      <c r="J7372" s="319" t="s">
        <v>178</v>
      </c>
      <c r="K7372" s="320"/>
      <c r="L7372" s="321">
        <f>SUM(L7368:L7371)</f>
        <v>134760</v>
      </c>
    </row>
    <row r="7373" spans="5:13" ht="15" customHeight="1">
      <c r="F7373" s="300" t="s">
        <v>179</v>
      </c>
      <c r="G7373" s="301" t="s">
        <v>180</v>
      </c>
      <c r="H7373" s="302"/>
      <c r="I7373" s="302"/>
      <c r="J7373" s="351"/>
      <c r="K7373" s="328"/>
      <c r="L7373" s="310"/>
    </row>
    <row r="7374" spans="5:13" ht="15" customHeight="1">
      <c r="F7374" s="306"/>
      <c r="G7374" s="301" t="s">
        <v>1344</v>
      </c>
      <c r="H7374" s="302"/>
      <c r="I7374" s="429" t="s">
        <v>1329</v>
      </c>
      <c r="J7374" s="432">
        <v>1</v>
      </c>
      <c r="K7374" s="328">
        <f>VLOOKUP(G7374,Bahan,6,FALSE)</f>
        <v>3355000</v>
      </c>
      <c r="L7374" s="310">
        <f>J7374*K7374</f>
        <v>3355000</v>
      </c>
    </row>
    <row r="7375" spans="5:13" ht="15" customHeight="1" thickBot="1">
      <c r="F7375" s="306"/>
      <c r="G7375" s="301" t="s">
        <v>1330</v>
      </c>
      <c r="H7375" s="302"/>
      <c r="I7375" s="429" t="s">
        <v>943</v>
      </c>
      <c r="J7375" s="432">
        <v>20</v>
      </c>
      <c r="K7375" s="328">
        <f>L7374/100</f>
        <v>33550</v>
      </c>
      <c r="L7375" s="310">
        <f>J7375*K7375</f>
        <v>671000</v>
      </c>
    </row>
    <row r="7376" spans="5:13" ht="15" customHeight="1" thickBot="1">
      <c r="F7376" s="316"/>
      <c r="G7376" s="317"/>
      <c r="H7376" s="318"/>
      <c r="I7376" s="318"/>
      <c r="J7376" s="319" t="s">
        <v>189</v>
      </c>
      <c r="K7376" s="320"/>
      <c r="L7376" s="321">
        <f>SUM(L7374:L7375)</f>
        <v>4026000</v>
      </c>
    </row>
    <row r="7377" spans="5:13" ht="15" customHeight="1" thickBot="1">
      <c r="F7377" s="300" t="s">
        <v>190</v>
      </c>
      <c r="G7377" s="301" t="s">
        <v>191</v>
      </c>
      <c r="H7377" s="302"/>
      <c r="I7377" s="302"/>
      <c r="J7377" s="351"/>
      <c r="K7377" s="328">
        <v>0</v>
      </c>
      <c r="L7377" s="310">
        <f>J7377*K7377</f>
        <v>0</v>
      </c>
    </row>
    <row r="7378" spans="5:13" ht="15" customHeight="1" thickBot="1">
      <c r="F7378" s="316"/>
      <c r="G7378" s="317"/>
      <c r="H7378" s="318"/>
      <c r="I7378" s="318"/>
      <c r="J7378" s="319" t="s">
        <v>192</v>
      </c>
      <c r="K7378" s="320"/>
      <c r="L7378" s="321">
        <f>L7377</f>
        <v>0</v>
      </c>
    </row>
    <row r="7379" spans="5:13" ht="15" customHeight="1">
      <c r="F7379" s="344" t="s">
        <v>193</v>
      </c>
      <c r="G7379" s="345" t="s">
        <v>194</v>
      </c>
      <c r="H7379" s="346"/>
      <c r="I7379" s="346"/>
      <c r="J7379" s="347"/>
      <c r="K7379" s="348">
        <v>0</v>
      </c>
      <c r="L7379" s="310">
        <f>SUM(L7368:L7378)/2</f>
        <v>4160760</v>
      </c>
    </row>
    <row r="7380" spans="5:13" ht="15" customHeight="1" thickBot="1">
      <c r="F7380" s="331" t="s">
        <v>195</v>
      </c>
      <c r="G7380" s="332" t="s">
        <v>196</v>
      </c>
      <c r="H7380" s="333"/>
      <c r="I7380" s="333"/>
      <c r="J7380" s="350">
        <v>0.1</v>
      </c>
      <c r="K7380" s="335"/>
      <c r="L7380" s="330">
        <f>J7380*L7379</f>
        <v>416076</v>
      </c>
    </row>
    <row r="7381" spans="5:13" ht="15" customHeight="1" thickBot="1">
      <c r="F7381" s="340" t="s">
        <v>197</v>
      </c>
      <c r="G7381" s="341" t="s">
        <v>198</v>
      </c>
      <c r="H7381" s="318"/>
      <c r="I7381" s="318"/>
      <c r="J7381" s="342"/>
      <c r="K7381" s="320">
        <v>0</v>
      </c>
      <c r="L7381" s="321">
        <f>ROUNDDOWN(L7379+L7380,0)</f>
        <v>4576836</v>
      </c>
    </row>
    <row r="7382" spans="5:13" ht="15" customHeight="1">
      <c r="F7382" s="298"/>
      <c r="G7382" s="298"/>
      <c r="J7382" s="343"/>
      <c r="K7382" s="355"/>
      <c r="L7382" s="299"/>
    </row>
    <row r="7383" spans="5:13" ht="15" customHeight="1" thickBot="1">
      <c r="E7383" s="356" t="s">
        <v>1345</v>
      </c>
      <c r="F7383" s="295" t="s">
        <v>1346</v>
      </c>
      <c r="J7383" s="343"/>
      <c r="M7383" s="299">
        <f>L7399</f>
        <v>1817290</v>
      </c>
    </row>
    <row r="7384" spans="5:13" ht="15" customHeight="1" thickBot="1">
      <c r="F7384" s="340" t="s">
        <v>136</v>
      </c>
      <c r="G7384" s="341" t="s">
        <v>162</v>
      </c>
      <c r="H7384" s="352" t="s">
        <v>163</v>
      </c>
      <c r="I7384" s="352" t="s">
        <v>138</v>
      </c>
      <c r="J7384" s="353" t="s">
        <v>164</v>
      </c>
      <c r="K7384" s="341" t="s">
        <v>165</v>
      </c>
      <c r="L7384" s="354" t="s">
        <v>166</v>
      </c>
    </row>
    <row r="7385" spans="5:13" ht="15" customHeight="1">
      <c r="F7385" s="344" t="s">
        <v>167</v>
      </c>
      <c r="G7385" s="345" t="s">
        <v>168</v>
      </c>
      <c r="H7385" s="346"/>
      <c r="I7385" s="346"/>
      <c r="J7385" s="347"/>
      <c r="K7385" s="348"/>
      <c r="L7385" s="349"/>
    </row>
    <row r="7386" spans="5:13" ht="15" customHeight="1">
      <c r="F7386" s="306"/>
      <c r="G7386" s="301" t="s">
        <v>169</v>
      </c>
      <c r="H7386" s="307" t="s">
        <v>170</v>
      </c>
      <c r="I7386" s="429" t="s">
        <v>171</v>
      </c>
      <c r="J7386" s="432">
        <v>3</v>
      </c>
      <c r="K7386" s="309">
        <f>VLOOKUP(G7386,Upah,8,FALSE)</f>
        <v>125000</v>
      </c>
      <c r="L7386" s="310">
        <f>J7386*K7386</f>
        <v>375000</v>
      </c>
    </row>
    <row r="7387" spans="5:13" ht="15" customHeight="1">
      <c r="F7387" s="306"/>
      <c r="G7387" s="301" t="s">
        <v>216</v>
      </c>
      <c r="H7387" s="307" t="s">
        <v>217</v>
      </c>
      <c r="I7387" s="429" t="s">
        <v>171</v>
      </c>
      <c r="J7387" s="432">
        <v>4.5</v>
      </c>
      <c r="K7387" s="309">
        <f>VLOOKUP(G7387,Upah,8,FALSE)</f>
        <v>150000</v>
      </c>
      <c r="L7387" s="310">
        <f>J7387*K7387</f>
        <v>675000</v>
      </c>
    </row>
    <row r="7388" spans="5:13" ht="15" customHeight="1">
      <c r="F7388" s="306"/>
      <c r="G7388" s="301" t="s">
        <v>232</v>
      </c>
      <c r="H7388" s="307" t="s">
        <v>175</v>
      </c>
      <c r="I7388" s="429" t="s">
        <v>171</v>
      </c>
      <c r="J7388" s="432">
        <v>0.05</v>
      </c>
      <c r="K7388" s="309">
        <f>VLOOKUP(G7388,Upah,8,FALSE)</f>
        <v>165000</v>
      </c>
      <c r="L7388" s="310">
        <f>J7388*K7388</f>
        <v>8250</v>
      </c>
    </row>
    <row r="7389" spans="5:13" ht="15" customHeight="1" thickBot="1">
      <c r="F7389" s="306"/>
      <c r="G7389" s="301" t="s">
        <v>176</v>
      </c>
      <c r="H7389" s="307" t="s">
        <v>177</v>
      </c>
      <c r="I7389" s="429" t="s">
        <v>171</v>
      </c>
      <c r="J7389" s="432">
        <v>0.9</v>
      </c>
      <c r="K7389" s="309">
        <f>VLOOKUP(G7389,Upah,8,FALSE)</f>
        <v>170000</v>
      </c>
      <c r="L7389" s="310">
        <f>J7389*K7389</f>
        <v>153000</v>
      </c>
    </row>
    <row r="7390" spans="5:13" ht="15" customHeight="1" thickBot="1">
      <c r="F7390" s="316"/>
      <c r="G7390" s="317"/>
      <c r="H7390" s="318"/>
      <c r="I7390" s="318"/>
      <c r="J7390" s="319" t="s">
        <v>178</v>
      </c>
      <c r="K7390" s="320"/>
      <c r="L7390" s="321">
        <f>SUM(L7386:L7389)</f>
        <v>1211250</v>
      </c>
    </row>
    <row r="7391" spans="5:13" ht="15" customHeight="1">
      <c r="F7391" s="300" t="s">
        <v>179</v>
      </c>
      <c r="G7391" s="301" t="s">
        <v>180</v>
      </c>
      <c r="H7391" s="302"/>
      <c r="I7391" s="302"/>
      <c r="J7391" s="351"/>
      <c r="K7391" s="328"/>
      <c r="L7391" s="310"/>
    </row>
    <row r="7392" spans="5:13" ht="15" customHeight="1">
      <c r="F7392" s="306"/>
      <c r="G7392" s="301" t="s">
        <v>1347</v>
      </c>
      <c r="H7392" s="302"/>
      <c r="I7392" s="429" t="s">
        <v>1329</v>
      </c>
      <c r="J7392" s="432">
        <v>1</v>
      </c>
      <c r="K7392" s="328">
        <f>VLOOKUP(G7392,Bahan,6,FALSE)</f>
        <v>393600</v>
      </c>
      <c r="L7392" s="310">
        <f>J7392*K7392</f>
        <v>393600</v>
      </c>
    </row>
    <row r="7393" spans="5:13" ht="15" customHeight="1" thickBot="1">
      <c r="F7393" s="306"/>
      <c r="G7393" s="301" t="s">
        <v>1330</v>
      </c>
      <c r="H7393" s="302"/>
      <c r="I7393" s="429" t="s">
        <v>943</v>
      </c>
      <c r="J7393" s="432">
        <v>12</v>
      </c>
      <c r="K7393" s="328">
        <f>L7392/100</f>
        <v>3936</v>
      </c>
      <c r="L7393" s="310">
        <f>J7393*K7393</f>
        <v>47232</v>
      </c>
    </row>
    <row r="7394" spans="5:13" ht="15" customHeight="1" thickBot="1">
      <c r="F7394" s="316"/>
      <c r="G7394" s="317"/>
      <c r="H7394" s="318"/>
      <c r="I7394" s="318"/>
      <c r="J7394" s="319" t="s">
        <v>189</v>
      </c>
      <c r="K7394" s="320"/>
      <c r="L7394" s="321">
        <f>SUM(L7392:L7393)</f>
        <v>440832</v>
      </c>
    </row>
    <row r="7395" spans="5:13" ht="15" customHeight="1" thickBot="1">
      <c r="F7395" s="300" t="s">
        <v>190</v>
      </c>
      <c r="G7395" s="301" t="s">
        <v>191</v>
      </c>
      <c r="H7395" s="302"/>
      <c r="I7395" s="302"/>
      <c r="J7395" s="351"/>
      <c r="K7395" s="328">
        <v>0</v>
      </c>
      <c r="L7395" s="310">
        <f>J7395*K7395</f>
        <v>0</v>
      </c>
    </row>
    <row r="7396" spans="5:13" ht="15" customHeight="1" thickBot="1">
      <c r="F7396" s="316"/>
      <c r="G7396" s="317"/>
      <c r="H7396" s="318"/>
      <c r="I7396" s="318"/>
      <c r="J7396" s="319" t="s">
        <v>192</v>
      </c>
      <c r="K7396" s="320"/>
      <c r="L7396" s="321">
        <f>L7395</f>
        <v>0</v>
      </c>
    </row>
    <row r="7397" spans="5:13" ht="15" customHeight="1">
      <c r="F7397" s="344" t="s">
        <v>193</v>
      </c>
      <c r="G7397" s="345" t="s">
        <v>194</v>
      </c>
      <c r="H7397" s="346"/>
      <c r="I7397" s="346"/>
      <c r="J7397" s="347"/>
      <c r="K7397" s="348">
        <v>0</v>
      </c>
      <c r="L7397" s="310">
        <f>SUM(L7386:L7396)/2</f>
        <v>1652082</v>
      </c>
    </row>
    <row r="7398" spans="5:13" ht="15" customHeight="1" thickBot="1">
      <c r="F7398" s="331" t="s">
        <v>195</v>
      </c>
      <c r="G7398" s="332" t="s">
        <v>196</v>
      </c>
      <c r="H7398" s="333"/>
      <c r="I7398" s="333"/>
      <c r="J7398" s="350">
        <v>0.1</v>
      </c>
      <c r="K7398" s="335"/>
      <c r="L7398" s="330">
        <f>J7398*L7397</f>
        <v>165208.20000000001</v>
      </c>
    </row>
    <row r="7399" spans="5:13" ht="15" customHeight="1" thickBot="1">
      <c r="F7399" s="340" t="s">
        <v>197</v>
      </c>
      <c r="G7399" s="341" t="s">
        <v>198</v>
      </c>
      <c r="H7399" s="318"/>
      <c r="I7399" s="318"/>
      <c r="J7399" s="342"/>
      <c r="K7399" s="320">
        <v>0</v>
      </c>
      <c r="L7399" s="321">
        <f>ROUNDDOWN(L7397+L7398,0)</f>
        <v>1817290</v>
      </c>
    </row>
    <row r="7400" spans="5:13" ht="15" customHeight="1">
      <c r="F7400" s="298"/>
      <c r="G7400" s="298"/>
      <c r="J7400" s="343"/>
      <c r="K7400" s="355"/>
      <c r="L7400" s="299"/>
    </row>
    <row r="7401" spans="5:13" ht="15" customHeight="1" thickBot="1">
      <c r="E7401" s="356" t="s">
        <v>1348</v>
      </c>
      <c r="F7401" s="295" t="s">
        <v>1349</v>
      </c>
      <c r="J7401" s="343"/>
      <c r="M7401" s="299">
        <f>L7420</f>
        <v>5170674</v>
      </c>
    </row>
    <row r="7402" spans="5:13" ht="15" customHeight="1" thickBot="1">
      <c r="F7402" s="340" t="s">
        <v>136</v>
      </c>
      <c r="G7402" s="341" t="s">
        <v>162</v>
      </c>
      <c r="H7402" s="352" t="s">
        <v>163</v>
      </c>
      <c r="I7402" s="352" t="s">
        <v>138</v>
      </c>
      <c r="J7402" s="353" t="s">
        <v>164</v>
      </c>
      <c r="K7402" s="341" t="s">
        <v>165</v>
      </c>
      <c r="L7402" s="354" t="s">
        <v>166</v>
      </c>
    </row>
    <row r="7403" spans="5:13" ht="15" customHeight="1">
      <c r="F7403" s="300" t="s">
        <v>167</v>
      </c>
      <c r="G7403" s="301" t="s">
        <v>168</v>
      </c>
      <c r="H7403" s="302"/>
      <c r="I7403" s="302"/>
      <c r="J7403" s="351"/>
      <c r="K7403" s="328"/>
      <c r="L7403" s="310"/>
    </row>
    <row r="7404" spans="5:13" ht="15" customHeight="1">
      <c r="F7404" s="306"/>
      <c r="G7404" s="301" t="s">
        <v>169</v>
      </c>
      <c r="H7404" s="307" t="s">
        <v>170</v>
      </c>
      <c r="I7404" s="429" t="s">
        <v>171</v>
      </c>
      <c r="J7404" s="432">
        <v>6</v>
      </c>
      <c r="K7404" s="309">
        <f>VLOOKUP(G7404,Upah,8,FALSE)</f>
        <v>125000</v>
      </c>
      <c r="L7404" s="310">
        <f>J7404*K7404</f>
        <v>750000</v>
      </c>
    </row>
    <row r="7405" spans="5:13" ht="15" customHeight="1">
      <c r="F7405" s="306"/>
      <c r="G7405" s="301" t="s">
        <v>216</v>
      </c>
      <c r="H7405" s="307" t="s">
        <v>217</v>
      </c>
      <c r="I7405" s="429" t="s">
        <v>171</v>
      </c>
      <c r="J7405" s="432">
        <v>3</v>
      </c>
      <c r="K7405" s="309">
        <f>VLOOKUP(G7405,Upah,8,FALSE)</f>
        <v>150000</v>
      </c>
      <c r="L7405" s="310">
        <f>J7405*K7405</f>
        <v>450000</v>
      </c>
    </row>
    <row r="7406" spans="5:13" ht="15" customHeight="1">
      <c r="F7406" s="306"/>
      <c r="G7406" s="301" t="s">
        <v>232</v>
      </c>
      <c r="H7406" s="307" t="s">
        <v>175</v>
      </c>
      <c r="I7406" s="429" t="s">
        <v>171</v>
      </c>
      <c r="J7406" s="432">
        <v>0.3</v>
      </c>
      <c r="K7406" s="309">
        <f>VLOOKUP(G7406,Upah,8,FALSE)</f>
        <v>165000</v>
      </c>
      <c r="L7406" s="310">
        <f>J7406*K7406</f>
        <v>49500</v>
      </c>
    </row>
    <row r="7407" spans="5:13" ht="15" customHeight="1" thickBot="1">
      <c r="F7407" s="306"/>
      <c r="G7407" s="301" t="s">
        <v>176</v>
      </c>
      <c r="H7407" s="307" t="s">
        <v>177</v>
      </c>
      <c r="I7407" s="429" t="s">
        <v>171</v>
      </c>
      <c r="J7407" s="432">
        <v>0.03</v>
      </c>
      <c r="K7407" s="309">
        <f>VLOOKUP(G7407,Upah,8,FALSE)</f>
        <v>170000</v>
      </c>
      <c r="L7407" s="310">
        <f>J7407*K7407</f>
        <v>5100</v>
      </c>
    </row>
    <row r="7408" spans="5:13" ht="15" customHeight="1" thickBot="1">
      <c r="F7408" s="316"/>
      <c r="G7408" s="317"/>
      <c r="H7408" s="318"/>
      <c r="I7408" s="318"/>
      <c r="J7408" s="319" t="s">
        <v>178</v>
      </c>
      <c r="K7408" s="320"/>
      <c r="L7408" s="321">
        <f>SUM(L7404:L7407)</f>
        <v>1254600</v>
      </c>
    </row>
    <row r="7409" spans="5:13" ht="15" customHeight="1">
      <c r="F7409" s="300" t="s">
        <v>179</v>
      </c>
      <c r="G7409" s="301" t="s">
        <v>180</v>
      </c>
      <c r="H7409" s="302"/>
      <c r="I7409" s="302"/>
      <c r="J7409" s="351"/>
      <c r="K7409" s="328"/>
      <c r="L7409" s="310"/>
    </row>
    <row r="7410" spans="5:13" ht="15" customHeight="1">
      <c r="F7410" s="306"/>
      <c r="G7410" s="301" t="s">
        <v>220</v>
      </c>
      <c r="H7410" s="302"/>
      <c r="I7410" s="429" t="s">
        <v>292</v>
      </c>
      <c r="J7410" s="432">
        <v>150</v>
      </c>
      <c r="K7410" s="328">
        <f>VLOOKUP(G7410,Bahan,6,FALSE)</f>
        <v>1040</v>
      </c>
      <c r="L7410" s="310">
        <f>J7410*K7410</f>
        <v>156000</v>
      </c>
    </row>
    <row r="7411" spans="5:13" ht="15" customHeight="1">
      <c r="F7411" s="306"/>
      <c r="G7411" s="301" t="s">
        <v>183</v>
      </c>
      <c r="H7411" s="302"/>
      <c r="I7411" s="429" t="s">
        <v>45</v>
      </c>
      <c r="J7411" s="432">
        <v>120</v>
      </c>
      <c r="K7411" s="328">
        <f>VLOOKUP(G7411,Bahan,6,FALSE)</f>
        <v>1880</v>
      </c>
      <c r="L7411" s="310">
        <f>J7411*K7411</f>
        <v>225600</v>
      </c>
    </row>
    <row r="7412" spans="5:13" ht="15" customHeight="1">
      <c r="F7412" s="306"/>
      <c r="G7412" s="301" t="s">
        <v>219</v>
      </c>
      <c r="H7412" s="302"/>
      <c r="I7412" s="429" t="s">
        <v>292</v>
      </c>
      <c r="J7412" s="432">
        <v>0.3</v>
      </c>
      <c r="K7412" s="328">
        <f>VLOOKUP(G7412,Bahan,6,FALSE)</f>
        <v>253510</v>
      </c>
      <c r="L7412" s="310">
        <f>J7412*K7412</f>
        <v>76053</v>
      </c>
    </row>
    <row r="7413" spans="5:13" ht="15" customHeight="1">
      <c r="F7413" s="306"/>
      <c r="G7413" s="301" t="s">
        <v>1350</v>
      </c>
      <c r="H7413" s="302"/>
      <c r="I7413" s="429" t="s">
        <v>36</v>
      </c>
      <c r="J7413" s="432">
        <v>360</v>
      </c>
      <c r="K7413" s="328">
        <f>VLOOKUP(G7413,Bahan,6,FALSE)</f>
        <v>8260</v>
      </c>
      <c r="L7413" s="310">
        <f>J7413*K7413</f>
        <v>2973600</v>
      </c>
    </row>
    <row r="7414" spans="5:13" ht="15" customHeight="1" thickBot="1">
      <c r="F7414" s="306"/>
      <c r="G7414" s="301" t="s">
        <v>840</v>
      </c>
      <c r="H7414" s="302"/>
      <c r="I7414" s="429" t="s">
        <v>45</v>
      </c>
      <c r="J7414" s="432">
        <v>6</v>
      </c>
      <c r="K7414" s="328">
        <f>VLOOKUP(G7414,Bahan,6,FALSE)</f>
        <v>2460</v>
      </c>
      <c r="L7414" s="310">
        <f>J7414*K7414</f>
        <v>14760</v>
      </c>
    </row>
    <row r="7415" spans="5:13" ht="15" customHeight="1" thickBot="1">
      <c r="F7415" s="316"/>
      <c r="G7415" s="317"/>
      <c r="H7415" s="318"/>
      <c r="I7415" s="318"/>
      <c r="J7415" s="319" t="s">
        <v>189</v>
      </c>
      <c r="K7415" s="320"/>
      <c r="L7415" s="321">
        <f>SUM(L7410:L7414)</f>
        <v>3446013</v>
      </c>
    </row>
    <row r="7416" spans="5:13" ht="15" customHeight="1" thickBot="1">
      <c r="F7416" s="300" t="s">
        <v>190</v>
      </c>
      <c r="G7416" s="301" t="s">
        <v>191</v>
      </c>
      <c r="H7416" s="302"/>
      <c r="I7416" s="302"/>
      <c r="J7416" s="351"/>
      <c r="K7416" s="328">
        <v>0</v>
      </c>
      <c r="L7416" s="310">
        <f>J7416*K7416</f>
        <v>0</v>
      </c>
    </row>
    <row r="7417" spans="5:13" ht="15" customHeight="1" thickBot="1">
      <c r="F7417" s="316"/>
      <c r="G7417" s="317"/>
      <c r="H7417" s="318"/>
      <c r="I7417" s="318"/>
      <c r="J7417" s="319" t="s">
        <v>192</v>
      </c>
      <c r="K7417" s="320"/>
      <c r="L7417" s="321">
        <f>L7416</f>
        <v>0</v>
      </c>
    </row>
    <row r="7418" spans="5:13" ht="15" customHeight="1">
      <c r="F7418" s="344" t="s">
        <v>193</v>
      </c>
      <c r="G7418" s="345" t="s">
        <v>194</v>
      </c>
      <c r="H7418" s="346"/>
      <c r="I7418" s="346"/>
      <c r="J7418" s="347"/>
      <c r="K7418" s="348">
        <v>0</v>
      </c>
      <c r="L7418" s="310">
        <f>SUM(L7404:L7417)/2</f>
        <v>4700613</v>
      </c>
    </row>
    <row r="7419" spans="5:13" ht="15" customHeight="1" thickBot="1">
      <c r="F7419" s="331" t="s">
        <v>195</v>
      </c>
      <c r="G7419" s="332" t="s">
        <v>196</v>
      </c>
      <c r="H7419" s="333"/>
      <c r="I7419" s="333"/>
      <c r="J7419" s="350">
        <v>0.1</v>
      </c>
      <c r="K7419" s="335"/>
      <c r="L7419" s="330">
        <f>J7419*L7418</f>
        <v>470061.30000000005</v>
      </c>
    </row>
    <row r="7420" spans="5:13" ht="15" customHeight="1" thickBot="1">
      <c r="F7420" s="340" t="s">
        <v>197</v>
      </c>
      <c r="G7420" s="341" t="s">
        <v>198</v>
      </c>
      <c r="H7420" s="318"/>
      <c r="I7420" s="318"/>
      <c r="J7420" s="342"/>
      <c r="K7420" s="320">
        <v>0</v>
      </c>
      <c r="L7420" s="321">
        <f>ROUNDDOWN(L7418+L7419,0)</f>
        <v>5170674</v>
      </c>
    </row>
    <row r="7421" spans="5:13" ht="15" customHeight="1">
      <c r="F7421" s="298"/>
      <c r="G7421" s="298"/>
      <c r="J7421" s="343"/>
      <c r="K7421" s="355"/>
      <c r="L7421" s="299"/>
    </row>
    <row r="7422" spans="5:13" ht="15" customHeight="1" thickBot="1">
      <c r="E7422" s="356" t="s">
        <v>1351</v>
      </c>
      <c r="F7422" s="295" t="s">
        <v>1352</v>
      </c>
      <c r="J7422" s="343"/>
      <c r="M7422" s="299">
        <f>L7438</f>
        <v>1817290</v>
      </c>
    </row>
    <row r="7423" spans="5:13" ht="15" customHeight="1" thickBot="1">
      <c r="F7423" s="340" t="s">
        <v>136</v>
      </c>
      <c r="G7423" s="341" t="s">
        <v>162</v>
      </c>
      <c r="H7423" s="352" t="s">
        <v>163</v>
      </c>
      <c r="I7423" s="352" t="s">
        <v>138</v>
      </c>
      <c r="J7423" s="353" t="s">
        <v>164</v>
      </c>
      <c r="K7423" s="341" t="s">
        <v>165</v>
      </c>
      <c r="L7423" s="354" t="s">
        <v>166</v>
      </c>
    </row>
    <row r="7424" spans="5:13" ht="15" customHeight="1">
      <c r="F7424" s="344" t="s">
        <v>167</v>
      </c>
      <c r="G7424" s="345" t="s">
        <v>168</v>
      </c>
      <c r="H7424" s="346"/>
      <c r="I7424" s="346"/>
      <c r="J7424" s="347"/>
      <c r="K7424" s="348"/>
      <c r="L7424" s="349"/>
    </row>
    <row r="7425" spans="5:13" ht="15" customHeight="1">
      <c r="F7425" s="306"/>
      <c r="G7425" s="301" t="s">
        <v>169</v>
      </c>
      <c r="H7425" s="307" t="s">
        <v>170</v>
      </c>
      <c r="I7425" s="429" t="s">
        <v>171</v>
      </c>
      <c r="J7425" s="432">
        <v>3</v>
      </c>
      <c r="K7425" s="309">
        <f>VLOOKUP(G7425,Upah,8,FALSE)</f>
        <v>125000</v>
      </c>
      <c r="L7425" s="310">
        <f>J7425*K7425</f>
        <v>375000</v>
      </c>
    </row>
    <row r="7426" spans="5:13" ht="15" customHeight="1">
      <c r="F7426" s="306"/>
      <c r="G7426" s="301" t="s">
        <v>216</v>
      </c>
      <c r="H7426" s="307" t="s">
        <v>217</v>
      </c>
      <c r="I7426" s="429" t="s">
        <v>171</v>
      </c>
      <c r="J7426" s="432">
        <v>4.5</v>
      </c>
      <c r="K7426" s="309">
        <f>VLOOKUP(G7426,Upah,8,FALSE)</f>
        <v>150000</v>
      </c>
      <c r="L7426" s="310">
        <f>J7426*K7426</f>
        <v>675000</v>
      </c>
    </row>
    <row r="7427" spans="5:13" ht="15" customHeight="1">
      <c r="F7427" s="306"/>
      <c r="G7427" s="301" t="s">
        <v>232</v>
      </c>
      <c r="H7427" s="307" t="s">
        <v>175</v>
      </c>
      <c r="I7427" s="429" t="s">
        <v>171</v>
      </c>
      <c r="J7427" s="432">
        <v>0.05</v>
      </c>
      <c r="K7427" s="309">
        <f>VLOOKUP(G7427,Upah,8,FALSE)</f>
        <v>165000</v>
      </c>
      <c r="L7427" s="310">
        <f>J7427*K7427</f>
        <v>8250</v>
      </c>
    </row>
    <row r="7428" spans="5:13" ht="15" customHeight="1" thickBot="1">
      <c r="F7428" s="306"/>
      <c r="G7428" s="301" t="s">
        <v>176</v>
      </c>
      <c r="H7428" s="307" t="s">
        <v>177</v>
      </c>
      <c r="I7428" s="429" t="s">
        <v>171</v>
      </c>
      <c r="J7428" s="432">
        <v>0.9</v>
      </c>
      <c r="K7428" s="309">
        <f>VLOOKUP(G7428,Upah,8,FALSE)</f>
        <v>170000</v>
      </c>
      <c r="L7428" s="310">
        <f>J7428*K7428</f>
        <v>153000</v>
      </c>
    </row>
    <row r="7429" spans="5:13" ht="15" customHeight="1" thickBot="1">
      <c r="F7429" s="316"/>
      <c r="G7429" s="317"/>
      <c r="H7429" s="318"/>
      <c r="I7429" s="318"/>
      <c r="J7429" s="319" t="s">
        <v>178</v>
      </c>
      <c r="K7429" s="320"/>
      <c r="L7429" s="321">
        <f>SUM(L7425:L7428)</f>
        <v>1211250</v>
      </c>
    </row>
    <row r="7430" spans="5:13" ht="15" customHeight="1">
      <c r="F7430" s="300" t="s">
        <v>179</v>
      </c>
      <c r="G7430" s="301" t="s">
        <v>180</v>
      </c>
      <c r="H7430" s="302"/>
      <c r="I7430" s="302"/>
      <c r="J7430" s="351"/>
      <c r="K7430" s="328"/>
      <c r="L7430" s="310"/>
    </row>
    <row r="7431" spans="5:13" ht="15" customHeight="1">
      <c r="F7431" s="306"/>
      <c r="G7431" s="301" t="s">
        <v>1347</v>
      </c>
      <c r="H7431" s="302"/>
      <c r="I7431" s="429" t="s">
        <v>1329</v>
      </c>
      <c r="J7431" s="432">
        <v>1</v>
      </c>
      <c r="K7431" s="328">
        <f>VLOOKUP(G7431,Bahan,6,FALSE)</f>
        <v>393600</v>
      </c>
      <c r="L7431" s="310">
        <f>J7431*K7431</f>
        <v>393600</v>
      </c>
    </row>
    <row r="7432" spans="5:13" ht="15" customHeight="1" thickBot="1">
      <c r="F7432" s="306"/>
      <c r="G7432" s="301" t="s">
        <v>1330</v>
      </c>
      <c r="H7432" s="302"/>
      <c r="I7432" s="429" t="s">
        <v>943</v>
      </c>
      <c r="J7432" s="432">
        <v>12</v>
      </c>
      <c r="K7432" s="328">
        <f>L7431/100</f>
        <v>3936</v>
      </c>
      <c r="L7432" s="310">
        <f>J7432*K7432</f>
        <v>47232</v>
      </c>
    </row>
    <row r="7433" spans="5:13" ht="15" customHeight="1" thickBot="1">
      <c r="F7433" s="316"/>
      <c r="G7433" s="317"/>
      <c r="H7433" s="318"/>
      <c r="I7433" s="318"/>
      <c r="J7433" s="319" t="s">
        <v>189</v>
      </c>
      <c r="K7433" s="320"/>
      <c r="L7433" s="321">
        <f>SUM(L7431:L7432)</f>
        <v>440832</v>
      </c>
    </row>
    <row r="7434" spans="5:13" ht="15" customHeight="1" thickBot="1">
      <c r="F7434" s="300" t="s">
        <v>190</v>
      </c>
      <c r="G7434" s="301" t="s">
        <v>191</v>
      </c>
      <c r="H7434" s="302"/>
      <c r="I7434" s="302"/>
      <c r="J7434" s="351"/>
      <c r="K7434" s="328">
        <v>0</v>
      </c>
      <c r="L7434" s="310">
        <f>J7434*K7434</f>
        <v>0</v>
      </c>
    </row>
    <row r="7435" spans="5:13" ht="15" customHeight="1" thickBot="1">
      <c r="F7435" s="316"/>
      <c r="G7435" s="317"/>
      <c r="H7435" s="318"/>
      <c r="I7435" s="318"/>
      <c r="J7435" s="319" t="s">
        <v>192</v>
      </c>
      <c r="K7435" s="320"/>
      <c r="L7435" s="321">
        <f>L7434</f>
        <v>0</v>
      </c>
    </row>
    <row r="7436" spans="5:13" ht="15" customHeight="1">
      <c r="F7436" s="344" t="s">
        <v>193</v>
      </c>
      <c r="G7436" s="345" t="s">
        <v>194</v>
      </c>
      <c r="H7436" s="346"/>
      <c r="I7436" s="346"/>
      <c r="J7436" s="347"/>
      <c r="K7436" s="348">
        <v>0</v>
      </c>
      <c r="L7436" s="310">
        <f>SUM(L7425:L7435)/2</f>
        <v>1652082</v>
      </c>
    </row>
    <row r="7437" spans="5:13" ht="15" customHeight="1" thickBot="1">
      <c r="F7437" s="380" t="s">
        <v>195</v>
      </c>
      <c r="G7437" s="381" t="s">
        <v>196</v>
      </c>
      <c r="H7437" s="382"/>
      <c r="I7437" s="382"/>
      <c r="J7437" s="423">
        <v>0.1</v>
      </c>
      <c r="K7437" s="384"/>
      <c r="L7437" s="367">
        <f>J7437*L7436</f>
        <v>165208.20000000001</v>
      </c>
    </row>
    <row r="7438" spans="5:13" ht="15" customHeight="1" thickBot="1">
      <c r="F7438" s="340" t="s">
        <v>197</v>
      </c>
      <c r="G7438" s="341" t="s">
        <v>198</v>
      </c>
      <c r="H7438" s="318"/>
      <c r="I7438" s="318"/>
      <c r="J7438" s="342"/>
      <c r="K7438" s="320">
        <v>0</v>
      </c>
      <c r="L7438" s="321">
        <f>ROUNDDOWN(L7436+L7437,0)</f>
        <v>1817290</v>
      </c>
    </row>
    <row r="7439" spans="5:13" ht="15" customHeight="1">
      <c r="F7439" s="298"/>
      <c r="G7439" s="298"/>
      <c r="J7439" s="343"/>
      <c r="K7439" s="355"/>
      <c r="L7439" s="299"/>
    </row>
    <row r="7440" spans="5:13" ht="15" customHeight="1" thickBot="1">
      <c r="E7440" s="356" t="s">
        <v>1353</v>
      </c>
      <c r="F7440" s="295" t="s">
        <v>1354</v>
      </c>
      <c r="J7440" s="343"/>
      <c r="M7440" s="299">
        <f>L7456</f>
        <v>611387</v>
      </c>
    </row>
    <row r="7441" spans="6:12" ht="15" customHeight="1" thickBot="1">
      <c r="F7441" s="340" t="s">
        <v>136</v>
      </c>
      <c r="G7441" s="341" t="s">
        <v>162</v>
      </c>
      <c r="H7441" s="352" t="s">
        <v>163</v>
      </c>
      <c r="I7441" s="352" t="s">
        <v>138</v>
      </c>
      <c r="J7441" s="353" t="s">
        <v>164</v>
      </c>
      <c r="K7441" s="341" t="s">
        <v>165</v>
      </c>
      <c r="L7441" s="354" t="s">
        <v>166</v>
      </c>
    </row>
    <row r="7442" spans="6:12" ht="15" customHeight="1">
      <c r="F7442" s="344" t="s">
        <v>167</v>
      </c>
      <c r="G7442" s="345" t="s">
        <v>168</v>
      </c>
      <c r="H7442" s="346"/>
      <c r="I7442" s="346"/>
      <c r="J7442" s="347"/>
      <c r="K7442" s="348"/>
      <c r="L7442" s="349"/>
    </row>
    <row r="7443" spans="6:12" ht="15" customHeight="1">
      <c r="F7443" s="306"/>
      <c r="G7443" s="301" t="s">
        <v>169</v>
      </c>
      <c r="H7443" s="307" t="s">
        <v>170</v>
      </c>
      <c r="I7443" s="429" t="s">
        <v>171</v>
      </c>
      <c r="J7443" s="432">
        <v>0.3</v>
      </c>
      <c r="K7443" s="309">
        <f>VLOOKUP(G7443,Upah,8,FALSE)</f>
        <v>125000</v>
      </c>
      <c r="L7443" s="310">
        <f>J7443*K7443</f>
        <v>37500</v>
      </c>
    </row>
    <row r="7444" spans="6:12" ht="15" customHeight="1">
      <c r="F7444" s="306"/>
      <c r="G7444" s="301" t="s">
        <v>216</v>
      </c>
      <c r="H7444" s="307" t="s">
        <v>217</v>
      </c>
      <c r="I7444" s="429" t="s">
        <v>171</v>
      </c>
      <c r="J7444" s="432">
        <v>0.45</v>
      </c>
      <c r="K7444" s="309">
        <f>VLOOKUP(G7444,Upah,8,FALSE)</f>
        <v>150000</v>
      </c>
      <c r="L7444" s="310">
        <f>J7444*K7444</f>
        <v>67500</v>
      </c>
    </row>
    <row r="7445" spans="6:12" ht="15" customHeight="1">
      <c r="F7445" s="306"/>
      <c r="G7445" s="301" t="s">
        <v>232</v>
      </c>
      <c r="H7445" s="307" t="s">
        <v>175</v>
      </c>
      <c r="I7445" s="429" t="s">
        <v>171</v>
      </c>
      <c r="J7445" s="432">
        <v>4.4999999999999998E-2</v>
      </c>
      <c r="K7445" s="309">
        <f>VLOOKUP(G7445,Upah,8,FALSE)</f>
        <v>165000</v>
      </c>
      <c r="L7445" s="310">
        <f>J7445*K7445</f>
        <v>7425</v>
      </c>
    </row>
    <row r="7446" spans="6:12" ht="15" customHeight="1" thickBot="1">
      <c r="F7446" s="306"/>
      <c r="G7446" s="301" t="s">
        <v>176</v>
      </c>
      <c r="H7446" s="307" t="s">
        <v>177</v>
      </c>
      <c r="I7446" s="429" t="s">
        <v>171</v>
      </c>
      <c r="J7446" s="432">
        <v>1.4999999999999999E-2</v>
      </c>
      <c r="K7446" s="309">
        <f>VLOOKUP(G7446,Upah,8,FALSE)</f>
        <v>170000</v>
      </c>
      <c r="L7446" s="310">
        <f>J7446*K7446</f>
        <v>2550</v>
      </c>
    </row>
    <row r="7447" spans="6:12" ht="15" customHeight="1" thickBot="1">
      <c r="F7447" s="316"/>
      <c r="G7447" s="317"/>
      <c r="H7447" s="318"/>
      <c r="I7447" s="318"/>
      <c r="J7447" s="319" t="s">
        <v>178</v>
      </c>
      <c r="K7447" s="320"/>
      <c r="L7447" s="321">
        <f>SUM(L7443:L7446)</f>
        <v>114975</v>
      </c>
    </row>
    <row r="7448" spans="6:12" ht="15" customHeight="1">
      <c r="F7448" s="300" t="s">
        <v>179</v>
      </c>
      <c r="G7448" s="301" t="s">
        <v>180</v>
      </c>
      <c r="H7448" s="302"/>
      <c r="I7448" s="302"/>
      <c r="J7448" s="351"/>
      <c r="K7448" s="328"/>
      <c r="L7448" s="310"/>
    </row>
    <row r="7449" spans="6:12" ht="15" customHeight="1">
      <c r="F7449" s="306"/>
      <c r="G7449" s="301" t="s">
        <v>1347</v>
      </c>
      <c r="H7449" s="302"/>
      <c r="I7449" s="429" t="s">
        <v>1329</v>
      </c>
      <c r="J7449" s="432">
        <v>1</v>
      </c>
      <c r="K7449" s="328">
        <f>VLOOKUP(G7449,Bahan,6,FALSE)</f>
        <v>393600</v>
      </c>
      <c r="L7449" s="310">
        <f>J7449*K7449</f>
        <v>393600</v>
      </c>
    </row>
    <row r="7450" spans="6:12" ht="15" customHeight="1" thickBot="1">
      <c r="F7450" s="306"/>
      <c r="G7450" s="301" t="s">
        <v>1330</v>
      </c>
      <c r="H7450" s="302"/>
      <c r="I7450" s="429" t="s">
        <v>943</v>
      </c>
      <c r="J7450" s="432">
        <v>12</v>
      </c>
      <c r="K7450" s="328">
        <f>L7449/100</f>
        <v>3936</v>
      </c>
      <c r="L7450" s="310">
        <f>J7450*K7450</f>
        <v>47232</v>
      </c>
    </row>
    <row r="7451" spans="6:12" ht="15" customHeight="1" thickBot="1">
      <c r="F7451" s="316"/>
      <c r="G7451" s="317"/>
      <c r="H7451" s="318"/>
      <c r="I7451" s="318"/>
      <c r="J7451" s="319" t="s">
        <v>189</v>
      </c>
      <c r="K7451" s="320"/>
      <c r="L7451" s="321">
        <f>SUM(L7449:L7450)</f>
        <v>440832</v>
      </c>
    </row>
    <row r="7452" spans="6:12" ht="15" customHeight="1" thickBot="1">
      <c r="F7452" s="300" t="s">
        <v>190</v>
      </c>
      <c r="G7452" s="301" t="s">
        <v>191</v>
      </c>
      <c r="H7452" s="302"/>
      <c r="I7452" s="302"/>
      <c r="J7452" s="351"/>
      <c r="K7452" s="328">
        <v>0</v>
      </c>
      <c r="L7452" s="310">
        <f>J7452*K7452</f>
        <v>0</v>
      </c>
    </row>
    <row r="7453" spans="6:12" ht="15" customHeight="1" thickBot="1">
      <c r="F7453" s="316"/>
      <c r="G7453" s="317"/>
      <c r="H7453" s="318"/>
      <c r="I7453" s="318"/>
      <c r="J7453" s="319" t="s">
        <v>192</v>
      </c>
      <c r="K7453" s="320"/>
      <c r="L7453" s="321">
        <f>L7452</f>
        <v>0</v>
      </c>
    </row>
    <row r="7454" spans="6:12" ht="15" customHeight="1">
      <c r="F7454" s="344" t="s">
        <v>193</v>
      </c>
      <c r="G7454" s="345" t="s">
        <v>194</v>
      </c>
      <c r="H7454" s="346"/>
      <c r="I7454" s="346"/>
      <c r="J7454" s="347"/>
      <c r="K7454" s="348">
        <v>0</v>
      </c>
      <c r="L7454" s="310">
        <f>SUM(L7443:L7453)/2</f>
        <v>555807</v>
      </c>
    </row>
    <row r="7455" spans="6:12" ht="15" customHeight="1" thickBot="1">
      <c r="F7455" s="331" t="s">
        <v>195</v>
      </c>
      <c r="G7455" s="332" t="s">
        <v>196</v>
      </c>
      <c r="H7455" s="333"/>
      <c r="I7455" s="333"/>
      <c r="J7455" s="350">
        <v>0.1</v>
      </c>
      <c r="K7455" s="335"/>
      <c r="L7455" s="330">
        <f>J7455*L7454</f>
        <v>55580.700000000004</v>
      </c>
    </row>
    <row r="7456" spans="6:12" ht="15" customHeight="1" thickBot="1">
      <c r="F7456" s="340" t="s">
        <v>197</v>
      </c>
      <c r="G7456" s="341" t="s">
        <v>198</v>
      </c>
      <c r="H7456" s="318"/>
      <c r="I7456" s="318"/>
      <c r="J7456" s="342"/>
      <c r="K7456" s="320">
        <v>0</v>
      </c>
      <c r="L7456" s="321">
        <f>ROUNDDOWN(L7454+L7455,0)</f>
        <v>611387</v>
      </c>
    </row>
    <row r="7457" spans="5:13" ht="15" customHeight="1">
      <c r="F7457" s="298"/>
      <c r="G7457" s="298"/>
      <c r="J7457" s="343"/>
      <c r="K7457" s="355"/>
      <c r="L7457" s="299"/>
    </row>
    <row r="7458" spans="5:13" ht="15" customHeight="1" thickBot="1">
      <c r="E7458" s="356" t="s">
        <v>1355</v>
      </c>
      <c r="F7458" s="295" t="s">
        <v>1356</v>
      </c>
      <c r="J7458" s="343"/>
      <c r="M7458" s="299">
        <f>L7477</f>
        <v>26569961</v>
      </c>
    </row>
    <row r="7459" spans="5:13" ht="15" customHeight="1" thickBot="1">
      <c r="F7459" s="340" t="s">
        <v>136</v>
      </c>
      <c r="G7459" s="341" t="s">
        <v>162</v>
      </c>
      <c r="H7459" s="352" t="s">
        <v>163</v>
      </c>
      <c r="I7459" s="352" t="s">
        <v>138</v>
      </c>
      <c r="J7459" s="353" t="s">
        <v>164</v>
      </c>
      <c r="K7459" s="341" t="s">
        <v>165</v>
      </c>
      <c r="L7459" s="354" t="s">
        <v>166</v>
      </c>
    </row>
    <row r="7460" spans="5:13" ht="15" customHeight="1">
      <c r="F7460" s="344" t="s">
        <v>167</v>
      </c>
      <c r="G7460" s="345" t="s">
        <v>168</v>
      </c>
      <c r="H7460" s="346"/>
      <c r="I7460" s="346"/>
      <c r="J7460" s="347"/>
      <c r="K7460" s="348"/>
      <c r="L7460" s="349"/>
    </row>
    <row r="7461" spans="5:13" ht="15" customHeight="1">
      <c r="F7461" s="306"/>
      <c r="G7461" s="301" t="s">
        <v>169</v>
      </c>
      <c r="H7461" s="307" t="s">
        <v>170</v>
      </c>
      <c r="I7461" s="429" t="s">
        <v>171</v>
      </c>
      <c r="J7461" s="432">
        <v>3.5</v>
      </c>
      <c r="K7461" s="309">
        <f>VLOOKUP(G7461,Upah,8,FALSE)</f>
        <v>125000</v>
      </c>
      <c r="L7461" s="310">
        <f>J7461*K7461</f>
        <v>437500</v>
      </c>
    </row>
    <row r="7462" spans="5:13" ht="15" customHeight="1">
      <c r="F7462" s="306"/>
      <c r="G7462" s="301" t="s">
        <v>216</v>
      </c>
      <c r="H7462" s="307" t="s">
        <v>217</v>
      </c>
      <c r="I7462" s="429" t="s">
        <v>171</v>
      </c>
      <c r="J7462" s="432">
        <v>4.5</v>
      </c>
      <c r="K7462" s="309">
        <f>VLOOKUP(G7462,Upah,8,FALSE)</f>
        <v>150000</v>
      </c>
      <c r="L7462" s="310">
        <f>J7462*K7462</f>
        <v>675000</v>
      </c>
    </row>
    <row r="7463" spans="5:13" ht="15" customHeight="1">
      <c r="F7463" s="306"/>
      <c r="G7463" s="301" t="s">
        <v>232</v>
      </c>
      <c r="H7463" s="307" t="s">
        <v>175</v>
      </c>
      <c r="I7463" s="429" t="s">
        <v>171</v>
      </c>
      <c r="J7463" s="432">
        <v>0.05</v>
      </c>
      <c r="K7463" s="309">
        <f>VLOOKUP(G7463,Upah,8,FALSE)</f>
        <v>165000</v>
      </c>
      <c r="L7463" s="310">
        <f>J7463*K7463</f>
        <v>8250</v>
      </c>
    </row>
    <row r="7464" spans="5:13" ht="15" customHeight="1" thickBot="1">
      <c r="F7464" s="306"/>
      <c r="G7464" s="301" t="s">
        <v>176</v>
      </c>
      <c r="H7464" s="307" t="s">
        <v>177</v>
      </c>
      <c r="I7464" s="429" t="s">
        <v>171</v>
      </c>
      <c r="J7464" s="432">
        <v>1.7999999999999999E-2</v>
      </c>
      <c r="K7464" s="309">
        <f>VLOOKUP(G7464,Upah,8,FALSE)</f>
        <v>170000</v>
      </c>
      <c r="L7464" s="310">
        <f>J7464*K7464</f>
        <v>3059.9999999999995</v>
      </c>
    </row>
    <row r="7465" spans="5:13" ht="15" customHeight="1" thickBot="1">
      <c r="F7465" s="316"/>
      <c r="G7465" s="317"/>
      <c r="H7465" s="318"/>
      <c r="I7465" s="318"/>
      <c r="J7465" s="319" t="s">
        <v>178</v>
      </c>
      <c r="K7465" s="320"/>
      <c r="L7465" s="321">
        <f>SUM(L7461:L7464)</f>
        <v>1123810</v>
      </c>
    </row>
    <row r="7466" spans="5:13" ht="15" customHeight="1">
      <c r="F7466" s="300" t="s">
        <v>179</v>
      </c>
      <c r="G7466" s="301" t="s">
        <v>180</v>
      </c>
      <c r="H7466" s="302"/>
      <c r="I7466" s="302"/>
      <c r="J7466" s="351"/>
      <c r="K7466" s="328"/>
      <c r="L7466" s="310"/>
    </row>
    <row r="7467" spans="5:13" ht="15" customHeight="1">
      <c r="F7467" s="306"/>
      <c r="G7467" s="301" t="s">
        <v>1357</v>
      </c>
      <c r="H7467" s="302"/>
      <c r="I7467" s="429" t="s">
        <v>292</v>
      </c>
      <c r="J7467" s="432">
        <v>0.9</v>
      </c>
      <c r="K7467" s="328">
        <f>VLOOKUP(G7467,Bahan,6,FALSE)</f>
        <v>1464000</v>
      </c>
      <c r="L7467" s="310">
        <f>J7467*K7467</f>
        <v>1317600</v>
      </c>
    </row>
    <row r="7468" spans="5:13" ht="15" customHeight="1">
      <c r="F7468" s="306"/>
      <c r="G7468" s="301" t="s">
        <v>1358</v>
      </c>
      <c r="H7468" s="302"/>
      <c r="I7468" s="429" t="s">
        <v>45</v>
      </c>
      <c r="J7468" s="432">
        <v>180</v>
      </c>
      <c r="K7468" s="328">
        <f>VLOOKUP(G7468,Bahan,6,FALSE)</f>
        <v>20830</v>
      </c>
      <c r="L7468" s="310">
        <f>J7468*K7468</f>
        <v>3749400</v>
      </c>
    </row>
    <row r="7469" spans="5:13" ht="15" customHeight="1">
      <c r="F7469" s="306"/>
      <c r="G7469" s="301" t="s">
        <v>1359</v>
      </c>
      <c r="H7469" s="302"/>
      <c r="I7469" s="429" t="s">
        <v>614</v>
      </c>
      <c r="J7469" s="432">
        <v>8</v>
      </c>
      <c r="K7469" s="328">
        <f>VLOOKUP(G7469,Bahan,6,FALSE)</f>
        <v>1500000</v>
      </c>
      <c r="L7469" s="310">
        <f>J7469*K7469</f>
        <v>12000000</v>
      </c>
    </row>
    <row r="7470" spans="5:13" ht="15" customHeight="1">
      <c r="F7470" s="306"/>
      <c r="G7470" s="301" t="s">
        <v>1360</v>
      </c>
      <c r="H7470" s="302"/>
      <c r="I7470" s="429" t="s">
        <v>221</v>
      </c>
      <c r="J7470" s="432">
        <v>500</v>
      </c>
      <c r="K7470" s="328">
        <f>VLOOKUP(G7470,Bahan,6,FALSE)</f>
        <v>7740</v>
      </c>
      <c r="L7470" s="310">
        <f>J7470*K7470</f>
        <v>3870000</v>
      </c>
    </row>
    <row r="7471" spans="5:13" ht="15" customHeight="1" thickBot="1">
      <c r="F7471" s="306"/>
      <c r="G7471" s="301" t="s">
        <v>1330</v>
      </c>
      <c r="H7471" s="302"/>
      <c r="I7471" s="429" t="s">
        <v>943</v>
      </c>
      <c r="J7471" s="432">
        <v>10</v>
      </c>
      <c r="K7471" s="328">
        <f>SUM(L7467:L7470)/100</f>
        <v>209370</v>
      </c>
      <c r="L7471" s="310">
        <f>J7471*K7471</f>
        <v>2093700</v>
      </c>
    </row>
    <row r="7472" spans="5:13" ht="15" customHeight="1" thickBot="1">
      <c r="F7472" s="316"/>
      <c r="G7472" s="317"/>
      <c r="H7472" s="318"/>
      <c r="I7472" s="318"/>
      <c r="J7472" s="319" t="s">
        <v>189</v>
      </c>
      <c r="K7472" s="320"/>
      <c r="L7472" s="321">
        <f>SUM(L7467:L7471)</f>
        <v>23030700</v>
      </c>
    </row>
    <row r="7473" spans="5:13" ht="15" customHeight="1" thickBot="1">
      <c r="F7473" s="300" t="s">
        <v>190</v>
      </c>
      <c r="G7473" s="301" t="s">
        <v>191</v>
      </c>
      <c r="H7473" s="302"/>
      <c r="I7473" s="302"/>
      <c r="J7473" s="351"/>
      <c r="K7473" s="328">
        <v>0</v>
      </c>
      <c r="L7473" s="310">
        <f>J7473*K7473</f>
        <v>0</v>
      </c>
    </row>
    <row r="7474" spans="5:13" ht="15" customHeight="1" thickBot="1">
      <c r="F7474" s="316"/>
      <c r="G7474" s="317"/>
      <c r="H7474" s="318"/>
      <c r="I7474" s="318"/>
      <c r="J7474" s="319" t="s">
        <v>192</v>
      </c>
      <c r="K7474" s="320"/>
      <c r="L7474" s="321">
        <f>L7473</f>
        <v>0</v>
      </c>
    </row>
    <row r="7475" spans="5:13" ht="15" customHeight="1">
      <c r="F7475" s="344" t="s">
        <v>193</v>
      </c>
      <c r="G7475" s="345" t="s">
        <v>194</v>
      </c>
      <c r="H7475" s="346"/>
      <c r="I7475" s="346"/>
      <c r="J7475" s="347"/>
      <c r="K7475" s="348">
        <v>0</v>
      </c>
      <c r="L7475" s="310">
        <f>SUM(L7461:L7474)/2</f>
        <v>24154510</v>
      </c>
    </row>
    <row r="7476" spans="5:13" ht="15" customHeight="1" thickBot="1">
      <c r="F7476" s="331" t="s">
        <v>195</v>
      </c>
      <c r="G7476" s="332" t="s">
        <v>196</v>
      </c>
      <c r="H7476" s="333"/>
      <c r="I7476" s="333"/>
      <c r="J7476" s="350">
        <v>0.1</v>
      </c>
      <c r="K7476" s="335"/>
      <c r="L7476" s="330">
        <f>J7476*L7475</f>
        <v>2415451</v>
      </c>
    </row>
    <row r="7477" spans="5:13" ht="15" customHeight="1" thickBot="1">
      <c r="F7477" s="340" t="s">
        <v>197</v>
      </c>
      <c r="G7477" s="341" t="s">
        <v>198</v>
      </c>
      <c r="H7477" s="318"/>
      <c r="I7477" s="318"/>
      <c r="J7477" s="342"/>
      <c r="K7477" s="320">
        <v>0</v>
      </c>
      <c r="L7477" s="321">
        <f>ROUNDDOWN(L7475+L7476,0)</f>
        <v>26569961</v>
      </c>
    </row>
    <row r="7478" spans="5:13" ht="15" customHeight="1">
      <c r="F7478" s="298"/>
      <c r="G7478" s="298"/>
      <c r="J7478" s="343"/>
      <c r="K7478" s="355"/>
      <c r="L7478" s="299"/>
    </row>
    <row r="7479" spans="5:13" ht="15" customHeight="1" thickBot="1">
      <c r="E7479" s="356" t="s">
        <v>1361</v>
      </c>
      <c r="F7479" s="295" t="s">
        <v>1362</v>
      </c>
      <c r="J7479" s="343"/>
      <c r="M7479" s="299">
        <f>L7495</f>
        <v>678315</v>
      </c>
    </row>
    <row r="7480" spans="5:13" ht="15" customHeight="1" thickBot="1">
      <c r="F7480" s="340" t="s">
        <v>136</v>
      </c>
      <c r="G7480" s="341" t="s">
        <v>162</v>
      </c>
      <c r="H7480" s="352" t="s">
        <v>163</v>
      </c>
      <c r="I7480" s="352" t="s">
        <v>138</v>
      </c>
      <c r="J7480" s="353" t="s">
        <v>164</v>
      </c>
      <c r="K7480" s="341" t="s">
        <v>165</v>
      </c>
      <c r="L7480" s="354" t="s">
        <v>166</v>
      </c>
    </row>
    <row r="7481" spans="5:13" ht="15" customHeight="1">
      <c r="F7481" s="300" t="s">
        <v>167</v>
      </c>
      <c r="G7481" s="301" t="s">
        <v>168</v>
      </c>
      <c r="H7481" s="302"/>
      <c r="I7481" s="302"/>
      <c r="J7481" s="351"/>
      <c r="K7481" s="328"/>
      <c r="L7481" s="310"/>
    </row>
    <row r="7482" spans="5:13" ht="15" customHeight="1">
      <c r="F7482" s="306"/>
      <c r="G7482" s="301" t="s">
        <v>169</v>
      </c>
      <c r="H7482" s="307" t="s">
        <v>170</v>
      </c>
      <c r="I7482" s="429" t="s">
        <v>171</v>
      </c>
      <c r="J7482" s="432">
        <v>0.03</v>
      </c>
      <c r="K7482" s="309">
        <f>VLOOKUP(G7482,Upah,8,FALSE)</f>
        <v>125000</v>
      </c>
      <c r="L7482" s="310">
        <f>J7482*K7482</f>
        <v>3750</v>
      </c>
    </row>
    <row r="7483" spans="5:13" ht="15" customHeight="1">
      <c r="F7483" s="306"/>
      <c r="G7483" s="301" t="s">
        <v>216</v>
      </c>
      <c r="H7483" s="307" t="s">
        <v>217</v>
      </c>
      <c r="I7483" s="429" t="s">
        <v>171</v>
      </c>
      <c r="J7483" s="432">
        <v>0.3</v>
      </c>
      <c r="K7483" s="309">
        <f>VLOOKUP(G7483,Upah,8,FALSE)</f>
        <v>150000</v>
      </c>
      <c r="L7483" s="310">
        <f>J7483*K7483</f>
        <v>45000</v>
      </c>
    </row>
    <row r="7484" spans="5:13" ht="15" customHeight="1">
      <c r="F7484" s="306"/>
      <c r="G7484" s="301" t="s">
        <v>232</v>
      </c>
      <c r="H7484" s="307" t="s">
        <v>175</v>
      </c>
      <c r="I7484" s="429" t="s">
        <v>171</v>
      </c>
      <c r="J7484" s="432">
        <v>0.03</v>
      </c>
      <c r="K7484" s="309">
        <f>VLOOKUP(G7484,Upah,8,FALSE)</f>
        <v>165000</v>
      </c>
      <c r="L7484" s="310">
        <f>J7484*K7484</f>
        <v>4950</v>
      </c>
    </row>
    <row r="7485" spans="5:13" ht="15" customHeight="1" thickBot="1">
      <c r="F7485" s="306"/>
      <c r="G7485" s="301" t="s">
        <v>176</v>
      </c>
      <c r="H7485" s="307" t="s">
        <v>177</v>
      </c>
      <c r="I7485" s="429" t="s">
        <v>171</v>
      </c>
      <c r="J7485" s="432">
        <v>1.4999999999999999E-2</v>
      </c>
      <c r="K7485" s="309">
        <f>VLOOKUP(G7485,Upah,8,FALSE)</f>
        <v>170000</v>
      </c>
      <c r="L7485" s="310">
        <f>J7485*K7485</f>
        <v>2550</v>
      </c>
    </row>
    <row r="7486" spans="5:13" ht="15" customHeight="1" thickBot="1">
      <c r="F7486" s="316"/>
      <c r="G7486" s="317"/>
      <c r="H7486" s="318"/>
      <c r="I7486" s="318"/>
      <c r="J7486" s="319" t="s">
        <v>178</v>
      </c>
      <c r="K7486" s="320"/>
      <c r="L7486" s="321">
        <f>SUM(L7482:L7485)</f>
        <v>56250</v>
      </c>
    </row>
    <row r="7487" spans="5:13" ht="15" customHeight="1">
      <c r="F7487" s="300" t="s">
        <v>179</v>
      </c>
      <c r="G7487" s="301" t="s">
        <v>180</v>
      </c>
      <c r="H7487" s="302"/>
      <c r="I7487" s="302"/>
      <c r="J7487" s="351"/>
      <c r="K7487" s="328"/>
      <c r="L7487" s="310"/>
    </row>
    <row r="7488" spans="5:13" ht="15" customHeight="1">
      <c r="F7488" s="306"/>
      <c r="G7488" s="301" t="s">
        <v>1363</v>
      </c>
      <c r="H7488" s="302"/>
      <c r="I7488" s="429" t="s">
        <v>1329</v>
      </c>
      <c r="J7488" s="432">
        <v>1</v>
      </c>
      <c r="K7488" s="328">
        <f>VLOOKUP(G7488,Bahan,6,FALSE)</f>
        <v>473000</v>
      </c>
      <c r="L7488" s="310">
        <f>J7488*K7488</f>
        <v>473000</v>
      </c>
    </row>
    <row r="7489" spans="5:13" ht="15" customHeight="1" thickBot="1">
      <c r="F7489" s="306"/>
      <c r="G7489" s="301" t="s">
        <v>1364</v>
      </c>
      <c r="H7489" s="302"/>
      <c r="I7489" s="429" t="s">
        <v>221</v>
      </c>
      <c r="J7489" s="432">
        <v>1</v>
      </c>
      <c r="K7489" s="328">
        <f>VLOOKUP(G7489,Bahan,6,FALSE)</f>
        <v>87400</v>
      </c>
      <c r="L7489" s="310">
        <f>J7489*K7489</f>
        <v>87400</v>
      </c>
    </row>
    <row r="7490" spans="5:13" ht="15" customHeight="1" thickBot="1">
      <c r="F7490" s="316"/>
      <c r="G7490" s="317"/>
      <c r="H7490" s="318"/>
      <c r="I7490" s="318"/>
      <c r="J7490" s="319" t="s">
        <v>189</v>
      </c>
      <c r="K7490" s="320"/>
      <c r="L7490" s="321">
        <f>SUM(L7488:L7489)</f>
        <v>560400</v>
      </c>
    </row>
    <row r="7491" spans="5:13" ht="15" customHeight="1" thickBot="1">
      <c r="F7491" s="300" t="s">
        <v>190</v>
      </c>
      <c r="G7491" s="301" t="s">
        <v>191</v>
      </c>
      <c r="H7491" s="302"/>
      <c r="I7491" s="302"/>
      <c r="J7491" s="351"/>
      <c r="K7491" s="328">
        <v>0</v>
      </c>
      <c r="L7491" s="310">
        <f>J7491*K7491</f>
        <v>0</v>
      </c>
    </row>
    <row r="7492" spans="5:13" ht="15" customHeight="1" thickBot="1">
      <c r="F7492" s="316"/>
      <c r="G7492" s="317"/>
      <c r="H7492" s="318"/>
      <c r="I7492" s="318"/>
      <c r="J7492" s="319" t="s">
        <v>192</v>
      </c>
      <c r="K7492" s="320"/>
      <c r="L7492" s="321">
        <f>L7491</f>
        <v>0</v>
      </c>
    </row>
    <row r="7493" spans="5:13" ht="15" customHeight="1">
      <c r="F7493" s="344" t="s">
        <v>193</v>
      </c>
      <c r="G7493" s="345" t="s">
        <v>194</v>
      </c>
      <c r="H7493" s="346"/>
      <c r="I7493" s="346"/>
      <c r="J7493" s="347"/>
      <c r="K7493" s="348">
        <v>0</v>
      </c>
      <c r="L7493" s="310">
        <f>SUM(L7482:L7492)/2</f>
        <v>616650</v>
      </c>
    </row>
    <row r="7494" spans="5:13" ht="15" customHeight="1" thickBot="1">
      <c r="F7494" s="331" t="s">
        <v>195</v>
      </c>
      <c r="G7494" s="332" t="s">
        <v>196</v>
      </c>
      <c r="H7494" s="333"/>
      <c r="I7494" s="333"/>
      <c r="J7494" s="350">
        <v>0.1</v>
      </c>
      <c r="K7494" s="335"/>
      <c r="L7494" s="330">
        <f>J7494*L7493</f>
        <v>61665</v>
      </c>
    </row>
    <row r="7495" spans="5:13" ht="15" customHeight="1" thickBot="1">
      <c r="F7495" s="340" t="s">
        <v>197</v>
      </c>
      <c r="G7495" s="341" t="s">
        <v>198</v>
      </c>
      <c r="H7495" s="318"/>
      <c r="I7495" s="318"/>
      <c r="J7495" s="342"/>
      <c r="K7495" s="320">
        <v>0</v>
      </c>
      <c r="L7495" s="321">
        <f>ROUNDDOWN(L7493+L7494,0)</f>
        <v>678315</v>
      </c>
    </row>
    <row r="7496" spans="5:13" ht="15" customHeight="1">
      <c r="F7496" s="298"/>
      <c r="G7496" s="298"/>
      <c r="J7496" s="343"/>
      <c r="K7496" s="355"/>
      <c r="L7496" s="299"/>
    </row>
    <row r="7497" spans="5:13" ht="15" customHeight="1" thickBot="1">
      <c r="E7497" s="356" t="s">
        <v>1365</v>
      </c>
      <c r="F7497" s="295" t="s">
        <v>1366</v>
      </c>
      <c r="J7497" s="343"/>
      <c r="M7497" s="299">
        <f>L7515</f>
        <v>774868</v>
      </c>
    </row>
    <row r="7498" spans="5:13" ht="15" customHeight="1" thickBot="1">
      <c r="F7498" s="340" t="s">
        <v>136</v>
      </c>
      <c r="G7498" s="341" t="s">
        <v>162</v>
      </c>
      <c r="H7498" s="352" t="s">
        <v>163</v>
      </c>
      <c r="I7498" s="352" t="s">
        <v>138</v>
      </c>
      <c r="J7498" s="353" t="s">
        <v>164</v>
      </c>
      <c r="K7498" s="341" t="s">
        <v>165</v>
      </c>
      <c r="L7498" s="354" t="s">
        <v>166</v>
      </c>
    </row>
    <row r="7499" spans="5:13" ht="15" customHeight="1">
      <c r="F7499" s="300" t="s">
        <v>167</v>
      </c>
      <c r="G7499" s="301" t="s">
        <v>168</v>
      </c>
      <c r="H7499" s="302"/>
      <c r="I7499" s="302"/>
      <c r="J7499" s="351"/>
      <c r="K7499" s="328"/>
      <c r="L7499" s="310"/>
    </row>
    <row r="7500" spans="5:13" ht="15" customHeight="1">
      <c r="F7500" s="306"/>
      <c r="G7500" s="301" t="s">
        <v>169</v>
      </c>
      <c r="H7500" s="307" t="s">
        <v>170</v>
      </c>
      <c r="I7500" s="429" t="s">
        <v>171</v>
      </c>
      <c r="J7500" s="432">
        <v>0.05</v>
      </c>
      <c r="K7500" s="309">
        <f>VLOOKUP(G7500,Upah,8,FALSE)</f>
        <v>125000</v>
      </c>
      <c r="L7500" s="310">
        <f>J7500*K7500</f>
        <v>6250</v>
      </c>
    </row>
    <row r="7501" spans="5:13" ht="15" customHeight="1">
      <c r="F7501" s="306"/>
      <c r="G7501" s="301" t="s">
        <v>216</v>
      </c>
      <c r="H7501" s="307" t="s">
        <v>217</v>
      </c>
      <c r="I7501" s="429" t="s">
        <v>171</v>
      </c>
      <c r="J7501" s="432">
        <v>0.5</v>
      </c>
      <c r="K7501" s="309">
        <f>VLOOKUP(G7501,Upah,8,FALSE)</f>
        <v>150000</v>
      </c>
      <c r="L7501" s="310">
        <f>J7501*K7501</f>
        <v>75000</v>
      </c>
    </row>
    <row r="7502" spans="5:13" ht="15" customHeight="1">
      <c r="F7502" s="306"/>
      <c r="G7502" s="301" t="s">
        <v>232</v>
      </c>
      <c r="H7502" s="307" t="s">
        <v>175</v>
      </c>
      <c r="I7502" s="429" t="s">
        <v>171</v>
      </c>
      <c r="J7502" s="432">
        <v>0.05</v>
      </c>
      <c r="K7502" s="309">
        <f>VLOOKUP(G7502,Upah,8,FALSE)</f>
        <v>165000</v>
      </c>
      <c r="L7502" s="310">
        <f>J7502*K7502</f>
        <v>8250</v>
      </c>
    </row>
    <row r="7503" spans="5:13" ht="15" customHeight="1" thickBot="1">
      <c r="F7503" s="306"/>
      <c r="G7503" s="301" t="s">
        <v>176</v>
      </c>
      <c r="H7503" s="307" t="s">
        <v>177</v>
      </c>
      <c r="I7503" s="429" t="s">
        <v>171</v>
      </c>
      <c r="J7503" s="432">
        <v>2.5000000000000001E-2</v>
      </c>
      <c r="K7503" s="309">
        <f>VLOOKUP(G7503,Upah,8,FALSE)</f>
        <v>170000</v>
      </c>
      <c r="L7503" s="310">
        <f>J7503*K7503</f>
        <v>4250</v>
      </c>
    </row>
    <row r="7504" spans="5:13" ht="15" customHeight="1" thickBot="1">
      <c r="F7504" s="316"/>
      <c r="G7504" s="317"/>
      <c r="H7504" s="318"/>
      <c r="I7504" s="318"/>
      <c r="J7504" s="319" t="s">
        <v>178</v>
      </c>
      <c r="K7504" s="320"/>
      <c r="L7504" s="321">
        <f>SUM(L7500:L7503)</f>
        <v>93750</v>
      </c>
    </row>
    <row r="7505" spans="5:13" ht="15" customHeight="1">
      <c r="F7505" s="300" t="s">
        <v>179</v>
      </c>
      <c r="G7505" s="301" t="s">
        <v>180</v>
      </c>
      <c r="H7505" s="302"/>
      <c r="I7505" s="302"/>
      <c r="J7505" s="351"/>
      <c r="K7505" s="328"/>
      <c r="L7505" s="310"/>
    </row>
    <row r="7506" spans="5:13" ht="15" customHeight="1">
      <c r="F7506" s="306"/>
      <c r="G7506" s="301" t="s">
        <v>1363</v>
      </c>
      <c r="H7506" s="302"/>
      <c r="I7506" s="429" t="s">
        <v>1329</v>
      </c>
      <c r="J7506" s="432">
        <v>1</v>
      </c>
      <c r="K7506" s="328">
        <f>VLOOKUP(G7506,Bahan,6,FALSE)</f>
        <v>473000</v>
      </c>
      <c r="L7506" s="310">
        <f>J7506*K7506</f>
        <v>473000</v>
      </c>
    </row>
    <row r="7507" spans="5:13" ht="15" customHeight="1">
      <c r="F7507" s="306"/>
      <c r="G7507" s="301" t="s">
        <v>1364</v>
      </c>
      <c r="H7507" s="302"/>
      <c r="I7507" s="429" t="s">
        <v>221</v>
      </c>
      <c r="J7507" s="432">
        <v>1</v>
      </c>
      <c r="K7507" s="328">
        <f>VLOOKUP(G7507,Bahan,6,FALSE)</f>
        <v>87400</v>
      </c>
      <c r="L7507" s="310">
        <f>J7507*K7507</f>
        <v>87400</v>
      </c>
    </row>
    <row r="7508" spans="5:13" ht="15" customHeight="1">
      <c r="F7508" s="306"/>
      <c r="G7508" s="301" t="s">
        <v>183</v>
      </c>
      <c r="H7508" s="302"/>
      <c r="I7508" s="429" t="s">
        <v>45</v>
      </c>
      <c r="J7508" s="432">
        <v>20</v>
      </c>
      <c r="K7508" s="328">
        <f>VLOOKUP(G7508,Bahan,6,FALSE)</f>
        <v>1880</v>
      </c>
      <c r="L7508" s="310">
        <f>J7508*K7508</f>
        <v>37600</v>
      </c>
    </row>
    <row r="7509" spans="5:13" ht="15" customHeight="1" thickBot="1">
      <c r="F7509" s="306"/>
      <c r="G7509" s="301" t="s">
        <v>219</v>
      </c>
      <c r="H7509" s="302"/>
      <c r="I7509" s="429" t="s">
        <v>292</v>
      </c>
      <c r="J7509" s="432">
        <v>0.05</v>
      </c>
      <c r="K7509" s="328">
        <f>VLOOKUP(G7509,Bahan,6,FALSE)</f>
        <v>253510</v>
      </c>
      <c r="L7509" s="310">
        <f>J7509*K7509</f>
        <v>12675.5</v>
      </c>
    </row>
    <row r="7510" spans="5:13" ht="15" customHeight="1" thickBot="1">
      <c r="F7510" s="316"/>
      <c r="G7510" s="317"/>
      <c r="H7510" s="318"/>
      <c r="I7510" s="318"/>
      <c r="J7510" s="319" t="s">
        <v>189</v>
      </c>
      <c r="K7510" s="320"/>
      <c r="L7510" s="321">
        <f>SUM(L7506:L7509)</f>
        <v>610675.5</v>
      </c>
    </row>
    <row r="7511" spans="5:13" ht="15" customHeight="1" thickBot="1">
      <c r="F7511" s="300" t="s">
        <v>190</v>
      </c>
      <c r="G7511" s="301" t="s">
        <v>191</v>
      </c>
      <c r="H7511" s="302"/>
      <c r="I7511" s="302"/>
      <c r="J7511" s="351"/>
      <c r="K7511" s="328">
        <v>0</v>
      </c>
      <c r="L7511" s="310">
        <f>J7511*K7511</f>
        <v>0</v>
      </c>
    </row>
    <row r="7512" spans="5:13" ht="15" customHeight="1" thickBot="1">
      <c r="F7512" s="316"/>
      <c r="G7512" s="317"/>
      <c r="H7512" s="318"/>
      <c r="I7512" s="318"/>
      <c r="J7512" s="319" t="s">
        <v>192</v>
      </c>
      <c r="K7512" s="320"/>
      <c r="L7512" s="321">
        <f>L7511</f>
        <v>0</v>
      </c>
    </row>
    <row r="7513" spans="5:13" ht="15" customHeight="1">
      <c r="F7513" s="344" t="s">
        <v>193</v>
      </c>
      <c r="G7513" s="345" t="s">
        <v>194</v>
      </c>
      <c r="H7513" s="346"/>
      <c r="I7513" s="346"/>
      <c r="J7513" s="347"/>
      <c r="K7513" s="348">
        <v>0</v>
      </c>
      <c r="L7513" s="310">
        <f>SUM(L7500:L7512)/2</f>
        <v>704425.5</v>
      </c>
    </row>
    <row r="7514" spans="5:13" ht="15" customHeight="1" thickBot="1">
      <c r="F7514" s="331" t="s">
        <v>195</v>
      </c>
      <c r="G7514" s="332" t="s">
        <v>196</v>
      </c>
      <c r="H7514" s="333"/>
      <c r="I7514" s="333"/>
      <c r="J7514" s="350">
        <v>0.1</v>
      </c>
      <c r="K7514" s="335"/>
      <c r="L7514" s="330">
        <f>J7514*L7513</f>
        <v>70442.55</v>
      </c>
    </row>
    <row r="7515" spans="5:13" ht="15" customHeight="1" thickBot="1">
      <c r="F7515" s="340" t="s">
        <v>197</v>
      </c>
      <c r="G7515" s="341" t="s">
        <v>198</v>
      </c>
      <c r="H7515" s="318"/>
      <c r="I7515" s="318"/>
      <c r="J7515" s="342"/>
      <c r="K7515" s="320">
        <v>0</v>
      </c>
      <c r="L7515" s="321">
        <f>ROUNDDOWN(L7513+L7514,0)</f>
        <v>774868</v>
      </c>
    </row>
    <row r="7516" spans="5:13" ht="15" customHeight="1">
      <c r="F7516" s="298"/>
      <c r="G7516" s="298"/>
      <c r="J7516" s="343"/>
      <c r="K7516" s="355"/>
      <c r="L7516" s="299"/>
    </row>
    <row r="7517" spans="5:13" ht="15" customHeight="1" thickBot="1">
      <c r="E7517" s="356" t="s">
        <v>1367</v>
      </c>
      <c r="F7517" s="295" t="s">
        <v>1368</v>
      </c>
      <c r="J7517" s="343"/>
      <c r="M7517" s="299">
        <f>L7532</f>
        <v>328625</v>
      </c>
    </row>
    <row r="7518" spans="5:13" ht="15" customHeight="1" thickBot="1">
      <c r="F7518" s="340" t="s">
        <v>136</v>
      </c>
      <c r="G7518" s="341" t="s">
        <v>162</v>
      </c>
      <c r="H7518" s="352" t="s">
        <v>163</v>
      </c>
      <c r="I7518" s="352" t="s">
        <v>138</v>
      </c>
      <c r="J7518" s="353" t="s">
        <v>164</v>
      </c>
      <c r="K7518" s="341" t="s">
        <v>165</v>
      </c>
      <c r="L7518" s="354" t="s">
        <v>166</v>
      </c>
    </row>
    <row r="7519" spans="5:13" ht="15" customHeight="1">
      <c r="F7519" s="344" t="s">
        <v>167</v>
      </c>
      <c r="G7519" s="345" t="s">
        <v>168</v>
      </c>
      <c r="H7519" s="346"/>
      <c r="I7519" s="346"/>
      <c r="J7519" s="347"/>
      <c r="K7519" s="348"/>
      <c r="L7519" s="349"/>
    </row>
    <row r="7520" spans="5:13" ht="15" customHeight="1">
      <c r="F7520" s="306"/>
      <c r="G7520" s="301" t="s">
        <v>169</v>
      </c>
      <c r="H7520" s="307" t="s">
        <v>170</v>
      </c>
      <c r="I7520" s="429" t="s">
        <v>171</v>
      </c>
      <c r="J7520" s="432">
        <v>0.01</v>
      </c>
      <c r="K7520" s="309">
        <f>VLOOKUP(G7520,Upah,8,FALSE)</f>
        <v>125000</v>
      </c>
      <c r="L7520" s="310">
        <f>J7520*K7520</f>
        <v>1250</v>
      </c>
    </row>
    <row r="7521" spans="5:13" ht="15" customHeight="1">
      <c r="F7521" s="306"/>
      <c r="G7521" s="301" t="s">
        <v>216</v>
      </c>
      <c r="H7521" s="307" t="s">
        <v>217</v>
      </c>
      <c r="I7521" s="429" t="s">
        <v>171</v>
      </c>
      <c r="J7521" s="432">
        <v>0.1</v>
      </c>
      <c r="K7521" s="309">
        <f>VLOOKUP(G7521,Upah,8,FALSE)</f>
        <v>150000</v>
      </c>
      <c r="L7521" s="310">
        <f>J7521*K7521</f>
        <v>15000</v>
      </c>
    </row>
    <row r="7522" spans="5:13" ht="15" customHeight="1">
      <c r="F7522" s="306"/>
      <c r="G7522" s="301" t="s">
        <v>232</v>
      </c>
      <c r="H7522" s="307" t="s">
        <v>175</v>
      </c>
      <c r="I7522" s="429" t="s">
        <v>171</v>
      </c>
      <c r="J7522" s="432">
        <v>0.01</v>
      </c>
      <c r="K7522" s="309">
        <f>VLOOKUP(G7522,Upah,8,FALSE)</f>
        <v>165000</v>
      </c>
      <c r="L7522" s="310">
        <f>J7522*K7522</f>
        <v>1650</v>
      </c>
    </row>
    <row r="7523" spans="5:13" ht="15" customHeight="1" thickBot="1">
      <c r="F7523" s="306"/>
      <c r="G7523" s="301" t="s">
        <v>176</v>
      </c>
      <c r="H7523" s="307" t="s">
        <v>177</v>
      </c>
      <c r="I7523" s="429" t="s">
        <v>171</v>
      </c>
      <c r="J7523" s="432">
        <v>5.0000000000000001E-3</v>
      </c>
      <c r="K7523" s="309">
        <f>VLOOKUP(G7523,Upah,8,FALSE)</f>
        <v>170000</v>
      </c>
      <c r="L7523" s="310">
        <f>J7523*K7523</f>
        <v>850</v>
      </c>
    </row>
    <row r="7524" spans="5:13" ht="15" customHeight="1" thickBot="1">
      <c r="F7524" s="316"/>
      <c r="G7524" s="317"/>
      <c r="H7524" s="318"/>
      <c r="I7524" s="318"/>
      <c r="J7524" s="319" t="s">
        <v>178</v>
      </c>
      <c r="K7524" s="320"/>
      <c r="L7524" s="321">
        <f>SUM(L7520:L7523)</f>
        <v>18750</v>
      </c>
    </row>
    <row r="7525" spans="5:13" ht="15" customHeight="1">
      <c r="F7525" s="300" t="s">
        <v>179</v>
      </c>
      <c r="G7525" s="301" t="s">
        <v>180</v>
      </c>
      <c r="H7525" s="302"/>
      <c r="I7525" s="302"/>
      <c r="J7525" s="351"/>
      <c r="K7525" s="328"/>
      <c r="L7525" s="310"/>
    </row>
    <row r="7526" spans="5:13" ht="15" customHeight="1" thickBot="1">
      <c r="F7526" s="306"/>
      <c r="G7526" s="301" t="s">
        <v>1369</v>
      </c>
      <c r="H7526" s="302"/>
      <c r="I7526" s="429" t="s">
        <v>1329</v>
      </c>
      <c r="J7526" s="432">
        <v>1</v>
      </c>
      <c r="K7526" s="328">
        <f>VLOOKUP(G7526,Bahan,6,FALSE)</f>
        <v>280000</v>
      </c>
      <c r="L7526" s="310">
        <f>J7526*K7526</f>
        <v>280000</v>
      </c>
    </row>
    <row r="7527" spans="5:13" ht="15" customHeight="1" thickBot="1">
      <c r="F7527" s="316"/>
      <c r="G7527" s="317"/>
      <c r="H7527" s="318"/>
      <c r="I7527" s="318"/>
      <c r="J7527" s="319" t="s">
        <v>189</v>
      </c>
      <c r="K7527" s="320"/>
      <c r="L7527" s="321">
        <f>SUM(L7526)</f>
        <v>280000</v>
      </c>
    </row>
    <row r="7528" spans="5:13" ht="15" customHeight="1" thickBot="1">
      <c r="F7528" s="300" t="s">
        <v>190</v>
      </c>
      <c r="G7528" s="301" t="s">
        <v>191</v>
      </c>
      <c r="H7528" s="302"/>
      <c r="I7528" s="302"/>
      <c r="J7528" s="351"/>
      <c r="K7528" s="328">
        <v>0</v>
      </c>
      <c r="L7528" s="310">
        <f>J7528*K7528</f>
        <v>0</v>
      </c>
    </row>
    <row r="7529" spans="5:13" ht="15" customHeight="1" thickBot="1">
      <c r="F7529" s="316"/>
      <c r="G7529" s="317"/>
      <c r="H7529" s="318"/>
      <c r="I7529" s="318"/>
      <c r="J7529" s="319" t="s">
        <v>192</v>
      </c>
      <c r="K7529" s="320"/>
      <c r="L7529" s="321">
        <f>L7528</f>
        <v>0</v>
      </c>
    </row>
    <row r="7530" spans="5:13" ht="15" customHeight="1">
      <c r="F7530" s="344" t="s">
        <v>193</v>
      </c>
      <c r="G7530" s="345" t="s">
        <v>194</v>
      </c>
      <c r="H7530" s="346"/>
      <c r="I7530" s="346"/>
      <c r="J7530" s="347"/>
      <c r="K7530" s="348">
        <v>0</v>
      </c>
      <c r="L7530" s="310">
        <f>SUM(L7519:L7529)/2</f>
        <v>298750</v>
      </c>
    </row>
    <row r="7531" spans="5:13" ht="15" customHeight="1" thickBot="1">
      <c r="F7531" s="331" t="s">
        <v>195</v>
      </c>
      <c r="G7531" s="332" t="s">
        <v>196</v>
      </c>
      <c r="H7531" s="333"/>
      <c r="I7531" s="333"/>
      <c r="J7531" s="350">
        <v>0.1</v>
      </c>
      <c r="K7531" s="335"/>
      <c r="L7531" s="330">
        <f>J7531*L7530</f>
        <v>29875</v>
      </c>
    </row>
    <row r="7532" spans="5:13" ht="15" customHeight="1" thickBot="1">
      <c r="F7532" s="340" t="s">
        <v>197</v>
      </c>
      <c r="G7532" s="341" t="s">
        <v>198</v>
      </c>
      <c r="H7532" s="318"/>
      <c r="I7532" s="318"/>
      <c r="J7532" s="342"/>
      <c r="K7532" s="320">
        <v>0</v>
      </c>
      <c r="L7532" s="321">
        <f>ROUNDDOWN(L7530+L7531,0)</f>
        <v>328625</v>
      </c>
    </row>
    <row r="7533" spans="5:13" ht="15" customHeight="1">
      <c r="F7533" s="298"/>
      <c r="G7533" s="298"/>
      <c r="J7533" s="343"/>
      <c r="K7533" s="355"/>
      <c r="L7533" s="299"/>
    </row>
    <row r="7534" spans="5:13" ht="15" customHeight="1" thickBot="1">
      <c r="E7534" s="356" t="s">
        <v>1370</v>
      </c>
      <c r="F7534" s="295" t="s">
        <v>1371</v>
      </c>
      <c r="J7534" s="343"/>
      <c r="M7534" s="299">
        <f>L7554</f>
        <v>693158</v>
      </c>
    </row>
    <row r="7535" spans="5:13" ht="15" customHeight="1" thickBot="1">
      <c r="F7535" s="340" t="s">
        <v>136</v>
      </c>
      <c r="G7535" s="341" t="s">
        <v>162</v>
      </c>
      <c r="H7535" s="352" t="s">
        <v>163</v>
      </c>
      <c r="I7535" s="352" t="s">
        <v>138</v>
      </c>
      <c r="J7535" s="353" t="s">
        <v>164</v>
      </c>
      <c r="K7535" s="341" t="s">
        <v>165</v>
      </c>
      <c r="L7535" s="354" t="s">
        <v>166</v>
      </c>
    </row>
    <row r="7536" spans="5:13" ht="15" customHeight="1">
      <c r="F7536" s="344" t="s">
        <v>167</v>
      </c>
      <c r="G7536" s="345" t="s">
        <v>168</v>
      </c>
      <c r="H7536" s="346"/>
      <c r="I7536" s="346"/>
      <c r="J7536" s="347"/>
      <c r="K7536" s="348"/>
      <c r="L7536" s="349"/>
    </row>
    <row r="7537" spans="6:12" ht="15" customHeight="1">
      <c r="F7537" s="306"/>
      <c r="G7537" s="301" t="s">
        <v>169</v>
      </c>
      <c r="H7537" s="307" t="s">
        <v>170</v>
      </c>
      <c r="I7537" s="429" t="s">
        <v>171</v>
      </c>
      <c r="J7537" s="432">
        <v>2.16</v>
      </c>
      <c r="K7537" s="309">
        <f>VLOOKUP(G7537,Upah,8,FALSE)</f>
        <v>125000</v>
      </c>
      <c r="L7537" s="310">
        <f>J7537*K7537</f>
        <v>270000</v>
      </c>
    </row>
    <row r="7538" spans="6:12" ht="15" customHeight="1">
      <c r="F7538" s="306"/>
      <c r="G7538" s="301" t="s">
        <v>216</v>
      </c>
      <c r="H7538" s="307" t="s">
        <v>217</v>
      </c>
      <c r="I7538" s="429" t="s">
        <v>171</v>
      </c>
      <c r="J7538" s="432">
        <v>0.72</v>
      </c>
      <c r="K7538" s="309">
        <f>VLOOKUP(G7538,Upah,8,FALSE)</f>
        <v>150000</v>
      </c>
      <c r="L7538" s="310">
        <f>J7538*K7538</f>
        <v>108000</v>
      </c>
    </row>
    <row r="7539" spans="6:12" ht="15" customHeight="1">
      <c r="F7539" s="306"/>
      <c r="G7539" s="301" t="s">
        <v>232</v>
      </c>
      <c r="H7539" s="307" t="s">
        <v>175</v>
      </c>
      <c r="I7539" s="429" t="s">
        <v>171</v>
      </c>
      <c r="J7539" s="432">
        <v>7.1999999999999995E-2</v>
      </c>
      <c r="K7539" s="309">
        <f>VLOOKUP(G7539,Upah,8,FALSE)</f>
        <v>165000</v>
      </c>
      <c r="L7539" s="310">
        <f>J7539*K7539</f>
        <v>11880</v>
      </c>
    </row>
    <row r="7540" spans="6:12" ht="15" customHeight="1" thickBot="1">
      <c r="F7540" s="306"/>
      <c r="G7540" s="301" t="s">
        <v>176</v>
      </c>
      <c r="H7540" s="307" t="s">
        <v>177</v>
      </c>
      <c r="I7540" s="429" t="s">
        <v>171</v>
      </c>
      <c r="J7540" s="432">
        <v>1.0999999999999999E-2</v>
      </c>
      <c r="K7540" s="309">
        <f>VLOOKUP(G7540,Upah,8,FALSE)</f>
        <v>170000</v>
      </c>
      <c r="L7540" s="310">
        <f>J7540*K7540</f>
        <v>1870</v>
      </c>
    </row>
    <row r="7541" spans="6:12" ht="15" customHeight="1" thickBot="1">
      <c r="F7541" s="316"/>
      <c r="G7541" s="317"/>
      <c r="H7541" s="318"/>
      <c r="I7541" s="318"/>
      <c r="J7541" s="319" t="s">
        <v>178</v>
      </c>
      <c r="K7541" s="320"/>
      <c r="L7541" s="321">
        <f>SUM(L7537:L7540)</f>
        <v>391750</v>
      </c>
    </row>
    <row r="7542" spans="6:12" ht="15" customHeight="1">
      <c r="F7542" s="300" t="s">
        <v>179</v>
      </c>
      <c r="G7542" s="301" t="s">
        <v>180</v>
      </c>
      <c r="H7542" s="302"/>
      <c r="I7542" s="302"/>
      <c r="J7542" s="351"/>
      <c r="K7542" s="328"/>
      <c r="L7542" s="310"/>
    </row>
    <row r="7543" spans="6:12" ht="15" customHeight="1">
      <c r="F7543" s="306"/>
      <c r="G7543" s="301" t="s">
        <v>220</v>
      </c>
      <c r="H7543" s="302"/>
      <c r="I7543" s="429" t="s">
        <v>36</v>
      </c>
      <c r="J7543" s="432">
        <v>40</v>
      </c>
      <c r="K7543" s="328">
        <f t="shared" ref="K7543:K7548" si="73">VLOOKUP(G7543,Bahan,6,FALSE)</f>
        <v>1040</v>
      </c>
      <c r="L7543" s="310">
        <f t="shared" ref="L7543:L7548" si="74">J7543*K7543</f>
        <v>41600</v>
      </c>
    </row>
    <row r="7544" spans="6:12" ht="15" customHeight="1">
      <c r="F7544" s="306"/>
      <c r="G7544" s="301" t="s">
        <v>183</v>
      </c>
      <c r="H7544" s="302"/>
      <c r="I7544" s="429" t="s">
        <v>45</v>
      </c>
      <c r="J7544" s="432">
        <v>44</v>
      </c>
      <c r="K7544" s="328">
        <f t="shared" si="73"/>
        <v>1880</v>
      </c>
      <c r="L7544" s="310">
        <f t="shared" si="74"/>
        <v>82720</v>
      </c>
    </row>
    <row r="7545" spans="6:12" ht="15" customHeight="1">
      <c r="F7545" s="306"/>
      <c r="G7545" s="301" t="s">
        <v>219</v>
      </c>
      <c r="H7545" s="302"/>
      <c r="I7545" s="429" t="s">
        <v>292</v>
      </c>
      <c r="J7545" s="432">
        <v>7.0000000000000007E-2</v>
      </c>
      <c r="K7545" s="328">
        <f t="shared" si="73"/>
        <v>253510</v>
      </c>
      <c r="L7545" s="310">
        <f t="shared" si="74"/>
        <v>17745.7</v>
      </c>
    </row>
    <row r="7546" spans="6:12" ht="15" customHeight="1">
      <c r="F7546" s="306"/>
      <c r="G7546" s="301" t="s">
        <v>1700</v>
      </c>
      <c r="H7546" s="302"/>
      <c r="I7546" s="429" t="s">
        <v>292</v>
      </c>
      <c r="J7546" s="432">
        <v>0.06</v>
      </c>
      <c r="K7546" s="328">
        <f t="shared" si="73"/>
        <v>350000</v>
      </c>
      <c r="L7546" s="310">
        <f t="shared" si="74"/>
        <v>21000</v>
      </c>
    </row>
    <row r="7547" spans="6:12" ht="15" customHeight="1">
      <c r="F7547" s="306"/>
      <c r="G7547" s="301" t="s">
        <v>1703</v>
      </c>
      <c r="H7547" s="302"/>
      <c r="I7547" s="429" t="s">
        <v>292</v>
      </c>
      <c r="J7547" s="432">
        <v>7.0000000000000007E-2</v>
      </c>
      <c r="K7547" s="328">
        <f t="shared" si="73"/>
        <v>600000</v>
      </c>
      <c r="L7547" s="310">
        <f t="shared" si="74"/>
        <v>42000.000000000007</v>
      </c>
    </row>
    <row r="7548" spans="6:12" ht="15" customHeight="1" thickBot="1">
      <c r="F7548" s="306"/>
      <c r="G7548" s="301" t="s">
        <v>1358</v>
      </c>
      <c r="H7548" s="302"/>
      <c r="I7548" s="429" t="s">
        <v>45</v>
      </c>
      <c r="J7548" s="432">
        <v>1.6</v>
      </c>
      <c r="K7548" s="328">
        <f t="shared" si="73"/>
        <v>20830</v>
      </c>
      <c r="L7548" s="310">
        <f t="shared" si="74"/>
        <v>33328</v>
      </c>
    </row>
    <row r="7549" spans="6:12" ht="15" customHeight="1" thickBot="1">
      <c r="F7549" s="316"/>
      <c r="G7549" s="317"/>
      <c r="H7549" s="318"/>
      <c r="I7549" s="318"/>
      <c r="J7549" s="319" t="s">
        <v>189</v>
      </c>
      <c r="K7549" s="320"/>
      <c r="L7549" s="321">
        <f>SUM(L7543:L7548)</f>
        <v>238393.7</v>
      </c>
    </row>
    <row r="7550" spans="6:12" ht="15" customHeight="1" thickBot="1">
      <c r="F7550" s="300" t="s">
        <v>190</v>
      </c>
      <c r="G7550" s="301" t="s">
        <v>191</v>
      </c>
      <c r="H7550" s="302"/>
      <c r="I7550" s="302"/>
      <c r="J7550" s="351"/>
      <c r="K7550" s="328">
        <v>0</v>
      </c>
      <c r="L7550" s="310">
        <f>J7550*K7550</f>
        <v>0</v>
      </c>
    </row>
    <row r="7551" spans="6:12" ht="15" customHeight="1" thickBot="1">
      <c r="F7551" s="316"/>
      <c r="G7551" s="317"/>
      <c r="H7551" s="318"/>
      <c r="I7551" s="318"/>
      <c r="J7551" s="319" t="s">
        <v>192</v>
      </c>
      <c r="K7551" s="320"/>
      <c r="L7551" s="321">
        <f>L7550</f>
        <v>0</v>
      </c>
    </row>
    <row r="7552" spans="6:12" ht="15" customHeight="1">
      <c r="F7552" s="344" t="s">
        <v>193</v>
      </c>
      <c r="G7552" s="345" t="s">
        <v>194</v>
      </c>
      <c r="H7552" s="346"/>
      <c r="I7552" s="346"/>
      <c r="J7552" s="347"/>
      <c r="K7552" s="348">
        <v>0</v>
      </c>
      <c r="L7552" s="310">
        <f>SUM(L7537:L7551)/2</f>
        <v>630143.69999999995</v>
      </c>
    </row>
    <row r="7553" spans="5:13" ht="15" customHeight="1" thickBot="1">
      <c r="F7553" s="331" t="s">
        <v>195</v>
      </c>
      <c r="G7553" s="332" t="s">
        <v>196</v>
      </c>
      <c r="H7553" s="333"/>
      <c r="I7553" s="333"/>
      <c r="J7553" s="350">
        <v>0.1</v>
      </c>
      <c r="K7553" s="335"/>
      <c r="L7553" s="330">
        <f>J7553*L7552</f>
        <v>63014.369999999995</v>
      </c>
    </row>
    <row r="7554" spans="5:13" ht="15" customHeight="1" thickBot="1">
      <c r="F7554" s="340" t="s">
        <v>197</v>
      </c>
      <c r="G7554" s="341" t="s">
        <v>198</v>
      </c>
      <c r="H7554" s="318"/>
      <c r="I7554" s="318"/>
      <c r="J7554" s="342"/>
      <c r="K7554" s="320">
        <v>0</v>
      </c>
      <c r="L7554" s="321">
        <f>ROUNDDOWN(L7552+L7553,0)</f>
        <v>693158</v>
      </c>
    </row>
    <row r="7555" spans="5:13" ht="15" customHeight="1">
      <c r="F7555" s="298"/>
      <c r="G7555" s="298"/>
      <c r="J7555" s="343"/>
      <c r="K7555" s="355"/>
      <c r="L7555" s="299"/>
    </row>
    <row r="7556" spans="5:13" ht="15" customHeight="1" thickBot="1">
      <c r="E7556" s="356" t="s">
        <v>1372</v>
      </c>
      <c r="F7556" s="295" t="s">
        <v>1373</v>
      </c>
      <c r="J7556" s="343"/>
      <c r="M7556" s="299">
        <f>L7576</f>
        <v>1017730</v>
      </c>
    </row>
    <row r="7557" spans="5:13" ht="15" customHeight="1" thickBot="1">
      <c r="F7557" s="340" t="s">
        <v>136</v>
      </c>
      <c r="G7557" s="341" t="s">
        <v>162</v>
      </c>
      <c r="H7557" s="352" t="s">
        <v>163</v>
      </c>
      <c r="I7557" s="352" t="s">
        <v>138</v>
      </c>
      <c r="J7557" s="353" t="s">
        <v>164</v>
      </c>
      <c r="K7557" s="341" t="s">
        <v>165</v>
      </c>
      <c r="L7557" s="354" t="s">
        <v>166</v>
      </c>
    </row>
    <row r="7558" spans="5:13" ht="15" customHeight="1">
      <c r="F7558" s="344" t="s">
        <v>167</v>
      </c>
      <c r="G7558" s="345" t="s">
        <v>168</v>
      </c>
      <c r="H7558" s="346"/>
      <c r="I7558" s="346"/>
      <c r="J7558" s="347"/>
      <c r="K7558" s="348"/>
      <c r="L7558" s="349"/>
    </row>
    <row r="7559" spans="5:13" ht="15" customHeight="1">
      <c r="F7559" s="306"/>
      <c r="G7559" s="301" t="s">
        <v>169</v>
      </c>
      <c r="H7559" s="307" t="s">
        <v>170</v>
      </c>
      <c r="I7559" s="429" t="s">
        <v>171</v>
      </c>
      <c r="J7559" s="432">
        <v>3.2</v>
      </c>
      <c r="K7559" s="309">
        <f>VLOOKUP(G7559,Upah,8,FALSE)</f>
        <v>125000</v>
      </c>
      <c r="L7559" s="310">
        <f>J7559*K7559</f>
        <v>400000</v>
      </c>
    </row>
    <row r="7560" spans="5:13" ht="15" customHeight="1">
      <c r="F7560" s="306"/>
      <c r="G7560" s="301" t="s">
        <v>216</v>
      </c>
      <c r="H7560" s="307" t="s">
        <v>217</v>
      </c>
      <c r="I7560" s="429" t="s">
        <v>171</v>
      </c>
      <c r="J7560" s="432">
        <v>1.1499999999999999</v>
      </c>
      <c r="K7560" s="309">
        <f>VLOOKUP(G7560,Upah,8,FALSE)</f>
        <v>150000</v>
      </c>
      <c r="L7560" s="310">
        <f>J7560*K7560</f>
        <v>172500</v>
      </c>
    </row>
    <row r="7561" spans="5:13" ht="15" customHeight="1">
      <c r="F7561" s="306"/>
      <c r="G7561" s="301" t="s">
        <v>232</v>
      </c>
      <c r="H7561" s="307" t="s">
        <v>175</v>
      </c>
      <c r="I7561" s="429" t="s">
        <v>171</v>
      </c>
      <c r="J7561" s="432">
        <v>1.0999999999999999E-2</v>
      </c>
      <c r="K7561" s="309">
        <f>VLOOKUP(G7561,Upah,8,FALSE)</f>
        <v>165000</v>
      </c>
      <c r="L7561" s="310">
        <f>J7561*K7561</f>
        <v>1815</v>
      </c>
    </row>
    <row r="7562" spans="5:13" ht="15" customHeight="1" thickBot="1">
      <c r="F7562" s="306"/>
      <c r="G7562" s="301" t="s">
        <v>176</v>
      </c>
      <c r="H7562" s="307" t="s">
        <v>177</v>
      </c>
      <c r="I7562" s="429" t="s">
        <v>171</v>
      </c>
      <c r="J7562" s="432">
        <v>1.6E-2</v>
      </c>
      <c r="K7562" s="309">
        <f>VLOOKUP(G7562,Upah,8,FALSE)</f>
        <v>170000</v>
      </c>
      <c r="L7562" s="310">
        <f>J7562*K7562</f>
        <v>2720</v>
      </c>
    </row>
    <row r="7563" spans="5:13" ht="15" customHeight="1" thickBot="1">
      <c r="F7563" s="316"/>
      <c r="G7563" s="317"/>
      <c r="H7563" s="318"/>
      <c r="I7563" s="318"/>
      <c r="J7563" s="319" t="s">
        <v>178</v>
      </c>
      <c r="K7563" s="320"/>
      <c r="L7563" s="321">
        <f>SUM(L7559:L7562)</f>
        <v>577035</v>
      </c>
    </row>
    <row r="7564" spans="5:13" ht="15" customHeight="1">
      <c r="F7564" s="300" t="s">
        <v>179</v>
      </c>
      <c r="G7564" s="301" t="s">
        <v>180</v>
      </c>
      <c r="H7564" s="302"/>
      <c r="I7564" s="302"/>
      <c r="J7564" s="351"/>
      <c r="K7564" s="328"/>
      <c r="L7564" s="310"/>
    </row>
    <row r="7565" spans="5:13" ht="15" customHeight="1">
      <c r="F7565" s="306"/>
      <c r="G7565" s="301" t="s">
        <v>220</v>
      </c>
      <c r="H7565" s="302"/>
      <c r="I7565" s="429" t="s">
        <v>36</v>
      </c>
      <c r="J7565" s="432">
        <v>70</v>
      </c>
      <c r="K7565" s="328">
        <f t="shared" ref="K7565:K7570" si="75">VLOOKUP(G7565,Bahan,6,FALSE)</f>
        <v>1040</v>
      </c>
      <c r="L7565" s="310">
        <f t="shared" ref="L7565:L7570" si="76">J7565*K7565</f>
        <v>72800</v>
      </c>
    </row>
    <row r="7566" spans="5:13" ht="15" customHeight="1">
      <c r="F7566" s="306"/>
      <c r="G7566" s="301" t="s">
        <v>183</v>
      </c>
      <c r="H7566" s="302"/>
      <c r="I7566" s="429" t="s">
        <v>45</v>
      </c>
      <c r="J7566" s="432">
        <v>77</v>
      </c>
      <c r="K7566" s="328">
        <f t="shared" si="75"/>
        <v>1880</v>
      </c>
      <c r="L7566" s="310">
        <f t="shared" si="76"/>
        <v>144760</v>
      </c>
    </row>
    <row r="7567" spans="5:13" ht="15" customHeight="1">
      <c r="F7567" s="306"/>
      <c r="G7567" s="301" t="s">
        <v>219</v>
      </c>
      <c r="H7567" s="302"/>
      <c r="I7567" s="429" t="s">
        <v>292</v>
      </c>
      <c r="J7567" s="432">
        <v>0.13</v>
      </c>
      <c r="K7567" s="328">
        <f t="shared" si="75"/>
        <v>253510</v>
      </c>
      <c r="L7567" s="310">
        <f t="shared" si="76"/>
        <v>32956.300000000003</v>
      </c>
    </row>
    <row r="7568" spans="5:13" ht="15" customHeight="1">
      <c r="F7568" s="306"/>
      <c r="G7568" s="301" t="s">
        <v>1700</v>
      </c>
      <c r="H7568" s="302"/>
      <c r="I7568" s="429" t="s">
        <v>292</v>
      </c>
      <c r="J7568" s="432">
        <v>0.09</v>
      </c>
      <c r="K7568" s="328">
        <f t="shared" si="75"/>
        <v>350000</v>
      </c>
      <c r="L7568" s="310">
        <f t="shared" si="76"/>
        <v>31500</v>
      </c>
    </row>
    <row r="7569" spans="5:13" ht="15" customHeight="1">
      <c r="F7569" s="306"/>
      <c r="G7569" s="301" t="s">
        <v>1703</v>
      </c>
      <c r="H7569" s="302"/>
      <c r="I7569" s="429" t="s">
        <v>292</v>
      </c>
      <c r="J7569" s="432">
        <v>0.02</v>
      </c>
      <c r="K7569" s="328">
        <f t="shared" si="75"/>
        <v>600000</v>
      </c>
      <c r="L7569" s="310">
        <f t="shared" si="76"/>
        <v>12000</v>
      </c>
    </row>
    <row r="7570" spans="5:13" ht="15" customHeight="1" thickBot="1">
      <c r="F7570" s="306"/>
      <c r="G7570" s="301" t="s">
        <v>1358</v>
      </c>
      <c r="H7570" s="302"/>
      <c r="I7570" s="429" t="s">
        <v>45</v>
      </c>
      <c r="J7570" s="432">
        <v>2.6</v>
      </c>
      <c r="K7570" s="328">
        <f t="shared" si="75"/>
        <v>20830</v>
      </c>
      <c r="L7570" s="310">
        <f t="shared" si="76"/>
        <v>54158</v>
      </c>
    </row>
    <row r="7571" spans="5:13" ht="15" customHeight="1" thickBot="1">
      <c r="F7571" s="316"/>
      <c r="G7571" s="317"/>
      <c r="H7571" s="318"/>
      <c r="I7571" s="318"/>
      <c r="J7571" s="319" t="s">
        <v>189</v>
      </c>
      <c r="K7571" s="320"/>
      <c r="L7571" s="321">
        <f>SUM(L7565:L7570)</f>
        <v>348174.3</v>
      </c>
    </row>
    <row r="7572" spans="5:13" ht="15" customHeight="1" thickBot="1">
      <c r="F7572" s="300" t="s">
        <v>190</v>
      </c>
      <c r="G7572" s="301" t="s">
        <v>191</v>
      </c>
      <c r="H7572" s="302"/>
      <c r="I7572" s="302"/>
      <c r="J7572" s="351"/>
      <c r="K7572" s="328">
        <v>0</v>
      </c>
      <c r="L7572" s="310">
        <f>J7572*K7572</f>
        <v>0</v>
      </c>
    </row>
    <row r="7573" spans="5:13" ht="15" customHeight="1" thickBot="1">
      <c r="F7573" s="316"/>
      <c r="G7573" s="317"/>
      <c r="H7573" s="318"/>
      <c r="I7573" s="318"/>
      <c r="J7573" s="319" t="s">
        <v>192</v>
      </c>
      <c r="K7573" s="320"/>
      <c r="L7573" s="321">
        <f>L7572</f>
        <v>0</v>
      </c>
    </row>
    <row r="7574" spans="5:13" ht="15" customHeight="1">
      <c r="F7574" s="344" t="s">
        <v>193</v>
      </c>
      <c r="G7574" s="345" t="s">
        <v>194</v>
      </c>
      <c r="H7574" s="346"/>
      <c r="I7574" s="346"/>
      <c r="J7574" s="347"/>
      <c r="K7574" s="348">
        <v>0</v>
      </c>
      <c r="L7574" s="310">
        <f>SUM(L7559:L7573)/2</f>
        <v>925209.3</v>
      </c>
    </row>
    <row r="7575" spans="5:13" ht="15" customHeight="1" thickBot="1">
      <c r="F7575" s="331" t="s">
        <v>195</v>
      </c>
      <c r="G7575" s="332" t="s">
        <v>196</v>
      </c>
      <c r="H7575" s="333"/>
      <c r="I7575" s="333"/>
      <c r="J7575" s="350">
        <v>0.1</v>
      </c>
      <c r="K7575" s="335"/>
      <c r="L7575" s="330">
        <f>J7575*L7574</f>
        <v>92520.930000000008</v>
      </c>
    </row>
    <row r="7576" spans="5:13" ht="15" customHeight="1" thickBot="1">
      <c r="F7576" s="340" t="s">
        <v>197</v>
      </c>
      <c r="G7576" s="341" t="s">
        <v>198</v>
      </c>
      <c r="H7576" s="318"/>
      <c r="I7576" s="318"/>
      <c r="J7576" s="342"/>
      <c r="K7576" s="320">
        <v>0</v>
      </c>
      <c r="L7576" s="321">
        <f>ROUNDDOWN(L7574+L7575,0)</f>
        <v>1017730</v>
      </c>
    </row>
    <row r="7577" spans="5:13" ht="15" customHeight="1">
      <c r="F7577" s="298"/>
      <c r="G7577" s="298"/>
      <c r="J7577" s="343"/>
      <c r="K7577" s="355"/>
      <c r="L7577" s="299"/>
    </row>
    <row r="7578" spans="5:13" ht="15" customHeight="1" thickBot="1">
      <c r="E7578" s="356" t="s">
        <v>1374</v>
      </c>
      <c r="F7578" s="295" t="s">
        <v>1375</v>
      </c>
      <c r="J7578" s="343"/>
      <c r="M7578" s="299">
        <f>L7598</f>
        <v>1241620</v>
      </c>
    </row>
    <row r="7579" spans="5:13" ht="15" customHeight="1" thickBot="1">
      <c r="F7579" s="340" t="s">
        <v>136</v>
      </c>
      <c r="G7579" s="341" t="s">
        <v>162</v>
      </c>
      <c r="H7579" s="352" t="s">
        <v>163</v>
      </c>
      <c r="I7579" s="352" t="s">
        <v>138</v>
      </c>
      <c r="J7579" s="353" t="s">
        <v>164</v>
      </c>
      <c r="K7579" s="341" t="s">
        <v>165</v>
      </c>
      <c r="L7579" s="354" t="s">
        <v>166</v>
      </c>
    </row>
    <row r="7580" spans="5:13" ht="15" customHeight="1">
      <c r="F7580" s="344" t="s">
        <v>167</v>
      </c>
      <c r="G7580" s="345" t="s">
        <v>168</v>
      </c>
      <c r="H7580" s="346"/>
      <c r="I7580" s="346"/>
      <c r="J7580" s="347"/>
      <c r="K7580" s="348"/>
      <c r="L7580" s="349"/>
    </row>
    <row r="7581" spans="5:13" ht="15" customHeight="1">
      <c r="F7581" s="306"/>
      <c r="G7581" s="301" t="s">
        <v>169</v>
      </c>
      <c r="H7581" s="307" t="s">
        <v>170</v>
      </c>
      <c r="I7581" s="429" t="s">
        <v>171</v>
      </c>
      <c r="J7581" s="432">
        <v>3.2</v>
      </c>
      <c r="K7581" s="309">
        <f>VLOOKUP(G7581,Upah,8,FALSE)</f>
        <v>125000</v>
      </c>
      <c r="L7581" s="310">
        <f>J7581*K7581</f>
        <v>400000</v>
      </c>
    </row>
    <row r="7582" spans="5:13" ht="15" customHeight="1">
      <c r="F7582" s="306"/>
      <c r="G7582" s="301" t="s">
        <v>216</v>
      </c>
      <c r="H7582" s="307" t="s">
        <v>217</v>
      </c>
      <c r="I7582" s="429" t="s">
        <v>171</v>
      </c>
      <c r="J7582" s="432">
        <v>1.1499999999999999</v>
      </c>
      <c r="K7582" s="309">
        <f>VLOOKUP(G7582,Upah,8,FALSE)</f>
        <v>150000</v>
      </c>
      <c r="L7582" s="310">
        <f>J7582*K7582</f>
        <v>172500</v>
      </c>
    </row>
    <row r="7583" spans="5:13" ht="15" customHeight="1">
      <c r="F7583" s="306"/>
      <c r="G7583" s="301" t="s">
        <v>232</v>
      </c>
      <c r="H7583" s="307" t="s">
        <v>175</v>
      </c>
      <c r="I7583" s="429" t="s">
        <v>171</v>
      </c>
      <c r="J7583" s="432">
        <v>1.0999999999999999E-2</v>
      </c>
      <c r="K7583" s="309">
        <f>VLOOKUP(G7583,Upah,8,FALSE)</f>
        <v>165000</v>
      </c>
      <c r="L7583" s="310">
        <f>J7583*K7583</f>
        <v>1815</v>
      </c>
    </row>
    <row r="7584" spans="5:13" ht="15" customHeight="1" thickBot="1">
      <c r="F7584" s="306"/>
      <c r="G7584" s="301" t="s">
        <v>176</v>
      </c>
      <c r="H7584" s="307" t="s">
        <v>177</v>
      </c>
      <c r="I7584" s="429" t="s">
        <v>171</v>
      </c>
      <c r="J7584" s="432">
        <v>1.6E-2</v>
      </c>
      <c r="K7584" s="309">
        <f>VLOOKUP(G7584,Upah,8,FALSE)</f>
        <v>170000</v>
      </c>
      <c r="L7584" s="310">
        <f>J7584*K7584</f>
        <v>2720</v>
      </c>
    </row>
    <row r="7585" spans="5:13" ht="15" customHeight="1" thickBot="1">
      <c r="F7585" s="316"/>
      <c r="G7585" s="317"/>
      <c r="H7585" s="318"/>
      <c r="I7585" s="318"/>
      <c r="J7585" s="319" t="s">
        <v>178</v>
      </c>
      <c r="K7585" s="320"/>
      <c r="L7585" s="321">
        <f>SUM(L7581:L7584)</f>
        <v>577035</v>
      </c>
    </row>
    <row r="7586" spans="5:13" ht="15" customHeight="1">
      <c r="F7586" s="300" t="s">
        <v>179</v>
      </c>
      <c r="G7586" s="301" t="s">
        <v>180</v>
      </c>
      <c r="H7586" s="302"/>
      <c r="I7586" s="302"/>
      <c r="J7586" s="351"/>
      <c r="K7586" s="328"/>
      <c r="L7586" s="310"/>
    </row>
    <row r="7587" spans="5:13" ht="15" customHeight="1">
      <c r="F7587" s="306"/>
      <c r="G7587" s="301" t="s">
        <v>220</v>
      </c>
      <c r="H7587" s="302"/>
      <c r="I7587" s="429" t="s">
        <v>36</v>
      </c>
      <c r="J7587" s="432">
        <v>123</v>
      </c>
      <c r="K7587" s="328">
        <f t="shared" ref="K7587:K7592" si="77">VLOOKUP(G7587,Bahan,6,FALSE)</f>
        <v>1040</v>
      </c>
      <c r="L7587" s="310">
        <f t="shared" ref="L7587:L7592" si="78">J7587*K7587</f>
        <v>127920</v>
      </c>
    </row>
    <row r="7588" spans="5:13" ht="15" customHeight="1">
      <c r="F7588" s="306"/>
      <c r="G7588" s="301" t="s">
        <v>183</v>
      </c>
      <c r="H7588" s="302"/>
      <c r="I7588" s="429" t="s">
        <v>45</v>
      </c>
      <c r="J7588" s="432">
        <v>114</v>
      </c>
      <c r="K7588" s="328">
        <f t="shared" si="77"/>
        <v>1880</v>
      </c>
      <c r="L7588" s="310">
        <f t="shared" si="78"/>
        <v>214320</v>
      </c>
    </row>
    <row r="7589" spans="5:13" ht="15" customHeight="1">
      <c r="F7589" s="306"/>
      <c r="G7589" s="301" t="s">
        <v>219</v>
      </c>
      <c r="H7589" s="302"/>
      <c r="I7589" s="429" t="s">
        <v>292</v>
      </c>
      <c r="J7589" s="432">
        <v>0.184</v>
      </c>
      <c r="K7589" s="328">
        <f t="shared" si="77"/>
        <v>253510</v>
      </c>
      <c r="L7589" s="310">
        <f t="shared" si="78"/>
        <v>46645.84</v>
      </c>
    </row>
    <row r="7590" spans="5:13" ht="15" customHeight="1">
      <c r="F7590" s="306"/>
      <c r="G7590" s="301" t="s">
        <v>1700</v>
      </c>
      <c r="H7590" s="302"/>
      <c r="I7590" s="429" t="s">
        <v>292</v>
      </c>
      <c r="J7590" s="432">
        <v>0.12</v>
      </c>
      <c r="K7590" s="328">
        <f t="shared" si="77"/>
        <v>350000</v>
      </c>
      <c r="L7590" s="310">
        <f t="shared" si="78"/>
        <v>42000</v>
      </c>
    </row>
    <row r="7591" spans="5:13" ht="15" customHeight="1">
      <c r="F7591" s="306"/>
      <c r="G7591" s="301" t="s">
        <v>1703</v>
      </c>
      <c r="H7591" s="302"/>
      <c r="I7591" s="429" t="s">
        <v>292</v>
      </c>
      <c r="J7591" s="432">
        <v>3.3000000000000002E-2</v>
      </c>
      <c r="K7591" s="328">
        <f t="shared" si="77"/>
        <v>600000</v>
      </c>
      <c r="L7591" s="310">
        <f t="shared" si="78"/>
        <v>19800</v>
      </c>
    </row>
    <row r="7592" spans="5:13" ht="15" customHeight="1" thickBot="1">
      <c r="F7592" s="306"/>
      <c r="G7592" s="301" t="s">
        <v>1358</v>
      </c>
      <c r="H7592" s="302"/>
      <c r="I7592" s="429" t="s">
        <v>45</v>
      </c>
      <c r="J7592" s="432">
        <v>4.8499999999999996</v>
      </c>
      <c r="K7592" s="328">
        <f t="shared" si="77"/>
        <v>20830</v>
      </c>
      <c r="L7592" s="310">
        <f t="shared" si="78"/>
        <v>101025.49999999999</v>
      </c>
    </row>
    <row r="7593" spans="5:13" ht="15" customHeight="1" thickBot="1">
      <c r="F7593" s="316"/>
      <c r="G7593" s="317"/>
      <c r="H7593" s="318"/>
      <c r="I7593" s="318"/>
      <c r="J7593" s="319" t="s">
        <v>189</v>
      </c>
      <c r="K7593" s="320"/>
      <c r="L7593" s="321">
        <f>SUM(L7587:L7592)</f>
        <v>551711.34</v>
      </c>
    </row>
    <row r="7594" spans="5:13" ht="15" customHeight="1" thickBot="1">
      <c r="F7594" s="300" t="s">
        <v>190</v>
      </c>
      <c r="G7594" s="301" t="s">
        <v>191</v>
      </c>
      <c r="H7594" s="302"/>
      <c r="I7594" s="302"/>
      <c r="J7594" s="351"/>
      <c r="K7594" s="328">
        <v>0</v>
      </c>
      <c r="L7594" s="310">
        <f>J7594*K7594</f>
        <v>0</v>
      </c>
    </row>
    <row r="7595" spans="5:13" ht="15" customHeight="1" thickBot="1">
      <c r="F7595" s="316"/>
      <c r="G7595" s="317"/>
      <c r="H7595" s="318"/>
      <c r="I7595" s="318"/>
      <c r="J7595" s="319" t="s">
        <v>192</v>
      </c>
      <c r="K7595" s="320"/>
      <c r="L7595" s="321">
        <f>L7594</f>
        <v>0</v>
      </c>
    </row>
    <row r="7596" spans="5:13" ht="15" customHeight="1">
      <c r="F7596" s="344" t="s">
        <v>193</v>
      </c>
      <c r="G7596" s="345" t="s">
        <v>194</v>
      </c>
      <c r="H7596" s="346"/>
      <c r="I7596" s="346"/>
      <c r="J7596" s="347"/>
      <c r="K7596" s="348">
        <v>0</v>
      </c>
      <c r="L7596" s="310">
        <f>SUM(L7581:L7595)/2</f>
        <v>1128746.3400000001</v>
      </c>
    </row>
    <row r="7597" spans="5:13" ht="15" customHeight="1" thickBot="1">
      <c r="F7597" s="331" t="s">
        <v>195</v>
      </c>
      <c r="G7597" s="332" t="s">
        <v>196</v>
      </c>
      <c r="H7597" s="333"/>
      <c r="I7597" s="333"/>
      <c r="J7597" s="350">
        <v>0.1</v>
      </c>
      <c r="K7597" s="335"/>
      <c r="L7597" s="330">
        <f>J7597*L7596</f>
        <v>112874.63400000002</v>
      </c>
    </row>
    <row r="7598" spans="5:13" ht="15" customHeight="1" thickBot="1">
      <c r="F7598" s="340" t="s">
        <v>197</v>
      </c>
      <c r="G7598" s="341" t="s">
        <v>198</v>
      </c>
      <c r="H7598" s="318"/>
      <c r="I7598" s="318"/>
      <c r="J7598" s="342"/>
      <c r="K7598" s="320">
        <v>0</v>
      </c>
      <c r="L7598" s="321">
        <f>ROUNDDOWN(L7596+L7597,0)</f>
        <v>1241620</v>
      </c>
    </row>
    <row r="7599" spans="5:13" ht="15" customHeight="1">
      <c r="F7599" s="298"/>
      <c r="G7599" s="298"/>
      <c r="J7599" s="343"/>
      <c r="K7599" s="355"/>
      <c r="L7599" s="299"/>
    </row>
    <row r="7600" spans="5:13" ht="15" customHeight="1" thickBot="1">
      <c r="E7600" s="356" t="s">
        <v>1376</v>
      </c>
      <c r="F7600" s="295" t="s">
        <v>1377</v>
      </c>
      <c r="J7600" s="343"/>
      <c r="M7600" s="299">
        <f>L7616</f>
        <v>82417</v>
      </c>
    </row>
    <row r="7601" spans="6:12" ht="15" customHeight="1" thickBot="1">
      <c r="F7601" s="340" t="s">
        <v>136</v>
      </c>
      <c r="G7601" s="341" t="s">
        <v>162</v>
      </c>
      <c r="H7601" s="352" t="s">
        <v>163</v>
      </c>
      <c r="I7601" s="352" t="s">
        <v>138</v>
      </c>
      <c r="J7601" s="353" t="s">
        <v>164</v>
      </c>
      <c r="K7601" s="341" t="s">
        <v>165</v>
      </c>
      <c r="L7601" s="354" t="s">
        <v>166</v>
      </c>
    </row>
    <row r="7602" spans="6:12" ht="15" customHeight="1">
      <c r="F7602" s="344" t="s">
        <v>167</v>
      </c>
      <c r="G7602" s="345" t="s">
        <v>168</v>
      </c>
      <c r="H7602" s="346"/>
      <c r="I7602" s="346"/>
      <c r="J7602" s="347"/>
      <c r="K7602" s="348"/>
      <c r="L7602" s="349"/>
    </row>
    <row r="7603" spans="6:12" ht="15" customHeight="1">
      <c r="F7603" s="306"/>
      <c r="G7603" s="301" t="s">
        <v>169</v>
      </c>
      <c r="H7603" s="307" t="s">
        <v>170</v>
      </c>
      <c r="I7603" s="429" t="s">
        <v>171</v>
      </c>
      <c r="J7603" s="432">
        <v>5.3999999999999999E-2</v>
      </c>
      <c r="K7603" s="309">
        <f>VLOOKUP(G7603,Upah,8,FALSE)</f>
        <v>125000</v>
      </c>
      <c r="L7603" s="310">
        <f>J7603*K7603</f>
        <v>6750</v>
      </c>
    </row>
    <row r="7604" spans="6:12" ht="15" customHeight="1">
      <c r="F7604" s="306"/>
      <c r="G7604" s="301" t="s">
        <v>216</v>
      </c>
      <c r="H7604" s="307" t="s">
        <v>217</v>
      </c>
      <c r="I7604" s="429" t="s">
        <v>171</v>
      </c>
      <c r="J7604" s="432">
        <v>0.09</v>
      </c>
      <c r="K7604" s="309">
        <f>VLOOKUP(G7604,Upah,8,FALSE)</f>
        <v>150000</v>
      </c>
      <c r="L7604" s="310">
        <f>J7604*K7604</f>
        <v>13500</v>
      </c>
    </row>
    <row r="7605" spans="6:12" ht="15" customHeight="1">
      <c r="F7605" s="306"/>
      <c r="G7605" s="301" t="s">
        <v>232</v>
      </c>
      <c r="H7605" s="307" t="s">
        <v>175</v>
      </c>
      <c r="I7605" s="429" t="s">
        <v>171</v>
      </c>
      <c r="J7605" s="432">
        <v>8.9999999999999993E-3</v>
      </c>
      <c r="K7605" s="309">
        <f>VLOOKUP(G7605,Upah,8,FALSE)</f>
        <v>165000</v>
      </c>
      <c r="L7605" s="310">
        <f>J7605*K7605</f>
        <v>1485</v>
      </c>
    </row>
    <row r="7606" spans="6:12" ht="15" customHeight="1" thickBot="1">
      <c r="F7606" s="306"/>
      <c r="G7606" s="301" t="s">
        <v>176</v>
      </c>
      <c r="H7606" s="307" t="s">
        <v>177</v>
      </c>
      <c r="I7606" s="429" t="s">
        <v>171</v>
      </c>
      <c r="J7606" s="432">
        <v>2.7E-2</v>
      </c>
      <c r="K7606" s="309">
        <f>VLOOKUP(G7606,Upah,8,FALSE)</f>
        <v>170000</v>
      </c>
      <c r="L7606" s="310">
        <f>J7606*K7606</f>
        <v>4590</v>
      </c>
    </row>
    <row r="7607" spans="6:12" ht="15" customHeight="1" thickBot="1">
      <c r="F7607" s="316"/>
      <c r="G7607" s="317"/>
      <c r="H7607" s="318"/>
      <c r="I7607" s="318"/>
      <c r="J7607" s="319" t="s">
        <v>178</v>
      </c>
      <c r="K7607" s="320"/>
      <c r="L7607" s="321">
        <f>SUM(L7603:L7606)</f>
        <v>26325</v>
      </c>
    </row>
    <row r="7608" spans="6:12" ht="15" customHeight="1">
      <c r="F7608" s="300" t="s">
        <v>179</v>
      </c>
      <c r="G7608" s="301" t="s">
        <v>180</v>
      </c>
      <c r="H7608" s="302"/>
      <c r="I7608" s="302"/>
      <c r="J7608" s="351"/>
      <c r="K7608" s="328"/>
      <c r="L7608" s="310"/>
    </row>
    <row r="7609" spans="6:12" ht="15" customHeight="1">
      <c r="F7609" s="306"/>
      <c r="G7609" s="301" t="s">
        <v>1378</v>
      </c>
      <c r="H7609" s="302"/>
      <c r="I7609" s="429" t="s">
        <v>20</v>
      </c>
      <c r="J7609" s="432">
        <v>1.2</v>
      </c>
      <c r="K7609" s="328">
        <f>VLOOKUP(G7609,Bahan,6,FALSE)</f>
        <v>30000</v>
      </c>
      <c r="L7609" s="310">
        <f>J7609*K7609</f>
        <v>36000</v>
      </c>
    </row>
    <row r="7610" spans="6:12" ht="15" customHeight="1" thickBot="1">
      <c r="F7610" s="306"/>
      <c r="G7610" s="301" t="s">
        <v>1330</v>
      </c>
      <c r="H7610" s="302"/>
      <c r="I7610" s="429" t="s">
        <v>943</v>
      </c>
      <c r="J7610" s="432">
        <v>35</v>
      </c>
      <c r="K7610" s="328">
        <f>L7609/100</f>
        <v>360</v>
      </c>
      <c r="L7610" s="310">
        <f>J7610*K7610</f>
        <v>12600</v>
      </c>
    </row>
    <row r="7611" spans="6:12" ht="15" customHeight="1" thickBot="1">
      <c r="F7611" s="316"/>
      <c r="G7611" s="317"/>
      <c r="H7611" s="318"/>
      <c r="I7611" s="318"/>
      <c r="J7611" s="319" t="s">
        <v>189</v>
      </c>
      <c r="K7611" s="320"/>
      <c r="L7611" s="321">
        <f>SUM(L7609:L7610)</f>
        <v>48600</v>
      </c>
    </row>
    <row r="7612" spans="6:12" ht="15" customHeight="1" thickBot="1">
      <c r="F7612" s="300" t="s">
        <v>190</v>
      </c>
      <c r="G7612" s="301" t="s">
        <v>191</v>
      </c>
      <c r="H7612" s="302"/>
      <c r="I7612" s="302"/>
      <c r="J7612" s="351"/>
      <c r="K7612" s="328">
        <v>0</v>
      </c>
      <c r="L7612" s="310">
        <f>J7612*K7612</f>
        <v>0</v>
      </c>
    </row>
    <row r="7613" spans="6:12" ht="15" customHeight="1" thickBot="1">
      <c r="F7613" s="316"/>
      <c r="G7613" s="317"/>
      <c r="H7613" s="318"/>
      <c r="I7613" s="318"/>
      <c r="J7613" s="319" t="s">
        <v>192</v>
      </c>
      <c r="K7613" s="320"/>
      <c r="L7613" s="321">
        <f>L7612</f>
        <v>0</v>
      </c>
    </row>
    <row r="7614" spans="6:12" ht="15" customHeight="1">
      <c r="F7614" s="344" t="s">
        <v>193</v>
      </c>
      <c r="G7614" s="345" t="s">
        <v>194</v>
      </c>
      <c r="H7614" s="346"/>
      <c r="I7614" s="346"/>
      <c r="J7614" s="347"/>
      <c r="K7614" s="348">
        <v>0</v>
      </c>
      <c r="L7614" s="310">
        <f>SUM(L7603:L7613)/2</f>
        <v>74925</v>
      </c>
    </row>
    <row r="7615" spans="6:12" ht="15" customHeight="1" thickBot="1">
      <c r="F7615" s="331" t="s">
        <v>195</v>
      </c>
      <c r="G7615" s="332" t="s">
        <v>196</v>
      </c>
      <c r="H7615" s="333"/>
      <c r="I7615" s="333"/>
      <c r="J7615" s="350">
        <v>0.1</v>
      </c>
      <c r="K7615" s="335"/>
      <c r="L7615" s="330">
        <f>J7615*L7614</f>
        <v>7492.5</v>
      </c>
    </row>
    <row r="7616" spans="6:12" ht="15" customHeight="1" thickBot="1">
      <c r="F7616" s="340" t="s">
        <v>197</v>
      </c>
      <c r="G7616" s="341" t="s">
        <v>198</v>
      </c>
      <c r="H7616" s="318"/>
      <c r="I7616" s="318"/>
      <c r="J7616" s="342"/>
      <c r="K7616" s="320">
        <v>0</v>
      </c>
      <c r="L7616" s="321">
        <f>ROUNDDOWN(L7614+L7615,0)</f>
        <v>82417</v>
      </c>
    </row>
    <row r="7617" spans="5:13" ht="15" customHeight="1">
      <c r="F7617" s="298"/>
      <c r="G7617" s="298"/>
      <c r="J7617" s="343"/>
      <c r="K7617" s="355"/>
      <c r="L7617" s="299"/>
    </row>
    <row r="7618" spans="5:13" ht="15" customHeight="1" thickBot="1">
      <c r="E7618" s="356" t="s">
        <v>1379</v>
      </c>
      <c r="F7618" s="295" t="s">
        <v>1380</v>
      </c>
      <c r="J7618" s="343"/>
      <c r="M7618" s="299">
        <f>L7634</f>
        <v>110331</v>
      </c>
    </row>
    <row r="7619" spans="5:13" ht="15" customHeight="1" thickBot="1">
      <c r="F7619" s="340" t="s">
        <v>136</v>
      </c>
      <c r="G7619" s="341" t="s">
        <v>162</v>
      </c>
      <c r="H7619" s="352" t="s">
        <v>163</v>
      </c>
      <c r="I7619" s="352" t="s">
        <v>138</v>
      </c>
      <c r="J7619" s="353" t="s">
        <v>164</v>
      </c>
      <c r="K7619" s="341" t="s">
        <v>165</v>
      </c>
      <c r="L7619" s="354" t="s">
        <v>166</v>
      </c>
    </row>
    <row r="7620" spans="5:13" ht="15" customHeight="1">
      <c r="F7620" s="344" t="s">
        <v>167</v>
      </c>
      <c r="G7620" s="345" t="s">
        <v>168</v>
      </c>
      <c r="H7620" s="346"/>
      <c r="I7620" s="346"/>
      <c r="J7620" s="347"/>
      <c r="K7620" s="348"/>
      <c r="L7620" s="349"/>
    </row>
    <row r="7621" spans="5:13" ht="15" customHeight="1">
      <c r="F7621" s="306"/>
      <c r="G7621" s="301" t="s">
        <v>169</v>
      </c>
      <c r="H7621" s="307" t="s">
        <v>170</v>
      </c>
      <c r="I7621" s="429" t="s">
        <v>171</v>
      </c>
      <c r="J7621" s="432">
        <v>0.01</v>
      </c>
      <c r="K7621" s="309">
        <f>VLOOKUP(G7621,Upah,8,FALSE)</f>
        <v>125000</v>
      </c>
      <c r="L7621" s="310">
        <f>J7621*K7621</f>
        <v>1250</v>
      </c>
    </row>
    <row r="7622" spans="5:13" ht="15" customHeight="1">
      <c r="F7622" s="306"/>
      <c r="G7622" s="301" t="s">
        <v>216</v>
      </c>
      <c r="H7622" s="307" t="s">
        <v>217</v>
      </c>
      <c r="I7622" s="429" t="s">
        <v>171</v>
      </c>
      <c r="J7622" s="432">
        <v>0.4</v>
      </c>
      <c r="K7622" s="309">
        <f>VLOOKUP(G7622,Upah,8,FALSE)</f>
        <v>150000</v>
      </c>
      <c r="L7622" s="310">
        <f>J7622*K7622</f>
        <v>60000</v>
      </c>
    </row>
    <row r="7623" spans="5:13" ht="15" customHeight="1">
      <c r="F7623" s="306"/>
      <c r="G7623" s="301" t="s">
        <v>232</v>
      </c>
      <c r="H7623" s="307" t="s">
        <v>175</v>
      </c>
      <c r="I7623" s="429" t="s">
        <v>171</v>
      </c>
      <c r="J7623" s="432">
        <v>0.04</v>
      </c>
      <c r="K7623" s="309">
        <f>VLOOKUP(G7623,Upah,8,FALSE)</f>
        <v>165000</v>
      </c>
      <c r="L7623" s="310">
        <f>J7623*K7623</f>
        <v>6600</v>
      </c>
    </row>
    <row r="7624" spans="5:13" ht="15" customHeight="1" thickBot="1">
      <c r="F7624" s="306"/>
      <c r="G7624" s="301" t="s">
        <v>176</v>
      </c>
      <c r="H7624" s="307" t="s">
        <v>177</v>
      </c>
      <c r="I7624" s="429" t="s">
        <v>171</v>
      </c>
      <c r="J7624" s="432">
        <v>5.0000000000000001E-3</v>
      </c>
      <c r="K7624" s="309">
        <f>VLOOKUP(G7624,Upah,8,FALSE)</f>
        <v>170000</v>
      </c>
      <c r="L7624" s="310">
        <f>J7624*K7624</f>
        <v>850</v>
      </c>
    </row>
    <row r="7625" spans="5:13" ht="15" customHeight="1" thickBot="1">
      <c r="F7625" s="316"/>
      <c r="G7625" s="317"/>
      <c r="H7625" s="318"/>
      <c r="I7625" s="318"/>
      <c r="J7625" s="319" t="s">
        <v>178</v>
      </c>
      <c r="K7625" s="320"/>
      <c r="L7625" s="321">
        <f>SUM(L7621:L7624)</f>
        <v>68700</v>
      </c>
    </row>
    <row r="7626" spans="5:13" ht="15" customHeight="1">
      <c r="F7626" s="300" t="s">
        <v>179</v>
      </c>
      <c r="G7626" s="301" t="s">
        <v>180</v>
      </c>
      <c r="H7626" s="302"/>
      <c r="I7626" s="302"/>
      <c r="J7626" s="351"/>
      <c r="K7626" s="328"/>
      <c r="L7626" s="310"/>
    </row>
    <row r="7627" spans="5:13" ht="15" customHeight="1">
      <c r="F7627" s="306"/>
      <c r="G7627" s="301" t="s">
        <v>1381</v>
      </c>
      <c r="H7627" s="302"/>
      <c r="I7627" s="429" t="s">
        <v>20</v>
      </c>
      <c r="J7627" s="432">
        <v>1</v>
      </c>
      <c r="K7627" s="328">
        <f>VLOOKUP(G7627,Bahan,6,FALSE)</f>
        <v>31500</v>
      </c>
      <c r="L7627" s="310">
        <f>J7627*K7627</f>
        <v>31500</v>
      </c>
    </row>
    <row r="7628" spans="5:13" ht="15" customHeight="1" thickBot="1">
      <c r="F7628" s="306"/>
      <c r="G7628" s="301" t="s">
        <v>1382</v>
      </c>
      <c r="H7628" s="302"/>
      <c r="I7628" s="429" t="s">
        <v>405</v>
      </c>
      <c r="J7628" s="432">
        <v>2.5000000000000001E-2</v>
      </c>
      <c r="K7628" s="328">
        <f>VLOOKUP(G7628,Bahan,6,FALSE)</f>
        <v>4060</v>
      </c>
      <c r="L7628" s="310">
        <f>J7628*K7628</f>
        <v>101.5</v>
      </c>
    </row>
    <row r="7629" spans="5:13" ht="15" customHeight="1" thickBot="1">
      <c r="F7629" s="316"/>
      <c r="G7629" s="317"/>
      <c r="H7629" s="318"/>
      <c r="I7629" s="318"/>
      <c r="J7629" s="319" t="s">
        <v>189</v>
      </c>
      <c r="K7629" s="320"/>
      <c r="L7629" s="321">
        <f>SUM(L7627:L7628)</f>
        <v>31601.5</v>
      </c>
    </row>
    <row r="7630" spans="5:13" ht="15" customHeight="1" thickBot="1">
      <c r="F7630" s="300" t="s">
        <v>190</v>
      </c>
      <c r="G7630" s="301" t="s">
        <v>191</v>
      </c>
      <c r="H7630" s="302"/>
      <c r="I7630" s="302"/>
      <c r="J7630" s="351"/>
      <c r="K7630" s="328">
        <v>0</v>
      </c>
      <c r="L7630" s="310">
        <f>J7630*K7630</f>
        <v>0</v>
      </c>
    </row>
    <row r="7631" spans="5:13" ht="15" customHeight="1" thickBot="1">
      <c r="F7631" s="316"/>
      <c r="G7631" s="317"/>
      <c r="H7631" s="318"/>
      <c r="I7631" s="318"/>
      <c r="J7631" s="319" t="s">
        <v>192</v>
      </c>
      <c r="K7631" s="320"/>
      <c r="L7631" s="321">
        <f>L7630</f>
        <v>0</v>
      </c>
    </row>
    <row r="7632" spans="5:13" ht="15" customHeight="1">
      <c r="F7632" s="344" t="s">
        <v>193</v>
      </c>
      <c r="G7632" s="345" t="s">
        <v>194</v>
      </c>
      <c r="H7632" s="346"/>
      <c r="I7632" s="346"/>
      <c r="J7632" s="347"/>
      <c r="K7632" s="348">
        <v>0</v>
      </c>
      <c r="L7632" s="310">
        <f>SUM(L7621:L7631)/2</f>
        <v>100301.5</v>
      </c>
    </row>
    <row r="7633" spans="5:13" ht="15" customHeight="1" thickBot="1">
      <c r="F7633" s="331" t="s">
        <v>195</v>
      </c>
      <c r="G7633" s="332" t="s">
        <v>196</v>
      </c>
      <c r="H7633" s="333"/>
      <c r="I7633" s="333"/>
      <c r="J7633" s="350">
        <v>0.1</v>
      </c>
      <c r="K7633" s="335"/>
      <c r="L7633" s="330">
        <f>J7633*L7632</f>
        <v>10030.150000000001</v>
      </c>
    </row>
    <row r="7634" spans="5:13" ht="15" customHeight="1" thickBot="1">
      <c r="F7634" s="340" t="s">
        <v>197</v>
      </c>
      <c r="G7634" s="341" t="s">
        <v>198</v>
      </c>
      <c r="H7634" s="318"/>
      <c r="I7634" s="318"/>
      <c r="J7634" s="342"/>
      <c r="K7634" s="320">
        <v>0</v>
      </c>
      <c r="L7634" s="321">
        <f>ROUNDDOWN(L7632+L7633,0)</f>
        <v>110331</v>
      </c>
    </row>
    <row r="7635" spans="5:13" ht="15" customHeight="1">
      <c r="F7635" s="298"/>
      <c r="G7635" s="298"/>
      <c r="J7635" s="343"/>
    </row>
    <row r="7636" spans="5:13" ht="15" customHeight="1" thickBot="1">
      <c r="E7636" s="356" t="s">
        <v>1383</v>
      </c>
      <c r="F7636" s="295" t="s">
        <v>1384</v>
      </c>
      <c r="J7636" s="343"/>
      <c r="M7636" s="299">
        <f>L7652</f>
        <v>85981</v>
      </c>
    </row>
    <row r="7637" spans="5:13" ht="15" customHeight="1" thickBot="1">
      <c r="F7637" s="340" t="s">
        <v>136</v>
      </c>
      <c r="G7637" s="341" t="s">
        <v>162</v>
      </c>
      <c r="H7637" s="352" t="s">
        <v>163</v>
      </c>
      <c r="I7637" s="352" t="s">
        <v>138</v>
      </c>
      <c r="J7637" s="353" t="s">
        <v>164</v>
      </c>
      <c r="K7637" s="341" t="s">
        <v>165</v>
      </c>
      <c r="L7637" s="354" t="s">
        <v>166</v>
      </c>
    </row>
    <row r="7638" spans="5:13" ht="15" customHeight="1">
      <c r="F7638" s="344" t="s">
        <v>167</v>
      </c>
      <c r="G7638" s="345" t="s">
        <v>168</v>
      </c>
      <c r="H7638" s="346"/>
      <c r="I7638" s="346"/>
      <c r="J7638" s="347"/>
      <c r="K7638" s="348"/>
      <c r="L7638" s="349"/>
    </row>
    <row r="7639" spans="5:13" ht="15" customHeight="1">
      <c r="F7639" s="306"/>
      <c r="G7639" s="301" t="s">
        <v>169</v>
      </c>
      <c r="H7639" s="307" t="s">
        <v>170</v>
      </c>
      <c r="I7639" s="429" t="s">
        <v>171</v>
      </c>
      <c r="J7639" s="432">
        <v>5.3999999999999999E-2</v>
      </c>
      <c r="K7639" s="309">
        <f>VLOOKUP(G7639,Upah,8,FALSE)</f>
        <v>125000</v>
      </c>
      <c r="L7639" s="310">
        <f>J7639*K7639</f>
        <v>6750</v>
      </c>
    </row>
    <row r="7640" spans="5:13" ht="15" customHeight="1">
      <c r="F7640" s="306"/>
      <c r="G7640" s="301" t="s">
        <v>216</v>
      </c>
      <c r="H7640" s="307" t="s">
        <v>217</v>
      </c>
      <c r="I7640" s="429" t="s">
        <v>171</v>
      </c>
      <c r="J7640" s="432">
        <v>0.09</v>
      </c>
      <c r="K7640" s="309">
        <f>VLOOKUP(G7640,Upah,8,FALSE)</f>
        <v>150000</v>
      </c>
      <c r="L7640" s="310">
        <f>J7640*K7640</f>
        <v>13500</v>
      </c>
    </row>
    <row r="7641" spans="5:13" ht="15" customHeight="1">
      <c r="F7641" s="306"/>
      <c r="G7641" s="301" t="s">
        <v>232</v>
      </c>
      <c r="H7641" s="307" t="s">
        <v>175</v>
      </c>
      <c r="I7641" s="429" t="s">
        <v>171</v>
      </c>
      <c r="J7641" s="432">
        <v>8.9999999999999993E-3</v>
      </c>
      <c r="K7641" s="309">
        <f>VLOOKUP(G7641,Upah,8,FALSE)</f>
        <v>165000</v>
      </c>
      <c r="L7641" s="310">
        <f>J7641*K7641</f>
        <v>1485</v>
      </c>
    </row>
    <row r="7642" spans="5:13" ht="15" customHeight="1" thickBot="1">
      <c r="F7642" s="306"/>
      <c r="G7642" s="301" t="s">
        <v>176</v>
      </c>
      <c r="H7642" s="307" t="s">
        <v>177</v>
      </c>
      <c r="I7642" s="429" t="s">
        <v>171</v>
      </c>
      <c r="J7642" s="432">
        <v>2.7E-2</v>
      </c>
      <c r="K7642" s="309">
        <f>VLOOKUP(G7642,Upah,8,FALSE)</f>
        <v>170000</v>
      </c>
      <c r="L7642" s="310">
        <f>J7642*K7642</f>
        <v>4590</v>
      </c>
    </row>
    <row r="7643" spans="5:13" ht="15" customHeight="1" thickBot="1">
      <c r="F7643" s="316"/>
      <c r="G7643" s="317"/>
      <c r="H7643" s="318"/>
      <c r="I7643" s="318"/>
      <c r="J7643" s="319" t="s">
        <v>178</v>
      </c>
      <c r="K7643" s="320"/>
      <c r="L7643" s="321">
        <f>SUM(L7639:L7642)</f>
        <v>26325</v>
      </c>
    </row>
    <row r="7644" spans="5:13" ht="15" customHeight="1">
      <c r="F7644" s="300" t="s">
        <v>179</v>
      </c>
      <c r="G7644" s="301" t="s">
        <v>180</v>
      </c>
      <c r="H7644" s="302"/>
      <c r="I7644" s="302"/>
      <c r="J7644" s="351"/>
      <c r="K7644" s="328"/>
      <c r="L7644" s="310"/>
    </row>
    <row r="7645" spans="5:13" ht="15" customHeight="1">
      <c r="F7645" s="306"/>
      <c r="G7645" s="301" t="s">
        <v>1385</v>
      </c>
      <c r="H7645" s="302"/>
      <c r="I7645" s="429" t="s">
        <v>20</v>
      </c>
      <c r="J7645" s="432">
        <v>1.2</v>
      </c>
      <c r="K7645" s="328">
        <f>VLOOKUP(G7645,Bahan,6,FALSE)</f>
        <v>32000</v>
      </c>
      <c r="L7645" s="310">
        <f>J7645*K7645</f>
        <v>38400</v>
      </c>
    </row>
    <row r="7646" spans="5:13" ht="15" customHeight="1" thickBot="1">
      <c r="F7646" s="306"/>
      <c r="G7646" s="301" t="s">
        <v>1330</v>
      </c>
      <c r="H7646" s="302"/>
      <c r="I7646" s="429" t="s">
        <v>943</v>
      </c>
      <c r="J7646" s="432">
        <v>35</v>
      </c>
      <c r="K7646" s="328">
        <f>L7645/100</f>
        <v>384</v>
      </c>
      <c r="L7646" s="310">
        <f>J7646*K7646</f>
        <v>13440</v>
      </c>
    </row>
    <row r="7647" spans="5:13" ht="15" customHeight="1" thickBot="1">
      <c r="F7647" s="316"/>
      <c r="G7647" s="317"/>
      <c r="H7647" s="318"/>
      <c r="I7647" s="318"/>
      <c r="J7647" s="319" t="s">
        <v>189</v>
      </c>
      <c r="K7647" s="320"/>
      <c r="L7647" s="321">
        <f>SUM(L7645:L7646)</f>
        <v>51840</v>
      </c>
    </row>
    <row r="7648" spans="5:13" ht="15" customHeight="1" thickBot="1">
      <c r="F7648" s="300" t="s">
        <v>190</v>
      </c>
      <c r="G7648" s="301" t="s">
        <v>191</v>
      </c>
      <c r="H7648" s="302"/>
      <c r="I7648" s="302"/>
      <c r="J7648" s="351"/>
      <c r="K7648" s="328">
        <v>0</v>
      </c>
      <c r="L7648" s="310">
        <f>J7648*K7648</f>
        <v>0</v>
      </c>
    </row>
    <row r="7649" spans="5:13" ht="15" customHeight="1" thickBot="1">
      <c r="F7649" s="316"/>
      <c r="G7649" s="317"/>
      <c r="H7649" s="318"/>
      <c r="I7649" s="318"/>
      <c r="J7649" s="319" t="s">
        <v>192</v>
      </c>
      <c r="K7649" s="320"/>
      <c r="L7649" s="321">
        <f>L7648</f>
        <v>0</v>
      </c>
    </row>
    <row r="7650" spans="5:13" ht="15" customHeight="1">
      <c r="F7650" s="344" t="s">
        <v>193</v>
      </c>
      <c r="G7650" s="345" t="s">
        <v>194</v>
      </c>
      <c r="H7650" s="346"/>
      <c r="I7650" s="346"/>
      <c r="J7650" s="347"/>
      <c r="K7650" s="348">
        <v>0</v>
      </c>
      <c r="L7650" s="310">
        <f>SUM(L7639:L7649)/2</f>
        <v>78165</v>
      </c>
    </row>
    <row r="7651" spans="5:13" ht="15" customHeight="1" thickBot="1">
      <c r="F7651" s="331" t="s">
        <v>195</v>
      </c>
      <c r="G7651" s="332" t="s">
        <v>196</v>
      </c>
      <c r="H7651" s="333"/>
      <c r="I7651" s="333"/>
      <c r="J7651" s="350">
        <v>0.1</v>
      </c>
      <c r="K7651" s="335"/>
      <c r="L7651" s="330">
        <f>J7651*L7650</f>
        <v>7816.5</v>
      </c>
    </row>
    <row r="7652" spans="5:13" ht="15" customHeight="1" thickBot="1">
      <c r="F7652" s="340" t="s">
        <v>197</v>
      </c>
      <c r="G7652" s="341" t="s">
        <v>198</v>
      </c>
      <c r="H7652" s="318"/>
      <c r="I7652" s="318"/>
      <c r="J7652" s="342"/>
      <c r="K7652" s="320">
        <v>0</v>
      </c>
      <c r="L7652" s="321">
        <f>ROUNDDOWN(L7650+L7651,0)</f>
        <v>85981</v>
      </c>
    </row>
    <row r="7653" spans="5:13" ht="15" customHeight="1">
      <c r="F7653" s="298"/>
      <c r="G7653" s="298"/>
      <c r="J7653" s="343"/>
    </row>
    <row r="7654" spans="5:13" ht="15" customHeight="1" thickBot="1">
      <c r="E7654" s="356" t="s">
        <v>1386</v>
      </c>
      <c r="F7654" s="295" t="s">
        <v>1387</v>
      </c>
      <c r="J7654" s="343"/>
      <c r="M7654" s="299">
        <f>L7670</f>
        <v>28957</v>
      </c>
    </row>
    <row r="7655" spans="5:13" ht="15" customHeight="1" thickBot="1">
      <c r="F7655" s="340" t="s">
        <v>136</v>
      </c>
      <c r="G7655" s="341" t="s">
        <v>162</v>
      </c>
      <c r="H7655" s="352" t="s">
        <v>163</v>
      </c>
      <c r="I7655" s="352" t="s">
        <v>138</v>
      </c>
      <c r="J7655" s="353" t="s">
        <v>164</v>
      </c>
      <c r="K7655" s="341" t="s">
        <v>165</v>
      </c>
      <c r="L7655" s="354" t="s">
        <v>166</v>
      </c>
    </row>
    <row r="7656" spans="5:13" ht="15" customHeight="1">
      <c r="F7656" s="344" t="s">
        <v>167</v>
      </c>
      <c r="G7656" s="345" t="s">
        <v>168</v>
      </c>
      <c r="H7656" s="346"/>
      <c r="I7656" s="346"/>
      <c r="J7656" s="347"/>
      <c r="K7656" s="348"/>
      <c r="L7656" s="349"/>
    </row>
    <row r="7657" spans="5:13" ht="15" customHeight="1">
      <c r="F7657" s="306"/>
      <c r="G7657" s="301" t="s">
        <v>169</v>
      </c>
      <c r="H7657" s="307" t="s">
        <v>170</v>
      </c>
      <c r="I7657" s="429" t="s">
        <v>171</v>
      </c>
      <c r="J7657" s="432">
        <v>5.3999999999999999E-2</v>
      </c>
      <c r="K7657" s="309">
        <f>VLOOKUP(G7657,Upah,8,FALSE)</f>
        <v>125000</v>
      </c>
      <c r="L7657" s="310">
        <f>J7657*K7657</f>
        <v>6750</v>
      </c>
    </row>
    <row r="7658" spans="5:13" ht="15" customHeight="1">
      <c r="F7658" s="306"/>
      <c r="G7658" s="301" t="s">
        <v>216</v>
      </c>
      <c r="H7658" s="307" t="s">
        <v>217</v>
      </c>
      <c r="I7658" s="429" t="s">
        <v>171</v>
      </c>
      <c r="J7658" s="432">
        <v>0.09</v>
      </c>
      <c r="K7658" s="309">
        <f>VLOOKUP(G7658,Upah,8,FALSE)</f>
        <v>150000</v>
      </c>
      <c r="L7658" s="310">
        <f>J7658*K7658</f>
        <v>13500</v>
      </c>
    </row>
    <row r="7659" spans="5:13" ht="15" customHeight="1">
      <c r="F7659" s="306"/>
      <c r="G7659" s="301" t="s">
        <v>232</v>
      </c>
      <c r="H7659" s="307" t="s">
        <v>175</v>
      </c>
      <c r="I7659" s="429" t="s">
        <v>171</v>
      </c>
      <c r="J7659" s="432">
        <v>8.9999999999999993E-3</v>
      </c>
      <c r="K7659" s="309">
        <f>VLOOKUP(G7659,Upah,8,FALSE)</f>
        <v>165000</v>
      </c>
      <c r="L7659" s="310">
        <f>J7659*K7659</f>
        <v>1485</v>
      </c>
    </row>
    <row r="7660" spans="5:13" ht="15" customHeight="1" thickBot="1">
      <c r="F7660" s="306"/>
      <c r="G7660" s="301" t="s">
        <v>176</v>
      </c>
      <c r="H7660" s="307" t="s">
        <v>177</v>
      </c>
      <c r="I7660" s="429" t="s">
        <v>171</v>
      </c>
      <c r="J7660" s="432">
        <v>2.7E-2</v>
      </c>
      <c r="K7660" s="309">
        <f>VLOOKUP(G7660,Upah,8,FALSE)</f>
        <v>170000</v>
      </c>
      <c r="L7660" s="310">
        <f>J7660*K7660</f>
        <v>4590</v>
      </c>
    </row>
    <row r="7661" spans="5:13" ht="15" customHeight="1" thickBot="1">
      <c r="F7661" s="316"/>
      <c r="G7661" s="317"/>
      <c r="H7661" s="318"/>
      <c r="I7661" s="318"/>
      <c r="J7661" s="319" t="s">
        <v>178</v>
      </c>
      <c r="K7661" s="320"/>
      <c r="L7661" s="321">
        <f>SUM(L7657:L7660)</f>
        <v>26325</v>
      </c>
    </row>
    <row r="7662" spans="5:13" ht="15" customHeight="1">
      <c r="F7662" s="300" t="s">
        <v>179</v>
      </c>
      <c r="G7662" s="301" t="s">
        <v>180</v>
      </c>
      <c r="H7662" s="302"/>
      <c r="I7662" s="302"/>
      <c r="J7662" s="351"/>
      <c r="K7662" s="328"/>
      <c r="L7662" s="310"/>
    </row>
    <row r="7663" spans="5:13" ht="15" customHeight="1">
      <c r="F7663" s="306"/>
      <c r="G7663" s="301" t="s">
        <v>1388</v>
      </c>
      <c r="H7663" s="302"/>
      <c r="I7663" s="429" t="s">
        <v>20</v>
      </c>
      <c r="J7663" s="432">
        <v>1.2</v>
      </c>
      <c r="K7663" s="328"/>
      <c r="L7663" s="310">
        <f>J7663*K7663</f>
        <v>0</v>
      </c>
    </row>
    <row r="7664" spans="5:13" ht="15" customHeight="1" thickBot="1">
      <c r="F7664" s="306"/>
      <c r="G7664" s="301" t="s">
        <v>1330</v>
      </c>
      <c r="H7664" s="302"/>
      <c r="I7664" s="429" t="s">
        <v>943</v>
      </c>
      <c r="J7664" s="432">
        <v>35</v>
      </c>
      <c r="K7664" s="328">
        <f>L7663/100</f>
        <v>0</v>
      </c>
      <c r="L7664" s="310">
        <f>J7664*K7664</f>
        <v>0</v>
      </c>
    </row>
    <row r="7665" spans="5:13" ht="15" customHeight="1" thickBot="1">
      <c r="F7665" s="316"/>
      <c r="G7665" s="317"/>
      <c r="H7665" s="318"/>
      <c r="I7665" s="318"/>
      <c r="J7665" s="319" t="s">
        <v>189</v>
      </c>
      <c r="K7665" s="320"/>
      <c r="L7665" s="321">
        <f>SUM(L7663:L7664)</f>
        <v>0</v>
      </c>
    </row>
    <row r="7666" spans="5:13" ht="15" customHeight="1" thickBot="1">
      <c r="F7666" s="300" t="s">
        <v>190</v>
      </c>
      <c r="G7666" s="301" t="s">
        <v>191</v>
      </c>
      <c r="H7666" s="302"/>
      <c r="I7666" s="302"/>
      <c r="J7666" s="351"/>
      <c r="K7666" s="328">
        <v>0</v>
      </c>
      <c r="L7666" s="310">
        <f>J7666*K7666</f>
        <v>0</v>
      </c>
    </row>
    <row r="7667" spans="5:13" ht="15" customHeight="1" thickBot="1">
      <c r="F7667" s="316"/>
      <c r="G7667" s="317"/>
      <c r="H7667" s="318"/>
      <c r="I7667" s="318"/>
      <c r="J7667" s="319" t="s">
        <v>192</v>
      </c>
      <c r="K7667" s="320"/>
      <c r="L7667" s="321">
        <f>L7666</f>
        <v>0</v>
      </c>
    </row>
    <row r="7668" spans="5:13" ht="15" customHeight="1">
      <c r="F7668" s="344" t="s">
        <v>193</v>
      </c>
      <c r="G7668" s="345" t="s">
        <v>194</v>
      </c>
      <c r="H7668" s="346"/>
      <c r="I7668" s="346"/>
      <c r="J7668" s="347"/>
      <c r="K7668" s="348">
        <v>0</v>
      </c>
      <c r="L7668" s="310">
        <f>SUM(L7657:L7667)/2</f>
        <v>26325</v>
      </c>
    </row>
    <row r="7669" spans="5:13" ht="15" customHeight="1" thickBot="1">
      <c r="F7669" s="331" t="s">
        <v>195</v>
      </c>
      <c r="G7669" s="332" t="s">
        <v>196</v>
      </c>
      <c r="H7669" s="333"/>
      <c r="I7669" s="333"/>
      <c r="J7669" s="350">
        <v>0.1</v>
      </c>
      <c r="K7669" s="335"/>
      <c r="L7669" s="330">
        <f>J7669*L7668</f>
        <v>2632.5</v>
      </c>
    </row>
    <row r="7670" spans="5:13" ht="15" customHeight="1" thickBot="1">
      <c r="F7670" s="340" t="s">
        <v>197</v>
      </c>
      <c r="G7670" s="341" t="s">
        <v>198</v>
      </c>
      <c r="H7670" s="318"/>
      <c r="I7670" s="318"/>
      <c r="J7670" s="342"/>
      <c r="K7670" s="320">
        <v>0</v>
      </c>
      <c r="L7670" s="321">
        <f>ROUNDDOWN(L7668+L7669,0)</f>
        <v>28957</v>
      </c>
    </row>
    <row r="7671" spans="5:13" ht="15" customHeight="1">
      <c r="F7671" s="298"/>
      <c r="G7671" s="298"/>
      <c r="J7671" s="343"/>
      <c r="K7671" s="355"/>
      <c r="L7671" s="299"/>
    </row>
    <row r="7672" spans="5:13" ht="15" customHeight="1" thickBot="1">
      <c r="E7672" s="356" t="s">
        <v>1389</v>
      </c>
      <c r="F7672" s="295" t="s">
        <v>1390</v>
      </c>
      <c r="J7672" s="343"/>
      <c r="M7672" s="299">
        <f>L7688</f>
        <v>190153</v>
      </c>
    </row>
    <row r="7673" spans="5:13" ht="15" customHeight="1" thickBot="1">
      <c r="F7673" s="340" t="s">
        <v>136</v>
      </c>
      <c r="G7673" s="341" t="s">
        <v>162</v>
      </c>
      <c r="H7673" s="352" t="s">
        <v>163</v>
      </c>
      <c r="I7673" s="352" t="s">
        <v>138</v>
      </c>
      <c r="J7673" s="353" t="s">
        <v>164</v>
      </c>
      <c r="K7673" s="341" t="s">
        <v>165</v>
      </c>
      <c r="L7673" s="354" t="s">
        <v>166</v>
      </c>
    </row>
    <row r="7674" spans="5:13" ht="15" customHeight="1">
      <c r="F7674" s="344" t="s">
        <v>167</v>
      </c>
      <c r="G7674" s="345" t="s">
        <v>168</v>
      </c>
      <c r="H7674" s="346"/>
      <c r="I7674" s="346"/>
      <c r="J7674" s="347"/>
      <c r="K7674" s="348"/>
      <c r="L7674" s="349"/>
    </row>
    <row r="7675" spans="5:13" ht="15" customHeight="1">
      <c r="F7675" s="306"/>
      <c r="G7675" s="301" t="s">
        <v>169</v>
      </c>
      <c r="H7675" s="307" t="s">
        <v>170</v>
      </c>
      <c r="I7675" s="429" t="s">
        <v>171</v>
      </c>
      <c r="J7675" s="432">
        <v>0.108</v>
      </c>
      <c r="K7675" s="309">
        <f>VLOOKUP(G7675,Upah,8,FALSE)</f>
        <v>125000</v>
      </c>
      <c r="L7675" s="310">
        <f>J7675*K7675</f>
        <v>13500</v>
      </c>
    </row>
    <row r="7676" spans="5:13" ht="15" customHeight="1">
      <c r="F7676" s="306"/>
      <c r="G7676" s="301" t="s">
        <v>216</v>
      </c>
      <c r="H7676" s="307" t="s">
        <v>217</v>
      </c>
      <c r="I7676" s="429" t="s">
        <v>171</v>
      </c>
      <c r="J7676" s="432">
        <v>0.18</v>
      </c>
      <c r="K7676" s="309">
        <f>VLOOKUP(G7676,Upah,8,FALSE)</f>
        <v>150000</v>
      </c>
      <c r="L7676" s="310">
        <f>J7676*K7676</f>
        <v>27000</v>
      </c>
    </row>
    <row r="7677" spans="5:13" ht="15" customHeight="1">
      <c r="F7677" s="306"/>
      <c r="G7677" s="301" t="s">
        <v>232</v>
      </c>
      <c r="H7677" s="307" t="s">
        <v>175</v>
      </c>
      <c r="I7677" s="429" t="s">
        <v>171</v>
      </c>
      <c r="J7677" s="432">
        <v>1.7999999999999999E-2</v>
      </c>
      <c r="K7677" s="309">
        <f>VLOOKUP(G7677,Upah,8,FALSE)</f>
        <v>165000</v>
      </c>
      <c r="L7677" s="310">
        <f>J7677*K7677</f>
        <v>2970</v>
      </c>
    </row>
    <row r="7678" spans="5:13" ht="15" customHeight="1" thickBot="1">
      <c r="F7678" s="306"/>
      <c r="G7678" s="301" t="s">
        <v>176</v>
      </c>
      <c r="H7678" s="307" t="s">
        <v>177</v>
      </c>
      <c r="I7678" s="429" t="s">
        <v>171</v>
      </c>
      <c r="J7678" s="432">
        <v>5.0000000000000001E-3</v>
      </c>
      <c r="K7678" s="309">
        <f>VLOOKUP(G7678,Upah,8,FALSE)</f>
        <v>170000</v>
      </c>
      <c r="L7678" s="310">
        <f>J7678*K7678</f>
        <v>850</v>
      </c>
    </row>
    <row r="7679" spans="5:13" ht="15" customHeight="1" thickBot="1">
      <c r="F7679" s="316"/>
      <c r="G7679" s="317"/>
      <c r="H7679" s="318"/>
      <c r="I7679" s="318"/>
      <c r="J7679" s="319" t="s">
        <v>178</v>
      </c>
      <c r="K7679" s="320"/>
      <c r="L7679" s="321">
        <f>SUM(L7675:L7678)</f>
        <v>44320</v>
      </c>
    </row>
    <row r="7680" spans="5:13" ht="15" customHeight="1">
      <c r="F7680" s="300" t="s">
        <v>179</v>
      </c>
      <c r="G7680" s="301" t="s">
        <v>180</v>
      </c>
      <c r="H7680" s="302"/>
      <c r="I7680" s="302"/>
      <c r="J7680" s="351"/>
      <c r="K7680" s="328"/>
      <c r="L7680" s="310"/>
    </row>
    <row r="7681" spans="5:13" ht="15" customHeight="1">
      <c r="F7681" s="306"/>
      <c r="G7681" s="301" t="s">
        <v>1391</v>
      </c>
      <c r="H7681" s="302"/>
      <c r="I7681" s="429" t="s">
        <v>20</v>
      </c>
      <c r="J7681" s="432">
        <v>1.2</v>
      </c>
      <c r="K7681" s="328">
        <f>VLOOKUP(G7681,Bahan,6,FALSE)</f>
        <v>79350</v>
      </c>
      <c r="L7681" s="310">
        <f>J7681*K7681</f>
        <v>95220</v>
      </c>
    </row>
    <row r="7682" spans="5:13" ht="15" customHeight="1" thickBot="1">
      <c r="F7682" s="306"/>
      <c r="G7682" s="301" t="s">
        <v>1330</v>
      </c>
      <c r="H7682" s="302"/>
      <c r="I7682" s="429" t="s">
        <v>943</v>
      </c>
      <c r="J7682" s="432">
        <v>35</v>
      </c>
      <c r="K7682" s="328">
        <f>L7681/100</f>
        <v>952.2</v>
      </c>
      <c r="L7682" s="310">
        <f>J7682*K7682</f>
        <v>33327</v>
      </c>
    </row>
    <row r="7683" spans="5:13" ht="15" customHeight="1" thickBot="1">
      <c r="F7683" s="316"/>
      <c r="G7683" s="317"/>
      <c r="H7683" s="318"/>
      <c r="I7683" s="318"/>
      <c r="J7683" s="319" t="s">
        <v>189</v>
      </c>
      <c r="K7683" s="320"/>
      <c r="L7683" s="321">
        <f>SUM(L7681:L7682)</f>
        <v>128547</v>
      </c>
    </row>
    <row r="7684" spans="5:13" ht="15" customHeight="1" thickBot="1">
      <c r="F7684" s="300" t="s">
        <v>190</v>
      </c>
      <c r="G7684" s="301" t="s">
        <v>191</v>
      </c>
      <c r="H7684" s="302"/>
      <c r="I7684" s="302"/>
      <c r="J7684" s="351"/>
      <c r="K7684" s="328">
        <v>0</v>
      </c>
      <c r="L7684" s="310">
        <f>J7684*K7684</f>
        <v>0</v>
      </c>
    </row>
    <row r="7685" spans="5:13" ht="15" customHeight="1" thickBot="1">
      <c r="F7685" s="316"/>
      <c r="G7685" s="317"/>
      <c r="H7685" s="318"/>
      <c r="I7685" s="318"/>
      <c r="J7685" s="319" t="s">
        <v>192</v>
      </c>
      <c r="K7685" s="320"/>
      <c r="L7685" s="321">
        <f>L7684</f>
        <v>0</v>
      </c>
    </row>
    <row r="7686" spans="5:13" ht="15" customHeight="1">
      <c r="F7686" s="344" t="s">
        <v>193</v>
      </c>
      <c r="G7686" s="345" t="s">
        <v>194</v>
      </c>
      <c r="H7686" s="346"/>
      <c r="I7686" s="346"/>
      <c r="J7686" s="347"/>
      <c r="K7686" s="348">
        <v>0</v>
      </c>
      <c r="L7686" s="310">
        <f>SUM(L7675:L7685)/2</f>
        <v>172867</v>
      </c>
    </row>
    <row r="7687" spans="5:13" ht="15" customHeight="1" thickBot="1">
      <c r="F7687" s="331" t="s">
        <v>195</v>
      </c>
      <c r="G7687" s="332" t="s">
        <v>196</v>
      </c>
      <c r="H7687" s="333"/>
      <c r="I7687" s="333"/>
      <c r="J7687" s="350">
        <v>0.1</v>
      </c>
      <c r="K7687" s="335"/>
      <c r="L7687" s="330">
        <f>J7687*L7686</f>
        <v>17286.7</v>
      </c>
    </row>
    <row r="7688" spans="5:13" ht="15" customHeight="1" thickBot="1">
      <c r="F7688" s="340" t="s">
        <v>197</v>
      </c>
      <c r="G7688" s="341" t="s">
        <v>198</v>
      </c>
      <c r="H7688" s="318"/>
      <c r="I7688" s="318"/>
      <c r="J7688" s="342"/>
      <c r="K7688" s="320">
        <v>0</v>
      </c>
      <c r="L7688" s="321">
        <f>ROUNDDOWN(L7686+L7687,0)</f>
        <v>190153</v>
      </c>
    </row>
    <row r="7689" spans="5:13" ht="15" customHeight="1">
      <c r="F7689" s="298"/>
      <c r="G7689" s="298"/>
      <c r="J7689" s="343"/>
      <c r="K7689" s="355"/>
      <c r="L7689" s="299"/>
    </row>
    <row r="7690" spans="5:13" ht="15" customHeight="1" thickBot="1">
      <c r="E7690" s="356" t="s">
        <v>1392</v>
      </c>
      <c r="F7690" s="295" t="s">
        <v>1393</v>
      </c>
      <c r="J7690" s="343"/>
      <c r="M7690" s="299">
        <f>L7706</f>
        <v>481277</v>
      </c>
    </row>
    <row r="7691" spans="5:13" ht="15" customHeight="1" thickBot="1">
      <c r="F7691" s="340" t="s">
        <v>136</v>
      </c>
      <c r="G7691" s="341" t="s">
        <v>162</v>
      </c>
      <c r="H7691" s="352" t="s">
        <v>163</v>
      </c>
      <c r="I7691" s="352" t="s">
        <v>138</v>
      </c>
      <c r="J7691" s="353" t="s">
        <v>164</v>
      </c>
      <c r="K7691" s="341" t="s">
        <v>165</v>
      </c>
      <c r="L7691" s="354" t="s">
        <v>166</v>
      </c>
    </row>
    <row r="7692" spans="5:13" ht="15" customHeight="1">
      <c r="F7692" s="344" t="s">
        <v>167</v>
      </c>
      <c r="G7692" s="345" t="s">
        <v>168</v>
      </c>
      <c r="H7692" s="346"/>
      <c r="I7692" s="346"/>
      <c r="J7692" s="347"/>
      <c r="K7692" s="348"/>
      <c r="L7692" s="349"/>
    </row>
    <row r="7693" spans="5:13" ht="15" customHeight="1">
      <c r="F7693" s="306"/>
      <c r="G7693" s="301" t="s">
        <v>169</v>
      </c>
      <c r="H7693" s="307" t="s">
        <v>170</v>
      </c>
      <c r="I7693" s="429" t="s">
        <v>171</v>
      </c>
      <c r="J7693" s="432">
        <v>0.13500000000000001</v>
      </c>
      <c r="K7693" s="309">
        <f>VLOOKUP(G7693,Upah,8,FALSE)</f>
        <v>125000</v>
      </c>
      <c r="L7693" s="310">
        <f>J7693*K7693</f>
        <v>16875</v>
      </c>
    </row>
    <row r="7694" spans="5:13" ht="15" customHeight="1">
      <c r="F7694" s="306"/>
      <c r="G7694" s="301" t="s">
        <v>216</v>
      </c>
      <c r="H7694" s="307" t="s">
        <v>217</v>
      </c>
      <c r="I7694" s="429" t="s">
        <v>171</v>
      </c>
      <c r="J7694" s="432">
        <v>0.22500000000000001</v>
      </c>
      <c r="K7694" s="309">
        <f>VLOOKUP(G7694,Upah,8,FALSE)</f>
        <v>150000</v>
      </c>
      <c r="L7694" s="310">
        <f>J7694*K7694</f>
        <v>33750</v>
      </c>
    </row>
    <row r="7695" spans="5:13" ht="15" customHeight="1">
      <c r="F7695" s="306"/>
      <c r="G7695" s="301" t="s">
        <v>232</v>
      </c>
      <c r="H7695" s="307" t="s">
        <v>175</v>
      </c>
      <c r="I7695" s="429" t="s">
        <v>171</v>
      </c>
      <c r="J7695" s="432">
        <v>2.3E-2</v>
      </c>
      <c r="K7695" s="309">
        <f>VLOOKUP(G7695,Upah,8,FALSE)</f>
        <v>165000</v>
      </c>
      <c r="L7695" s="310">
        <f>J7695*K7695</f>
        <v>3795</v>
      </c>
    </row>
    <row r="7696" spans="5:13" ht="15" customHeight="1" thickBot="1">
      <c r="F7696" s="306"/>
      <c r="G7696" s="301" t="s">
        <v>176</v>
      </c>
      <c r="H7696" s="307" t="s">
        <v>177</v>
      </c>
      <c r="I7696" s="429" t="s">
        <v>171</v>
      </c>
      <c r="J7696" s="432">
        <v>7.0000000000000001E-3</v>
      </c>
      <c r="K7696" s="309">
        <f>VLOOKUP(G7696,Upah,8,FALSE)</f>
        <v>170000</v>
      </c>
      <c r="L7696" s="310">
        <f>J7696*K7696</f>
        <v>1190</v>
      </c>
    </row>
    <row r="7697" spans="5:13" ht="15" customHeight="1" thickBot="1">
      <c r="F7697" s="316"/>
      <c r="G7697" s="317"/>
      <c r="H7697" s="318"/>
      <c r="I7697" s="318"/>
      <c r="J7697" s="319" t="s">
        <v>178</v>
      </c>
      <c r="K7697" s="320"/>
      <c r="L7697" s="321">
        <f>SUM(L7693:L7696)</f>
        <v>55610</v>
      </c>
    </row>
    <row r="7698" spans="5:13" ht="15" customHeight="1">
      <c r="F7698" s="300" t="s">
        <v>179</v>
      </c>
      <c r="G7698" s="301" t="s">
        <v>180</v>
      </c>
      <c r="H7698" s="302"/>
      <c r="I7698" s="302"/>
      <c r="J7698" s="351"/>
      <c r="K7698" s="328"/>
      <c r="L7698" s="310"/>
    </row>
    <row r="7699" spans="5:13" ht="15" customHeight="1">
      <c r="F7699" s="306"/>
      <c r="G7699" s="301" t="s">
        <v>1394</v>
      </c>
      <c r="H7699" s="302"/>
      <c r="I7699" s="429" t="s">
        <v>20</v>
      </c>
      <c r="J7699" s="432">
        <v>1.2</v>
      </c>
      <c r="K7699" s="328">
        <f>VLOOKUP(G7699,Bahan,6,FALSE)</f>
        <v>235750</v>
      </c>
      <c r="L7699" s="310">
        <f>J7699*K7699</f>
        <v>282900</v>
      </c>
    </row>
    <row r="7700" spans="5:13" ht="15" customHeight="1" thickBot="1">
      <c r="F7700" s="306"/>
      <c r="G7700" s="301" t="s">
        <v>1330</v>
      </c>
      <c r="H7700" s="302"/>
      <c r="I7700" s="429" t="s">
        <v>943</v>
      </c>
      <c r="J7700" s="432">
        <v>35</v>
      </c>
      <c r="K7700" s="328">
        <f>L7699/100</f>
        <v>2829</v>
      </c>
      <c r="L7700" s="310">
        <f>J7700*K7700</f>
        <v>99015</v>
      </c>
    </row>
    <row r="7701" spans="5:13" ht="15" customHeight="1" thickBot="1">
      <c r="F7701" s="316"/>
      <c r="G7701" s="317"/>
      <c r="H7701" s="318"/>
      <c r="I7701" s="318"/>
      <c r="J7701" s="319" t="s">
        <v>189</v>
      </c>
      <c r="K7701" s="320"/>
      <c r="L7701" s="321">
        <f>SUM(L7699:L7700)</f>
        <v>381915</v>
      </c>
    </row>
    <row r="7702" spans="5:13" ht="15" customHeight="1" thickBot="1">
      <c r="F7702" s="300" t="s">
        <v>190</v>
      </c>
      <c r="G7702" s="301" t="s">
        <v>191</v>
      </c>
      <c r="H7702" s="302"/>
      <c r="I7702" s="302"/>
      <c r="J7702" s="351"/>
      <c r="K7702" s="328">
        <v>0</v>
      </c>
      <c r="L7702" s="310">
        <f>J7702*K7702</f>
        <v>0</v>
      </c>
    </row>
    <row r="7703" spans="5:13" ht="15" customHeight="1" thickBot="1">
      <c r="F7703" s="316"/>
      <c r="G7703" s="317"/>
      <c r="H7703" s="318"/>
      <c r="I7703" s="318"/>
      <c r="J7703" s="319" t="s">
        <v>192</v>
      </c>
      <c r="K7703" s="320"/>
      <c r="L7703" s="321">
        <f>L7702</f>
        <v>0</v>
      </c>
    </row>
    <row r="7704" spans="5:13" ht="15" customHeight="1">
      <c r="F7704" s="344" t="s">
        <v>193</v>
      </c>
      <c r="G7704" s="345" t="s">
        <v>194</v>
      </c>
      <c r="H7704" s="346"/>
      <c r="I7704" s="346"/>
      <c r="J7704" s="347"/>
      <c r="K7704" s="348">
        <v>0</v>
      </c>
      <c r="L7704" s="310">
        <f>SUM(L7693:L7703)/2</f>
        <v>437525</v>
      </c>
    </row>
    <row r="7705" spans="5:13" ht="15" customHeight="1" thickBot="1">
      <c r="F7705" s="331" t="s">
        <v>195</v>
      </c>
      <c r="G7705" s="332" t="s">
        <v>196</v>
      </c>
      <c r="H7705" s="333"/>
      <c r="I7705" s="333"/>
      <c r="J7705" s="350">
        <v>0.1</v>
      </c>
      <c r="K7705" s="335"/>
      <c r="L7705" s="330">
        <f>J7705*L7704</f>
        <v>43752.5</v>
      </c>
    </row>
    <row r="7706" spans="5:13" ht="15" customHeight="1" thickBot="1">
      <c r="F7706" s="340" t="s">
        <v>197</v>
      </c>
      <c r="G7706" s="341" t="s">
        <v>198</v>
      </c>
      <c r="H7706" s="318"/>
      <c r="I7706" s="318"/>
      <c r="J7706" s="342"/>
      <c r="K7706" s="320">
        <v>0</v>
      </c>
      <c r="L7706" s="321">
        <f>ROUNDDOWN(L7704+L7705,0)</f>
        <v>481277</v>
      </c>
    </row>
    <row r="7707" spans="5:13" ht="15" customHeight="1">
      <c r="F7707" s="298"/>
      <c r="G7707" s="298"/>
      <c r="J7707" s="343"/>
      <c r="K7707" s="355"/>
      <c r="L7707" s="299"/>
    </row>
    <row r="7708" spans="5:13" ht="15" customHeight="1" thickBot="1">
      <c r="E7708" s="356" t="s">
        <v>1395</v>
      </c>
      <c r="F7708" s="295" t="s">
        <v>1396</v>
      </c>
      <c r="J7708" s="343"/>
      <c r="M7708" s="299">
        <f>L7724</f>
        <v>860398</v>
      </c>
    </row>
    <row r="7709" spans="5:13" ht="15" customHeight="1" thickBot="1">
      <c r="F7709" s="340" t="s">
        <v>136</v>
      </c>
      <c r="G7709" s="341" t="s">
        <v>162</v>
      </c>
      <c r="H7709" s="352" t="s">
        <v>163</v>
      </c>
      <c r="I7709" s="352" t="s">
        <v>138</v>
      </c>
      <c r="J7709" s="353" t="s">
        <v>164</v>
      </c>
      <c r="K7709" s="341" t="s">
        <v>165</v>
      </c>
      <c r="L7709" s="354" t="s">
        <v>166</v>
      </c>
    </row>
    <row r="7710" spans="5:13" ht="15" customHeight="1">
      <c r="F7710" s="300" t="s">
        <v>167</v>
      </c>
      <c r="G7710" s="301" t="s">
        <v>168</v>
      </c>
      <c r="H7710" s="302"/>
      <c r="I7710" s="302"/>
      <c r="J7710" s="351"/>
      <c r="K7710" s="328"/>
      <c r="L7710" s="310"/>
    </row>
    <row r="7711" spans="5:13" ht="15" customHeight="1">
      <c r="F7711" s="306"/>
      <c r="G7711" s="301" t="s">
        <v>169</v>
      </c>
      <c r="H7711" s="307" t="s">
        <v>170</v>
      </c>
      <c r="I7711" s="429" t="s">
        <v>171</v>
      </c>
      <c r="J7711" s="432">
        <v>0.13500000000000001</v>
      </c>
      <c r="K7711" s="309">
        <f>VLOOKUP(G7711,Upah,8,FALSE)</f>
        <v>125000</v>
      </c>
      <c r="L7711" s="310">
        <f>J7711*K7711</f>
        <v>16875</v>
      </c>
    </row>
    <row r="7712" spans="5:13" ht="15" customHeight="1">
      <c r="F7712" s="306"/>
      <c r="G7712" s="301" t="s">
        <v>216</v>
      </c>
      <c r="H7712" s="307" t="s">
        <v>217</v>
      </c>
      <c r="I7712" s="429" t="s">
        <v>171</v>
      </c>
      <c r="J7712" s="432">
        <v>0.22500000000000001</v>
      </c>
      <c r="K7712" s="309">
        <f>VLOOKUP(G7712,Upah,8,FALSE)</f>
        <v>150000</v>
      </c>
      <c r="L7712" s="310">
        <f>J7712*K7712</f>
        <v>33750</v>
      </c>
    </row>
    <row r="7713" spans="5:13" ht="15" customHeight="1">
      <c r="F7713" s="306"/>
      <c r="G7713" s="301" t="s">
        <v>232</v>
      </c>
      <c r="H7713" s="307" t="s">
        <v>175</v>
      </c>
      <c r="I7713" s="429" t="s">
        <v>171</v>
      </c>
      <c r="J7713" s="432">
        <v>2.3E-2</v>
      </c>
      <c r="K7713" s="309">
        <f>VLOOKUP(G7713,Upah,8,FALSE)</f>
        <v>165000</v>
      </c>
      <c r="L7713" s="310">
        <f>J7713*K7713</f>
        <v>3795</v>
      </c>
    </row>
    <row r="7714" spans="5:13" ht="15" customHeight="1" thickBot="1">
      <c r="F7714" s="306"/>
      <c r="G7714" s="301" t="s">
        <v>176</v>
      </c>
      <c r="H7714" s="307" t="s">
        <v>177</v>
      </c>
      <c r="I7714" s="429" t="s">
        <v>171</v>
      </c>
      <c r="J7714" s="432">
        <v>7.0000000000000001E-3</v>
      </c>
      <c r="K7714" s="309">
        <f>VLOOKUP(G7714,Upah,8,FALSE)</f>
        <v>170000</v>
      </c>
      <c r="L7714" s="310">
        <f>J7714*K7714</f>
        <v>1190</v>
      </c>
    </row>
    <row r="7715" spans="5:13" ht="15" customHeight="1" thickBot="1">
      <c r="F7715" s="316"/>
      <c r="G7715" s="317"/>
      <c r="H7715" s="318"/>
      <c r="I7715" s="318"/>
      <c r="J7715" s="319" t="s">
        <v>178</v>
      </c>
      <c r="K7715" s="320"/>
      <c r="L7715" s="321">
        <f>SUM(L7711:L7714)</f>
        <v>55610</v>
      </c>
    </row>
    <row r="7716" spans="5:13" ht="15" customHeight="1">
      <c r="F7716" s="300" t="s">
        <v>179</v>
      </c>
      <c r="G7716" s="301" t="s">
        <v>180</v>
      </c>
      <c r="H7716" s="302"/>
      <c r="I7716" s="302"/>
      <c r="J7716" s="351"/>
      <c r="K7716" s="328"/>
      <c r="L7716" s="310"/>
    </row>
    <row r="7717" spans="5:13" ht="15" customHeight="1">
      <c r="F7717" s="306"/>
      <c r="G7717" s="301" t="s">
        <v>1397</v>
      </c>
      <c r="H7717" s="302"/>
      <c r="I7717" s="429" t="s">
        <v>20</v>
      </c>
      <c r="J7717" s="432">
        <v>1.2</v>
      </c>
      <c r="K7717" s="328">
        <f>VLOOKUP(G7717,Bahan,6,FALSE)</f>
        <v>448500</v>
      </c>
      <c r="L7717" s="310">
        <f>J7717*K7717</f>
        <v>538200</v>
      </c>
    </row>
    <row r="7718" spans="5:13" ht="15" customHeight="1" thickBot="1">
      <c r="F7718" s="306"/>
      <c r="G7718" s="301" t="s">
        <v>1330</v>
      </c>
      <c r="H7718" s="302"/>
      <c r="I7718" s="429" t="s">
        <v>943</v>
      </c>
      <c r="J7718" s="432">
        <v>35</v>
      </c>
      <c r="K7718" s="328">
        <f>L7717/100</f>
        <v>5382</v>
      </c>
      <c r="L7718" s="310">
        <f>J7718*K7718</f>
        <v>188370</v>
      </c>
    </row>
    <row r="7719" spans="5:13" ht="15" customHeight="1" thickBot="1">
      <c r="F7719" s="316"/>
      <c r="G7719" s="317"/>
      <c r="H7719" s="318"/>
      <c r="I7719" s="318"/>
      <c r="J7719" s="319" t="s">
        <v>189</v>
      </c>
      <c r="K7719" s="320"/>
      <c r="L7719" s="321">
        <f>SUM(L7717:L7718)</f>
        <v>726570</v>
      </c>
    </row>
    <row r="7720" spans="5:13" ht="15" customHeight="1" thickBot="1">
      <c r="F7720" s="300" t="s">
        <v>190</v>
      </c>
      <c r="G7720" s="301" t="s">
        <v>191</v>
      </c>
      <c r="H7720" s="302"/>
      <c r="I7720" s="302"/>
      <c r="J7720" s="351"/>
      <c r="K7720" s="328">
        <v>0</v>
      </c>
      <c r="L7720" s="310">
        <f>J7720*K7720</f>
        <v>0</v>
      </c>
    </row>
    <row r="7721" spans="5:13" ht="15" customHeight="1" thickBot="1">
      <c r="F7721" s="316"/>
      <c r="G7721" s="317"/>
      <c r="H7721" s="318"/>
      <c r="I7721" s="318"/>
      <c r="J7721" s="319" t="s">
        <v>192</v>
      </c>
      <c r="K7721" s="320"/>
      <c r="L7721" s="321">
        <f>L7720</f>
        <v>0</v>
      </c>
    </row>
    <row r="7722" spans="5:13" ht="15" customHeight="1">
      <c r="F7722" s="344" t="s">
        <v>193</v>
      </c>
      <c r="G7722" s="345" t="s">
        <v>194</v>
      </c>
      <c r="H7722" s="346"/>
      <c r="I7722" s="346"/>
      <c r="J7722" s="347"/>
      <c r="K7722" s="348">
        <v>0</v>
      </c>
      <c r="L7722" s="310">
        <f>SUM(L7711:L7721)/2</f>
        <v>782180</v>
      </c>
    </row>
    <row r="7723" spans="5:13" ht="15" customHeight="1" thickBot="1">
      <c r="F7723" s="331" t="s">
        <v>195</v>
      </c>
      <c r="G7723" s="332" t="s">
        <v>196</v>
      </c>
      <c r="H7723" s="333"/>
      <c r="I7723" s="333"/>
      <c r="J7723" s="350">
        <v>0.1</v>
      </c>
      <c r="K7723" s="335"/>
      <c r="L7723" s="330">
        <f>J7723*L7722</f>
        <v>78218</v>
      </c>
    </row>
    <row r="7724" spans="5:13" ht="15" customHeight="1" thickBot="1">
      <c r="F7724" s="340" t="s">
        <v>197</v>
      </c>
      <c r="G7724" s="341" t="s">
        <v>198</v>
      </c>
      <c r="H7724" s="318"/>
      <c r="I7724" s="318"/>
      <c r="J7724" s="342"/>
      <c r="K7724" s="320">
        <v>0</v>
      </c>
      <c r="L7724" s="321">
        <f>ROUNDDOWN(L7722+L7723,0)</f>
        <v>860398</v>
      </c>
    </row>
    <row r="7725" spans="5:13" ht="15" customHeight="1">
      <c r="F7725" s="298"/>
      <c r="G7725" s="298"/>
      <c r="J7725" s="343"/>
      <c r="K7725" s="355"/>
      <c r="L7725" s="299"/>
    </row>
    <row r="7726" spans="5:13" ht="15" customHeight="1" thickBot="1">
      <c r="E7726" s="356" t="s">
        <v>1398</v>
      </c>
      <c r="F7726" s="295" t="s">
        <v>1399</v>
      </c>
      <c r="J7726" s="343"/>
      <c r="M7726" s="299">
        <f>L7742</f>
        <v>27539</v>
      </c>
    </row>
    <row r="7727" spans="5:13" ht="15" customHeight="1" thickBot="1">
      <c r="F7727" s="340" t="s">
        <v>136</v>
      </c>
      <c r="G7727" s="341" t="s">
        <v>162</v>
      </c>
      <c r="H7727" s="352" t="s">
        <v>163</v>
      </c>
      <c r="I7727" s="352" t="s">
        <v>138</v>
      </c>
      <c r="J7727" s="353" t="s">
        <v>164</v>
      </c>
      <c r="K7727" s="341" t="s">
        <v>165</v>
      </c>
      <c r="L7727" s="354" t="s">
        <v>166</v>
      </c>
    </row>
    <row r="7728" spans="5:13" ht="15" customHeight="1">
      <c r="F7728" s="300" t="s">
        <v>167</v>
      </c>
      <c r="G7728" s="301" t="s">
        <v>168</v>
      </c>
      <c r="H7728" s="302"/>
      <c r="I7728" s="302"/>
      <c r="J7728" s="351"/>
      <c r="K7728" s="328"/>
      <c r="L7728" s="310"/>
    </row>
    <row r="7729" spans="5:13" ht="15" customHeight="1">
      <c r="F7729" s="306"/>
      <c r="G7729" s="301" t="s">
        <v>169</v>
      </c>
      <c r="H7729" s="307" t="s">
        <v>170</v>
      </c>
      <c r="I7729" s="429" t="s">
        <v>171</v>
      </c>
      <c r="J7729" s="432">
        <v>3.5999999999999997E-2</v>
      </c>
      <c r="K7729" s="309">
        <f>VLOOKUP(G7729,Upah,8,FALSE)</f>
        <v>125000</v>
      </c>
      <c r="L7729" s="310">
        <f>J7729*K7729</f>
        <v>4500</v>
      </c>
    </row>
    <row r="7730" spans="5:13" ht="15" customHeight="1">
      <c r="F7730" s="306"/>
      <c r="G7730" s="301" t="s">
        <v>216</v>
      </c>
      <c r="H7730" s="307" t="s">
        <v>217</v>
      </c>
      <c r="I7730" s="429" t="s">
        <v>171</v>
      </c>
      <c r="J7730" s="432">
        <v>0.06</v>
      </c>
      <c r="K7730" s="309">
        <f>VLOOKUP(G7730,Upah,8,FALSE)</f>
        <v>150000</v>
      </c>
      <c r="L7730" s="310">
        <f>J7730*K7730</f>
        <v>9000</v>
      </c>
    </row>
    <row r="7731" spans="5:13" ht="15" customHeight="1">
      <c r="F7731" s="306"/>
      <c r="G7731" s="301" t="s">
        <v>232</v>
      </c>
      <c r="H7731" s="307" t="s">
        <v>175</v>
      </c>
      <c r="I7731" s="429" t="s">
        <v>171</v>
      </c>
      <c r="J7731" s="432">
        <v>6.0000000000000001E-3</v>
      </c>
      <c r="K7731" s="309">
        <f>VLOOKUP(G7731,Upah,8,FALSE)</f>
        <v>165000</v>
      </c>
      <c r="L7731" s="310">
        <f>J7731*K7731</f>
        <v>990</v>
      </c>
    </row>
    <row r="7732" spans="5:13" ht="15" customHeight="1" thickBot="1">
      <c r="F7732" s="306"/>
      <c r="G7732" s="301" t="s">
        <v>176</v>
      </c>
      <c r="H7732" s="307" t="s">
        <v>177</v>
      </c>
      <c r="I7732" s="429" t="s">
        <v>171</v>
      </c>
      <c r="J7732" s="432">
        <v>2E-3</v>
      </c>
      <c r="K7732" s="309">
        <f>VLOOKUP(G7732,Upah,8,FALSE)</f>
        <v>170000</v>
      </c>
      <c r="L7732" s="310">
        <f>J7732*K7732</f>
        <v>340</v>
      </c>
    </row>
    <row r="7733" spans="5:13" ht="15" customHeight="1" thickBot="1">
      <c r="F7733" s="316"/>
      <c r="G7733" s="317"/>
      <c r="H7733" s="318"/>
      <c r="I7733" s="318"/>
      <c r="J7733" s="319" t="s">
        <v>178</v>
      </c>
      <c r="K7733" s="320"/>
      <c r="L7733" s="321">
        <f>SUM(L7729:L7732)</f>
        <v>14830</v>
      </c>
    </row>
    <row r="7734" spans="5:13" ht="15" customHeight="1">
      <c r="F7734" s="300" t="s">
        <v>179</v>
      </c>
      <c r="G7734" s="301" t="s">
        <v>180</v>
      </c>
      <c r="H7734" s="302"/>
      <c r="I7734" s="302"/>
      <c r="J7734" s="351"/>
      <c r="K7734" s="328"/>
      <c r="L7734" s="310"/>
    </row>
    <row r="7735" spans="5:13" ht="15" customHeight="1">
      <c r="F7735" s="306"/>
      <c r="G7735" s="301" t="s">
        <v>1400</v>
      </c>
      <c r="H7735" s="302"/>
      <c r="I7735" s="429" t="s">
        <v>20</v>
      </c>
      <c r="J7735" s="432">
        <v>1.2</v>
      </c>
      <c r="K7735" s="328">
        <f>VLOOKUP(G7735,Bahan,6,FALSE)</f>
        <v>6300</v>
      </c>
      <c r="L7735" s="310">
        <f>J7735*K7735</f>
        <v>7560</v>
      </c>
    </row>
    <row r="7736" spans="5:13" ht="15" customHeight="1" thickBot="1">
      <c r="F7736" s="306"/>
      <c r="G7736" s="301" t="s">
        <v>1330</v>
      </c>
      <c r="H7736" s="302"/>
      <c r="I7736" s="429" t="s">
        <v>943</v>
      </c>
      <c r="J7736" s="432">
        <v>35</v>
      </c>
      <c r="K7736" s="328">
        <f>L7735/100</f>
        <v>75.599999999999994</v>
      </c>
      <c r="L7736" s="310">
        <f>J7736*K7736</f>
        <v>2646</v>
      </c>
    </row>
    <row r="7737" spans="5:13" ht="15" customHeight="1" thickBot="1">
      <c r="F7737" s="316"/>
      <c r="G7737" s="317"/>
      <c r="H7737" s="318"/>
      <c r="I7737" s="318"/>
      <c r="J7737" s="319" t="s">
        <v>189</v>
      </c>
      <c r="K7737" s="320"/>
      <c r="L7737" s="321">
        <f>SUM(L7735:L7736)</f>
        <v>10206</v>
      </c>
    </row>
    <row r="7738" spans="5:13" ht="15" customHeight="1" thickBot="1">
      <c r="F7738" s="300" t="s">
        <v>190</v>
      </c>
      <c r="G7738" s="301" t="s">
        <v>191</v>
      </c>
      <c r="H7738" s="302"/>
      <c r="I7738" s="302"/>
      <c r="J7738" s="351"/>
      <c r="K7738" s="328">
        <v>0</v>
      </c>
      <c r="L7738" s="310">
        <f>J7738*K7738</f>
        <v>0</v>
      </c>
    </row>
    <row r="7739" spans="5:13" ht="15" customHeight="1" thickBot="1">
      <c r="F7739" s="316"/>
      <c r="G7739" s="317"/>
      <c r="H7739" s="318"/>
      <c r="I7739" s="318"/>
      <c r="J7739" s="319" t="s">
        <v>192</v>
      </c>
      <c r="K7739" s="320"/>
      <c r="L7739" s="321">
        <f>L7738</f>
        <v>0</v>
      </c>
    </row>
    <row r="7740" spans="5:13" ht="15" customHeight="1">
      <c r="F7740" s="344" t="s">
        <v>193</v>
      </c>
      <c r="G7740" s="345" t="s">
        <v>194</v>
      </c>
      <c r="H7740" s="346"/>
      <c r="I7740" s="346"/>
      <c r="J7740" s="347"/>
      <c r="K7740" s="348">
        <v>0</v>
      </c>
      <c r="L7740" s="310">
        <f>SUM(L7729:L7739)/2</f>
        <v>25036</v>
      </c>
    </row>
    <row r="7741" spans="5:13" ht="15" customHeight="1" thickBot="1">
      <c r="F7741" s="331" t="s">
        <v>195</v>
      </c>
      <c r="G7741" s="332" t="s">
        <v>196</v>
      </c>
      <c r="H7741" s="333"/>
      <c r="I7741" s="333"/>
      <c r="J7741" s="350">
        <v>0.1</v>
      </c>
      <c r="K7741" s="335"/>
      <c r="L7741" s="330">
        <f>J7741*L7740</f>
        <v>2503.6000000000004</v>
      </c>
    </row>
    <row r="7742" spans="5:13" ht="15" customHeight="1" thickBot="1">
      <c r="F7742" s="340" t="s">
        <v>197</v>
      </c>
      <c r="G7742" s="341" t="s">
        <v>198</v>
      </c>
      <c r="H7742" s="318"/>
      <c r="I7742" s="318"/>
      <c r="J7742" s="342"/>
      <c r="K7742" s="320">
        <v>0</v>
      </c>
      <c r="L7742" s="321">
        <f>ROUNDDOWN(L7740+L7741,0)</f>
        <v>27539</v>
      </c>
    </row>
    <row r="7743" spans="5:13" ht="15" customHeight="1">
      <c r="F7743" s="298"/>
      <c r="G7743" s="298"/>
      <c r="J7743" s="343"/>
      <c r="K7743" s="355"/>
      <c r="L7743" s="299"/>
    </row>
    <row r="7744" spans="5:13" ht="15" customHeight="1" thickBot="1">
      <c r="E7744" s="356" t="s">
        <v>1401</v>
      </c>
      <c r="F7744" s="295" t="s">
        <v>1402</v>
      </c>
      <c r="J7744" s="343"/>
      <c r="M7744" s="299">
        <f>L7760</f>
        <v>31103</v>
      </c>
    </row>
    <row r="7745" spans="6:12" ht="15" customHeight="1" thickBot="1">
      <c r="F7745" s="340" t="s">
        <v>136</v>
      </c>
      <c r="G7745" s="341" t="s">
        <v>162</v>
      </c>
      <c r="H7745" s="352" t="s">
        <v>163</v>
      </c>
      <c r="I7745" s="352" t="s">
        <v>138</v>
      </c>
      <c r="J7745" s="353" t="s">
        <v>164</v>
      </c>
      <c r="K7745" s="341" t="s">
        <v>165</v>
      </c>
      <c r="L7745" s="354" t="s">
        <v>166</v>
      </c>
    </row>
    <row r="7746" spans="6:12" ht="15" customHeight="1">
      <c r="F7746" s="300" t="s">
        <v>167</v>
      </c>
      <c r="G7746" s="301" t="s">
        <v>168</v>
      </c>
      <c r="H7746" s="302"/>
      <c r="I7746" s="302"/>
      <c r="J7746" s="351"/>
      <c r="K7746" s="328"/>
      <c r="L7746" s="310"/>
    </row>
    <row r="7747" spans="6:12" ht="15" customHeight="1">
      <c r="F7747" s="306"/>
      <c r="G7747" s="301" t="s">
        <v>169</v>
      </c>
      <c r="H7747" s="307" t="s">
        <v>170</v>
      </c>
      <c r="I7747" s="429" t="s">
        <v>171</v>
      </c>
      <c r="J7747" s="432">
        <v>3.5999999999999997E-2</v>
      </c>
      <c r="K7747" s="309">
        <f>VLOOKUP(G7747,Upah,8,FALSE)</f>
        <v>125000</v>
      </c>
      <c r="L7747" s="310">
        <f>J7747*K7747</f>
        <v>4500</v>
      </c>
    </row>
    <row r="7748" spans="6:12" ht="15" customHeight="1">
      <c r="F7748" s="306"/>
      <c r="G7748" s="301" t="s">
        <v>216</v>
      </c>
      <c r="H7748" s="307" t="s">
        <v>217</v>
      </c>
      <c r="I7748" s="429" t="s">
        <v>171</v>
      </c>
      <c r="J7748" s="432">
        <v>0.06</v>
      </c>
      <c r="K7748" s="309">
        <f>VLOOKUP(G7748,Upah,8,FALSE)</f>
        <v>150000</v>
      </c>
      <c r="L7748" s="310">
        <f>J7748*K7748</f>
        <v>9000</v>
      </c>
    </row>
    <row r="7749" spans="6:12" ht="15" customHeight="1">
      <c r="F7749" s="306"/>
      <c r="G7749" s="301" t="s">
        <v>232</v>
      </c>
      <c r="H7749" s="307" t="s">
        <v>175</v>
      </c>
      <c r="I7749" s="429" t="s">
        <v>171</v>
      </c>
      <c r="J7749" s="432">
        <v>6.0000000000000001E-3</v>
      </c>
      <c r="K7749" s="309">
        <f>VLOOKUP(G7749,Upah,8,FALSE)</f>
        <v>165000</v>
      </c>
      <c r="L7749" s="310">
        <f>J7749*K7749</f>
        <v>990</v>
      </c>
    </row>
    <row r="7750" spans="6:12" ht="15" customHeight="1" thickBot="1">
      <c r="F7750" s="306"/>
      <c r="G7750" s="301" t="s">
        <v>176</v>
      </c>
      <c r="H7750" s="307" t="s">
        <v>177</v>
      </c>
      <c r="I7750" s="429" t="s">
        <v>171</v>
      </c>
      <c r="J7750" s="432">
        <v>2E-3</v>
      </c>
      <c r="K7750" s="309">
        <f>VLOOKUP(G7750,Upah,8,FALSE)</f>
        <v>170000</v>
      </c>
      <c r="L7750" s="310">
        <f>J7750*K7750</f>
        <v>340</v>
      </c>
    </row>
    <row r="7751" spans="6:12" ht="15" customHeight="1" thickBot="1">
      <c r="F7751" s="316"/>
      <c r="G7751" s="317"/>
      <c r="H7751" s="318"/>
      <c r="I7751" s="318"/>
      <c r="J7751" s="319" t="s">
        <v>178</v>
      </c>
      <c r="K7751" s="320"/>
      <c r="L7751" s="321">
        <f>SUM(L7747:L7750)</f>
        <v>14830</v>
      </c>
    </row>
    <row r="7752" spans="6:12" ht="15" customHeight="1">
      <c r="F7752" s="300" t="s">
        <v>179</v>
      </c>
      <c r="G7752" s="301" t="s">
        <v>180</v>
      </c>
      <c r="H7752" s="302"/>
      <c r="I7752" s="302"/>
      <c r="J7752" s="351"/>
      <c r="K7752" s="328"/>
      <c r="L7752" s="310"/>
    </row>
    <row r="7753" spans="6:12" ht="15" customHeight="1">
      <c r="F7753" s="306"/>
      <c r="G7753" s="301" t="s">
        <v>1403</v>
      </c>
      <c r="H7753" s="302"/>
      <c r="I7753" s="429" t="s">
        <v>20</v>
      </c>
      <c r="J7753" s="432">
        <v>1.2</v>
      </c>
      <c r="K7753" s="328">
        <f>VLOOKUP(G7753,Bahan,6,FALSE)</f>
        <v>8300</v>
      </c>
      <c r="L7753" s="310">
        <f>J7753*K7753</f>
        <v>9960</v>
      </c>
    </row>
    <row r="7754" spans="6:12" ht="15" customHeight="1" thickBot="1">
      <c r="F7754" s="306"/>
      <c r="G7754" s="301" t="s">
        <v>1330</v>
      </c>
      <c r="H7754" s="302"/>
      <c r="I7754" s="429" t="s">
        <v>943</v>
      </c>
      <c r="J7754" s="432">
        <v>35</v>
      </c>
      <c r="K7754" s="328">
        <f>L7753/100</f>
        <v>99.6</v>
      </c>
      <c r="L7754" s="310">
        <f>J7754*K7754</f>
        <v>3486</v>
      </c>
    </row>
    <row r="7755" spans="6:12" ht="15" customHeight="1" thickBot="1">
      <c r="F7755" s="316"/>
      <c r="G7755" s="317"/>
      <c r="H7755" s="318"/>
      <c r="I7755" s="318"/>
      <c r="J7755" s="319" t="s">
        <v>189</v>
      </c>
      <c r="K7755" s="320"/>
      <c r="L7755" s="321">
        <f>SUM(L7753:L7754)</f>
        <v>13446</v>
      </c>
    </row>
    <row r="7756" spans="6:12" ht="15" customHeight="1" thickBot="1">
      <c r="F7756" s="300" t="s">
        <v>190</v>
      </c>
      <c r="G7756" s="301" t="s">
        <v>191</v>
      </c>
      <c r="H7756" s="302"/>
      <c r="I7756" s="302"/>
      <c r="J7756" s="351"/>
      <c r="K7756" s="328">
        <v>0</v>
      </c>
      <c r="L7756" s="310">
        <f>J7756*K7756</f>
        <v>0</v>
      </c>
    </row>
    <row r="7757" spans="6:12" ht="15" customHeight="1" thickBot="1">
      <c r="F7757" s="316"/>
      <c r="G7757" s="317"/>
      <c r="H7757" s="318"/>
      <c r="I7757" s="318"/>
      <c r="J7757" s="319" t="s">
        <v>192</v>
      </c>
      <c r="K7757" s="320"/>
      <c r="L7757" s="321">
        <f>L7756</f>
        <v>0</v>
      </c>
    </row>
    <row r="7758" spans="6:12" ht="15" customHeight="1">
      <c r="F7758" s="344" t="s">
        <v>193</v>
      </c>
      <c r="G7758" s="345" t="s">
        <v>194</v>
      </c>
      <c r="H7758" s="346"/>
      <c r="I7758" s="346"/>
      <c r="J7758" s="347"/>
      <c r="K7758" s="348">
        <v>0</v>
      </c>
      <c r="L7758" s="310">
        <f>SUM(L7747:L7757)/2</f>
        <v>28276</v>
      </c>
    </row>
    <row r="7759" spans="6:12" ht="15" customHeight="1" thickBot="1">
      <c r="F7759" s="331" t="s">
        <v>195</v>
      </c>
      <c r="G7759" s="332" t="s">
        <v>196</v>
      </c>
      <c r="H7759" s="333"/>
      <c r="I7759" s="333"/>
      <c r="J7759" s="350">
        <v>0.1</v>
      </c>
      <c r="K7759" s="335"/>
      <c r="L7759" s="330">
        <f>J7759*L7758</f>
        <v>2827.6000000000004</v>
      </c>
    </row>
    <row r="7760" spans="6:12" ht="15" customHeight="1" thickBot="1">
      <c r="F7760" s="340" t="s">
        <v>197</v>
      </c>
      <c r="G7760" s="341" t="s">
        <v>198</v>
      </c>
      <c r="H7760" s="318"/>
      <c r="I7760" s="318"/>
      <c r="J7760" s="342"/>
      <c r="K7760" s="320">
        <v>0</v>
      </c>
      <c r="L7760" s="321">
        <f>ROUNDDOWN(L7758+L7759,0)</f>
        <v>31103</v>
      </c>
    </row>
    <row r="7761" spans="5:13" ht="15" customHeight="1">
      <c r="F7761" s="298"/>
      <c r="G7761" s="298"/>
      <c r="J7761" s="343"/>
      <c r="K7761" s="355"/>
      <c r="L7761" s="299"/>
    </row>
    <row r="7762" spans="5:13" ht="15" customHeight="1" thickBot="1">
      <c r="E7762" s="356" t="s">
        <v>1404</v>
      </c>
      <c r="F7762" s="295" t="s">
        <v>1405</v>
      </c>
      <c r="J7762" s="343"/>
      <c r="M7762" s="299">
        <f>L7778</f>
        <v>36271</v>
      </c>
    </row>
    <row r="7763" spans="5:13" ht="15" customHeight="1" thickBot="1">
      <c r="F7763" s="340" t="s">
        <v>136</v>
      </c>
      <c r="G7763" s="341" t="s">
        <v>162</v>
      </c>
      <c r="H7763" s="352" t="s">
        <v>163</v>
      </c>
      <c r="I7763" s="352" t="s">
        <v>138</v>
      </c>
      <c r="J7763" s="353" t="s">
        <v>164</v>
      </c>
      <c r="K7763" s="341" t="s">
        <v>165</v>
      </c>
      <c r="L7763" s="354" t="s">
        <v>166</v>
      </c>
    </row>
    <row r="7764" spans="5:13" ht="15" customHeight="1">
      <c r="F7764" s="344" t="s">
        <v>167</v>
      </c>
      <c r="G7764" s="345" t="s">
        <v>168</v>
      </c>
      <c r="H7764" s="346"/>
      <c r="I7764" s="346"/>
      <c r="J7764" s="347"/>
      <c r="K7764" s="348"/>
      <c r="L7764" s="349"/>
    </row>
    <row r="7765" spans="5:13" ht="15" customHeight="1">
      <c r="F7765" s="306"/>
      <c r="G7765" s="301" t="s">
        <v>169</v>
      </c>
      <c r="H7765" s="307" t="s">
        <v>170</v>
      </c>
      <c r="I7765" s="429" t="s">
        <v>171</v>
      </c>
      <c r="J7765" s="432">
        <v>3.5999999999999997E-2</v>
      </c>
      <c r="K7765" s="309">
        <f>VLOOKUP(G7765,Upah,8,FALSE)</f>
        <v>125000</v>
      </c>
      <c r="L7765" s="310">
        <f>J7765*K7765</f>
        <v>4500</v>
      </c>
    </row>
    <row r="7766" spans="5:13" ht="15" customHeight="1">
      <c r="F7766" s="306"/>
      <c r="G7766" s="301" t="s">
        <v>216</v>
      </c>
      <c r="H7766" s="307" t="s">
        <v>217</v>
      </c>
      <c r="I7766" s="429" t="s">
        <v>171</v>
      </c>
      <c r="J7766" s="432">
        <v>0.06</v>
      </c>
      <c r="K7766" s="309">
        <f>VLOOKUP(G7766,Upah,8,FALSE)</f>
        <v>150000</v>
      </c>
      <c r="L7766" s="310">
        <f>J7766*K7766</f>
        <v>9000</v>
      </c>
    </row>
    <row r="7767" spans="5:13" ht="15" customHeight="1">
      <c r="F7767" s="306"/>
      <c r="G7767" s="301" t="s">
        <v>232</v>
      </c>
      <c r="H7767" s="307" t="s">
        <v>175</v>
      </c>
      <c r="I7767" s="429" t="s">
        <v>171</v>
      </c>
      <c r="J7767" s="432">
        <v>6.0000000000000001E-3</v>
      </c>
      <c r="K7767" s="309">
        <f>VLOOKUP(G7767,Upah,8,FALSE)</f>
        <v>165000</v>
      </c>
      <c r="L7767" s="310">
        <f>J7767*K7767</f>
        <v>990</v>
      </c>
    </row>
    <row r="7768" spans="5:13" ht="15" customHeight="1" thickBot="1">
      <c r="F7768" s="306"/>
      <c r="G7768" s="301" t="s">
        <v>176</v>
      </c>
      <c r="H7768" s="307" t="s">
        <v>177</v>
      </c>
      <c r="I7768" s="429" t="s">
        <v>171</v>
      </c>
      <c r="J7768" s="432">
        <v>2E-3</v>
      </c>
      <c r="K7768" s="309">
        <f>VLOOKUP(G7768,Upah,8,FALSE)</f>
        <v>170000</v>
      </c>
      <c r="L7768" s="310">
        <f>J7768*K7768</f>
        <v>340</v>
      </c>
    </row>
    <row r="7769" spans="5:13" ht="15" customHeight="1" thickBot="1">
      <c r="F7769" s="316"/>
      <c r="G7769" s="317"/>
      <c r="H7769" s="318"/>
      <c r="I7769" s="318"/>
      <c r="J7769" s="319" t="s">
        <v>178</v>
      </c>
      <c r="K7769" s="320"/>
      <c r="L7769" s="321">
        <f>SUM(L7765:L7768)</f>
        <v>14830</v>
      </c>
    </row>
    <row r="7770" spans="5:13" ht="15" customHeight="1">
      <c r="F7770" s="300" t="s">
        <v>179</v>
      </c>
      <c r="G7770" s="301" t="s">
        <v>180</v>
      </c>
      <c r="H7770" s="302"/>
      <c r="I7770" s="302"/>
      <c r="J7770" s="351"/>
      <c r="K7770" s="328"/>
      <c r="L7770" s="310"/>
    </row>
    <row r="7771" spans="5:13" ht="15" customHeight="1">
      <c r="F7771" s="306"/>
      <c r="G7771" s="301" t="s">
        <v>1406</v>
      </c>
      <c r="H7771" s="302"/>
      <c r="I7771" s="429" t="s">
        <v>20</v>
      </c>
      <c r="J7771" s="432">
        <v>1.2</v>
      </c>
      <c r="K7771" s="328">
        <f>VLOOKUP(G7771,Bahan,6,FALSE)</f>
        <v>11200</v>
      </c>
      <c r="L7771" s="310">
        <f>J7771*K7771</f>
        <v>13440</v>
      </c>
    </row>
    <row r="7772" spans="5:13" ht="15" customHeight="1" thickBot="1">
      <c r="F7772" s="306"/>
      <c r="G7772" s="301" t="s">
        <v>1330</v>
      </c>
      <c r="H7772" s="302"/>
      <c r="I7772" s="429" t="s">
        <v>943</v>
      </c>
      <c r="J7772" s="432">
        <v>35</v>
      </c>
      <c r="K7772" s="328">
        <f>L7771/100</f>
        <v>134.4</v>
      </c>
      <c r="L7772" s="310">
        <f>J7772*K7772</f>
        <v>4704</v>
      </c>
    </row>
    <row r="7773" spans="5:13" ht="15" customHeight="1" thickBot="1">
      <c r="F7773" s="316"/>
      <c r="G7773" s="317"/>
      <c r="H7773" s="318"/>
      <c r="I7773" s="318"/>
      <c r="J7773" s="319" t="s">
        <v>189</v>
      </c>
      <c r="K7773" s="320"/>
      <c r="L7773" s="321">
        <f>SUM(L7771:L7772)</f>
        <v>18144</v>
      </c>
    </row>
    <row r="7774" spans="5:13" ht="15" customHeight="1" thickBot="1">
      <c r="F7774" s="300" t="s">
        <v>190</v>
      </c>
      <c r="G7774" s="301" t="s">
        <v>191</v>
      </c>
      <c r="H7774" s="302"/>
      <c r="I7774" s="302"/>
      <c r="J7774" s="351"/>
      <c r="K7774" s="328">
        <v>0</v>
      </c>
      <c r="L7774" s="310">
        <f>J7774*K7774</f>
        <v>0</v>
      </c>
    </row>
    <row r="7775" spans="5:13" ht="15" customHeight="1" thickBot="1">
      <c r="F7775" s="316"/>
      <c r="G7775" s="317"/>
      <c r="H7775" s="318"/>
      <c r="I7775" s="318"/>
      <c r="J7775" s="319" t="s">
        <v>192</v>
      </c>
      <c r="K7775" s="320"/>
      <c r="L7775" s="321">
        <f>L7774</f>
        <v>0</v>
      </c>
    </row>
    <row r="7776" spans="5:13" ht="15" customHeight="1">
      <c r="F7776" s="344" t="s">
        <v>193</v>
      </c>
      <c r="G7776" s="345" t="s">
        <v>194</v>
      </c>
      <c r="H7776" s="346"/>
      <c r="I7776" s="346"/>
      <c r="J7776" s="347"/>
      <c r="K7776" s="348">
        <v>0</v>
      </c>
      <c r="L7776" s="310">
        <f>SUM(L7765:L7775)/2</f>
        <v>32974</v>
      </c>
    </row>
    <row r="7777" spans="5:13" ht="15" customHeight="1" thickBot="1">
      <c r="F7777" s="331" t="s">
        <v>195</v>
      </c>
      <c r="G7777" s="332" t="s">
        <v>196</v>
      </c>
      <c r="H7777" s="333"/>
      <c r="I7777" s="333"/>
      <c r="J7777" s="350">
        <v>0.1</v>
      </c>
      <c r="K7777" s="335"/>
      <c r="L7777" s="330">
        <f>J7777*L7776</f>
        <v>3297.4</v>
      </c>
    </row>
    <row r="7778" spans="5:13" ht="15" customHeight="1" thickBot="1">
      <c r="F7778" s="340" t="s">
        <v>197</v>
      </c>
      <c r="G7778" s="341" t="s">
        <v>198</v>
      </c>
      <c r="H7778" s="318"/>
      <c r="I7778" s="318"/>
      <c r="J7778" s="342"/>
      <c r="K7778" s="320">
        <v>0</v>
      </c>
      <c r="L7778" s="321">
        <f>ROUNDDOWN(L7776+L7777,0)</f>
        <v>36271</v>
      </c>
    </row>
    <row r="7779" spans="5:13" ht="15" customHeight="1">
      <c r="F7779" s="298"/>
      <c r="G7779" s="298"/>
      <c r="J7779" s="343"/>
    </row>
    <row r="7780" spans="5:13" ht="15" customHeight="1" thickBot="1">
      <c r="E7780" s="356" t="s">
        <v>1407</v>
      </c>
      <c r="F7780" s="295" t="s">
        <v>1408</v>
      </c>
      <c r="J7780" s="343"/>
      <c r="M7780" s="299">
        <f>L7796</f>
        <v>59218</v>
      </c>
    </row>
    <row r="7781" spans="5:13" ht="15" customHeight="1" thickBot="1">
      <c r="F7781" s="340" t="s">
        <v>136</v>
      </c>
      <c r="G7781" s="341" t="s">
        <v>162</v>
      </c>
      <c r="H7781" s="352" t="s">
        <v>163</v>
      </c>
      <c r="I7781" s="352" t="s">
        <v>138</v>
      </c>
      <c r="J7781" s="353" t="s">
        <v>164</v>
      </c>
      <c r="K7781" s="341" t="s">
        <v>165</v>
      </c>
      <c r="L7781" s="354" t="s">
        <v>166</v>
      </c>
    </row>
    <row r="7782" spans="5:13" ht="15" customHeight="1">
      <c r="F7782" s="344" t="s">
        <v>167</v>
      </c>
      <c r="G7782" s="345" t="s">
        <v>168</v>
      </c>
      <c r="H7782" s="346"/>
      <c r="I7782" s="346"/>
      <c r="J7782" s="347"/>
      <c r="K7782" s="348"/>
      <c r="L7782" s="349"/>
    </row>
    <row r="7783" spans="5:13" ht="15" customHeight="1">
      <c r="F7783" s="306"/>
      <c r="G7783" s="301" t="s">
        <v>169</v>
      </c>
      <c r="H7783" s="307" t="s">
        <v>170</v>
      </c>
      <c r="I7783" s="429" t="s">
        <v>171</v>
      </c>
      <c r="J7783" s="432">
        <v>5.3999999999999999E-2</v>
      </c>
      <c r="K7783" s="309">
        <f>VLOOKUP(G7783,Upah,8,FALSE)</f>
        <v>125000</v>
      </c>
      <c r="L7783" s="310">
        <f>J7783*K7783</f>
        <v>6750</v>
      </c>
    </row>
    <row r="7784" spans="5:13" ht="15" customHeight="1">
      <c r="F7784" s="306"/>
      <c r="G7784" s="301" t="s">
        <v>216</v>
      </c>
      <c r="H7784" s="307" t="s">
        <v>217</v>
      </c>
      <c r="I7784" s="429" t="s">
        <v>171</v>
      </c>
      <c r="J7784" s="432">
        <v>0.09</v>
      </c>
      <c r="K7784" s="309">
        <f>VLOOKUP(G7784,Upah,8,FALSE)</f>
        <v>150000</v>
      </c>
      <c r="L7784" s="310">
        <f>J7784*K7784</f>
        <v>13500</v>
      </c>
    </row>
    <row r="7785" spans="5:13" ht="15" customHeight="1">
      <c r="F7785" s="306"/>
      <c r="G7785" s="301" t="s">
        <v>232</v>
      </c>
      <c r="H7785" s="307" t="s">
        <v>175</v>
      </c>
      <c r="I7785" s="429" t="s">
        <v>171</v>
      </c>
      <c r="J7785" s="432">
        <v>8.9999999999999993E-3</v>
      </c>
      <c r="K7785" s="309">
        <f>VLOOKUP(G7785,Upah,8,FALSE)</f>
        <v>165000</v>
      </c>
      <c r="L7785" s="310">
        <f>J7785*K7785</f>
        <v>1485</v>
      </c>
    </row>
    <row r="7786" spans="5:13" ht="15" customHeight="1" thickBot="1">
      <c r="F7786" s="306"/>
      <c r="G7786" s="301" t="s">
        <v>176</v>
      </c>
      <c r="H7786" s="307" t="s">
        <v>177</v>
      </c>
      <c r="I7786" s="429" t="s">
        <v>171</v>
      </c>
      <c r="J7786" s="432">
        <v>3.0000000000000001E-3</v>
      </c>
      <c r="K7786" s="309">
        <f>VLOOKUP(G7786,Upah,8,FALSE)</f>
        <v>170000</v>
      </c>
      <c r="L7786" s="310">
        <f>J7786*K7786</f>
        <v>510</v>
      </c>
    </row>
    <row r="7787" spans="5:13" ht="15" customHeight="1" thickBot="1">
      <c r="F7787" s="316"/>
      <c r="G7787" s="317"/>
      <c r="H7787" s="318"/>
      <c r="I7787" s="318"/>
      <c r="J7787" s="319" t="s">
        <v>178</v>
      </c>
      <c r="K7787" s="320"/>
      <c r="L7787" s="321">
        <f>SUM(L7783:L7786)</f>
        <v>22245</v>
      </c>
    </row>
    <row r="7788" spans="5:13" ht="15" customHeight="1">
      <c r="F7788" s="300" t="s">
        <v>179</v>
      </c>
      <c r="G7788" s="301" t="s">
        <v>180</v>
      </c>
      <c r="H7788" s="302"/>
      <c r="I7788" s="302"/>
      <c r="J7788" s="351"/>
      <c r="K7788" s="328"/>
      <c r="L7788" s="310"/>
    </row>
    <row r="7789" spans="5:13" ht="15" customHeight="1">
      <c r="F7789" s="306"/>
      <c r="G7789" s="301" t="s">
        <v>1409</v>
      </c>
      <c r="H7789" s="302"/>
      <c r="I7789" s="429" t="s">
        <v>20</v>
      </c>
      <c r="J7789" s="432">
        <v>1.2</v>
      </c>
      <c r="K7789" s="328">
        <f>VLOOKUP(G7789,Bahan,6,FALSE)</f>
        <v>19500</v>
      </c>
      <c r="L7789" s="310">
        <f>J7789*K7789</f>
        <v>23400</v>
      </c>
    </row>
    <row r="7790" spans="5:13" ht="15" customHeight="1" thickBot="1">
      <c r="F7790" s="306"/>
      <c r="G7790" s="301" t="s">
        <v>1330</v>
      </c>
      <c r="H7790" s="302"/>
      <c r="I7790" s="429" t="s">
        <v>943</v>
      </c>
      <c r="J7790" s="432">
        <v>35</v>
      </c>
      <c r="K7790" s="328">
        <f>L7789/100</f>
        <v>234</v>
      </c>
      <c r="L7790" s="310">
        <f>J7790*K7790</f>
        <v>8190</v>
      </c>
    </row>
    <row r="7791" spans="5:13" ht="15" customHeight="1" thickBot="1">
      <c r="F7791" s="316"/>
      <c r="G7791" s="317"/>
      <c r="H7791" s="318"/>
      <c r="I7791" s="318"/>
      <c r="J7791" s="319" t="s">
        <v>189</v>
      </c>
      <c r="K7791" s="320"/>
      <c r="L7791" s="321">
        <f>SUM(L7789:L7790)</f>
        <v>31590</v>
      </c>
    </row>
    <row r="7792" spans="5:13" ht="15" customHeight="1" thickBot="1">
      <c r="F7792" s="300" t="s">
        <v>190</v>
      </c>
      <c r="G7792" s="301" t="s">
        <v>191</v>
      </c>
      <c r="H7792" s="302"/>
      <c r="I7792" s="302"/>
      <c r="J7792" s="351"/>
      <c r="K7792" s="328">
        <v>0</v>
      </c>
      <c r="L7792" s="310">
        <f>J7792*K7792</f>
        <v>0</v>
      </c>
    </row>
    <row r="7793" spans="5:13" ht="15" customHeight="1" thickBot="1">
      <c r="F7793" s="316"/>
      <c r="G7793" s="317"/>
      <c r="H7793" s="318"/>
      <c r="I7793" s="318"/>
      <c r="J7793" s="319" t="s">
        <v>192</v>
      </c>
      <c r="K7793" s="320"/>
      <c r="L7793" s="321">
        <f>L7792</f>
        <v>0</v>
      </c>
    </row>
    <row r="7794" spans="5:13" ht="15" customHeight="1">
      <c r="F7794" s="344" t="s">
        <v>193</v>
      </c>
      <c r="G7794" s="345" t="s">
        <v>194</v>
      </c>
      <c r="H7794" s="346"/>
      <c r="I7794" s="346"/>
      <c r="J7794" s="347"/>
      <c r="K7794" s="348">
        <v>0</v>
      </c>
      <c r="L7794" s="310">
        <f>SUM(L7783:L7793)/2</f>
        <v>53835</v>
      </c>
    </row>
    <row r="7795" spans="5:13" ht="15" customHeight="1" thickBot="1">
      <c r="F7795" s="331" t="s">
        <v>195</v>
      </c>
      <c r="G7795" s="332" t="s">
        <v>196</v>
      </c>
      <c r="H7795" s="333"/>
      <c r="I7795" s="333"/>
      <c r="J7795" s="350">
        <v>0.1</v>
      </c>
      <c r="K7795" s="335"/>
      <c r="L7795" s="330">
        <f>J7795*L7794</f>
        <v>5383.5</v>
      </c>
    </row>
    <row r="7796" spans="5:13" ht="15" customHeight="1" thickBot="1">
      <c r="F7796" s="340" t="s">
        <v>197</v>
      </c>
      <c r="G7796" s="341" t="s">
        <v>198</v>
      </c>
      <c r="H7796" s="318"/>
      <c r="I7796" s="318"/>
      <c r="J7796" s="342"/>
      <c r="K7796" s="320">
        <v>0</v>
      </c>
      <c r="L7796" s="321">
        <f>ROUNDDOWN(L7794+L7795,0)</f>
        <v>59218</v>
      </c>
    </row>
    <row r="7797" spans="5:13" ht="15" customHeight="1">
      <c r="F7797" s="298"/>
      <c r="G7797" s="298"/>
      <c r="J7797" s="343"/>
    </row>
    <row r="7798" spans="5:13" ht="15" customHeight="1" thickBot="1">
      <c r="E7798" s="356" t="s">
        <v>1410</v>
      </c>
      <c r="F7798" s="295" t="s">
        <v>1411</v>
      </c>
      <c r="J7798" s="343"/>
      <c r="M7798" s="299">
        <f>L7814</f>
        <v>69019</v>
      </c>
    </row>
    <row r="7799" spans="5:13" ht="15" customHeight="1" thickBot="1">
      <c r="F7799" s="340" t="s">
        <v>136</v>
      </c>
      <c r="G7799" s="341" t="s">
        <v>162</v>
      </c>
      <c r="H7799" s="352" t="s">
        <v>163</v>
      </c>
      <c r="I7799" s="352" t="s">
        <v>138</v>
      </c>
      <c r="J7799" s="353" t="s">
        <v>164</v>
      </c>
      <c r="K7799" s="341" t="s">
        <v>165</v>
      </c>
      <c r="L7799" s="354" t="s">
        <v>166</v>
      </c>
    </row>
    <row r="7800" spans="5:13" ht="15" customHeight="1">
      <c r="F7800" s="344" t="s">
        <v>167</v>
      </c>
      <c r="G7800" s="345" t="s">
        <v>168</v>
      </c>
      <c r="H7800" s="346"/>
      <c r="I7800" s="346"/>
      <c r="J7800" s="347"/>
      <c r="K7800" s="348"/>
      <c r="L7800" s="349"/>
    </row>
    <row r="7801" spans="5:13" ht="15" customHeight="1">
      <c r="F7801" s="306"/>
      <c r="G7801" s="301" t="s">
        <v>169</v>
      </c>
      <c r="H7801" s="307" t="s">
        <v>170</v>
      </c>
      <c r="I7801" s="429" t="s">
        <v>171</v>
      </c>
      <c r="J7801" s="432">
        <v>5.3999999999999999E-2</v>
      </c>
      <c r="K7801" s="309">
        <f>VLOOKUP(G7801,Upah,8,FALSE)</f>
        <v>125000</v>
      </c>
      <c r="L7801" s="310">
        <f>J7801*K7801</f>
        <v>6750</v>
      </c>
    </row>
    <row r="7802" spans="5:13" ht="15" customHeight="1">
      <c r="F7802" s="306"/>
      <c r="G7802" s="301" t="s">
        <v>216</v>
      </c>
      <c r="H7802" s="307" t="s">
        <v>217</v>
      </c>
      <c r="I7802" s="429" t="s">
        <v>171</v>
      </c>
      <c r="J7802" s="432">
        <v>0.09</v>
      </c>
      <c r="K7802" s="309">
        <f>VLOOKUP(G7802,Upah,8,FALSE)</f>
        <v>150000</v>
      </c>
      <c r="L7802" s="310">
        <f>J7802*K7802</f>
        <v>13500</v>
      </c>
    </row>
    <row r="7803" spans="5:13" ht="15" customHeight="1">
      <c r="F7803" s="306"/>
      <c r="G7803" s="301" t="s">
        <v>232</v>
      </c>
      <c r="H7803" s="307" t="s">
        <v>175</v>
      </c>
      <c r="I7803" s="429" t="s">
        <v>171</v>
      </c>
      <c r="J7803" s="432">
        <v>8.9999999999999993E-3</v>
      </c>
      <c r="K7803" s="309">
        <f>VLOOKUP(G7803,Upah,8,FALSE)</f>
        <v>165000</v>
      </c>
      <c r="L7803" s="310">
        <f>J7803*K7803</f>
        <v>1485</v>
      </c>
    </row>
    <row r="7804" spans="5:13" ht="15" customHeight="1" thickBot="1">
      <c r="F7804" s="306"/>
      <c r="G7804" s="301" t="s">
        <v>176</v>
      </c>
      <c r="H7804" s="307" t="s">
        <v>177</v>
      </c>
      <c r="I7804" s="429" t="s">
        <v>171</v>
      </c>
      <c r="J7804" s="432">
        <v>3.0000000000000001E-3</v>
      </c>
      <c r="K7804" s="309">
        <f>VLOOKUP(G7804,Upah,8,FALSE)</f>
        <v>170000</v>
      </c>
      <c r="L7804" s="310">
        <f>J7804*K7804</f>
        <v>510</v>
      </c>
    </row>
    <row r="7805" spans="5:13" ht="15" customHeight="1" thickBot="1">
      <c r="F7805" s="316"/>
      <c r="G7805" s="317"/>
      <c r="H7805" s="318"/>
      <c r="I7805" s="318"/>
      <c r="J7805" s="319" t="s">
        <v>178</v>
      </c>
      <c r="K7805" s="320"/>
      <c r="L7805" s="321">
        <f>SUM(L7801:L7804)</f>
        <v>22245</v>
      </c>
    </row>
    <row r="7806" spans="5:13" ht="15" customHeight="1">
      <c r="F7806" s="300" t="s">
        <v>179</v>
      </c>
      <c r="G7806" s="301" t="s">
        <v>180</v>
      </c>
      <c r="H7806" s="302"/>
      <c r="I7806" s="302"/>
      <c r="J7806" s="351"/>
      <c r="K7806" s="328"/>
      <c r="L7806" s="310"/>
    </row>
    <row r="7807" spans="5:13" ht="15" customHeight="1">
      <c r="F7807" s="306"/>
      <c r="G7807" s="301" t="s">
        <v>1412</v>
      </c>
      <c r="H7807" s="302"/>
      <c r="I7807" s="429" t="s">
        <v>20</v>
      </c>
      <c r="J7807" s="432">
        <v>1.2</v>
      </c>
      <c r="K7807" s="328">
        <f>VLOOKUP(G7807,Bahan,6,FALSE)</f>
        <v>25000</v>
      </c>
      <c r="L7807" s="310">
        <f>J7807*K7807</f>
        <v>30000</v>
      </c>
    </row>
    <row r="7808" spans="5:13" ht="15" customHeight="1" thickBot="1">
      <c r="F7808" s="306"/>
      <c r="G7808" s="301" t="s">
        <v>1330</v>
      </c>
      <c r="H7808" s="302"/>
      <c r="I7808" s="429" t="s">
        <v>943</v>
      </c>
      <c r="J7808" s="432">
        <v>35</v>
      </c>
      <c r="K7808" s="328">
        <f>L7807/100</f>
        <v>300</v>
      </c>
      <c r="L7808" s="310">
        <f>J7808*K7808</f>
        <v>10500</v>
      </c>
    </row>
    <row r="7809" spans="5:13" ht="15" customHeight="1" thickBot="1">
      <c r="F7809" s="316"/>
      <c r="G7809" s="317"/>
      <c r="H7809" s="318"/>
      <c r="I7809" s="318"/>
      <c r="J7809" s="319" t="s">
        <v>189</v>
      </c>
      <c r="K7809" s="320"/>
      <c r="L7809" s="321">
        <f>SUM(L7807:L7808)</f>
        <v>40500</v>
      </c>
    </row>
    <row r="7810" spans="5:13" ht="15" customHeight="1" thickBot="1">
      <c r="F7810" s="300" t="s">
        <v>190</v>
      </c>
      <c r="G7810" s="301" t="s">
        <v>191</v>
      </c>
      <c r="H7810" s="302"/>
      <c r="I7810" s="302"/>
      <c r="J7810" s="351"/>
      <c r="K7810" s="328">
        <v>0</v>
      </c>
      <c r="L7810" s="310">
        <f>J7810*K7810</f>
        <v>0</v>
      </c>
    </row>
    <row r="7811" spans="5:13" ht="15" customHeight="1" thickBot="1">
      <c r="F7811" s="316"/>
      <c r="G7811" s="317"/>
      <c r="H7811" s="318"/>
      <c r="I7811" s="318"/>
      <c r="J7811" s="319" t="s">
        <v>192</v>
      </c>
      <c r="K7811" s="320"/>
      <c r="L7811" s="321">
        <f>L7810</f>
        <v>0</v>
      </c>
    </row>
    <row r="7812" spans="5:13" ht="15" customHeight="1">
      <c r="F7812" s="344" t="s">
        <v>193</v>
      </c>
      <c r="G7812" s="345" t="s">
        <v>194</v>
      </c>
      <c r="H7812" s="346"/>
      <c r="I7812" s="346"/>
      <c r="J7812" s="347"/>
      <c r="K7812" s="348">
        <v>0</v>
      </c>
      <c r="L7812" s="310">
        <f>SUM(L7801:L7811)/2</f>
        <v>62745</v>
      </c>
    </row>
    <row r="7813" spans="5:13" ht="15" customHeight="1" thickBot="1">
      <c r="F7813" s="331" t="s">
        <v>195</v>
      </c>
      <c r="G7813" s="332" t="s">
        <v>196</v>
      </c>
      <c r="H7813" s="333"/>
      <c r="I7813" s="333"/>
      <c r="J7813" s="350">
        <v>0.1</v>
      </c>
      <c r="K7813" s="335"/>
      <c r="L7813" s="330">
        <f>J7813*L7812</f>
        <v>6274.5</v>
      </c>
    </row>
    <row r="7814" spans="5:13" ht="15" customHeight="1" thickBot="1">
      <c r="F7814" s="340" t="s">
        <v>197</v>
      </c>
      <c r="G7814" s="341" t="s">
        <v>198</v>
      </c>
      <c r="H7814" s="318"/>
      <c r="I7814" s="318"/>
      <c r="J7814" s="342"/>
      <c r="K7814" s="320">
        <v>0</v>
      </c>
      <c r="L7814" s="321">
        <f>ROUNDDOWN(L7812+L7813,0)</f>
        <v>69019</v>
      </c>
    </row>
    <row r="7815" spans="5:13" ht="15" customHeight="1">
      <c r="F7815" s="298"/>
      <c r="G7815" s="298"/>
      <c r="J7815" s="343"/>
    </row>
    <row r="7816" spans="5:13" ht="15" customHeight="1" thickBot="1">
      <c r="E7816" s="356" t="s">
        <v>1413</v>
      </c>
      <c r="F7816" s="295" t="s">
        <v>1414</v>
      </c>
      <c r="J7816" s="343"/>
      <c r="M7816" s="299">
        <f>L7832</f>
        <v>101653</v>
      </c>
    </row>
    <row r="7817" spans="5:13" ht="15" customHeight="1" thickBot="1">
      <c r="F7817" s="340" t="s">
        <v>136</v>
      </c>
      <c r="G7817" s="341" t="s">
        <v>162</v>
      </c>
      <c r="H7817" s="352" t="s">
        <v>163</v>
      </c>
      <c r="I7817" s="352" t="s">
        <v>138</v>
      </c>
      <c r="J7817" s="353" t="s">
        <v>164</v>
      </c>
      <c r="K7817" s="341" t="s">
        <v>165</v>
      </c>
      <c r="L7817" s="354" t="s">
        <v>166</v>
      </c>
    </row>
    <row r="7818" spans="5:13" ht="15" customHeight="1">
      <c r="F7818" s="344" t="s">
        <v>167</v>
      </c>
      <c r="G7818" s="345" t="s">
        <v>168</v>
      </c>
      <c r="H7818" s="346"/>
      <c r="I7818" s="346"/>
      <c r="J7818" s="347"/>
      <c r="K7818" s="348"/>
      <c r="L7818" s="349"/>
    </row>
    <row r="7819" spans="5:13" ht="15" customHeight="1">
      <c r="F7819" s="306"/>
      <c r="G7819" s="301" t="s">
        <v>169</v>
      </c>
      <c r="H7819" s="307" t="s">
        <v>170</v>
      </c>
      <c r="I7819" s="429" t="s">
        <v>171</v>
      </c>
      <c r="J7819" s="432">
        <v>8.1000000000000003E-2</v>
      </c>
      <c r="K7819" s="309">
        <f>VLOOKUP(G7819,Upah,8,FALSE)</f>
        <v>125000</v>
      </c>
      <c r="L7819" s="310">
        <f>J7819*K7819</f>
        <v>10125</v>
      </c>
    </row>
    <row r="7820" spans="5:13" ht="15" customHeight="1">
      <c r="F7820" s="306"/>
      <c r="G7820" s="301" t="s">
        <v>216</v>
      </c>
      <c r="H7820" s="307" t="s">
        <v>217</v>
      </c>
      <c r="I7820" s="429" t="s">
        <v>171</v>
      </c>
      <c r="J7820" s="432">
        <v>0.13500000000000001</v>
      </c>
      <c r="K7820" s="309">
        <f>VLOOKUP(G7820,Upah,8,FALSE)</f>
        <v>150000</v>
      </c>
      <c r="L7820" s="310">
        <f>J7820*K7820</f>
        <v>20250</v>
      </c>
    </row>
    <row r="7821" spans="5:13" ht="15" customHeight="1">
      <c r="F7821" s="306"/>
      <c r="G7821" s="301" t="s">
        <v>232</v>
      </c>
      <c r="H7821" s="307" t="s">
        <v>175</v>
      </c>
      <c r="I7821" s="429" t="s">
        <v>171</v>
      </c>
      <c r="J7821" s="432">
        <v>1.35E-2</v>
      </c>
      <c r="K7821" s="309">
        <f>VLOOKUP(G7821,Upah,8,FALSE)</f>
        <v>165000</v>
      </c>
      <c r="L7821" s="310">
        <f>J7821*K7821</f>
        <v>2227.5</v>
      </c>
    </row>
    <row r="7822" spans="5:13" ht="15" customHeight="1" thickBot="1">
      <c r="F7822" s="306"/>
      <c r="G7822" s="301" t="s">
        <v>176</v>
      </c>
      <c r="H7822" s="307" t="s">
        <v>177</v>
      </c>
      <c r="I7822" s="429" t="s">
        <v>171</v>
      </c>
      <c r="J7822" s="432">
        <v>4.0000000000000001E-3</v>
      </c>
      <c r="K7822" s="309">
        <f>VLOOKUP(G7822,Upah,8,FALSE)</f>
        <v>170000</v>
      </c>
      <c r="L7822" s="310">
        <f>J7822*K7822</f>
        <v>680</v>
      </c>
    </row>
    <row r="7823" spans="5:13" ht="15" customHeight="1" thickBot="1">
      <c r="F7823" s="316"/>
      <c r="G7823" s="317"/>
      <c r="H7823" s="318"/>
      <c r="I7823" s="318"/>
      <c r="J7823" s="319" t="s">
        <v>178</v>
      </c>
      <c r="K7823" s="320"/>
      <c r="L7823" s="321">
        <f>SUM(L7819:L7822)</f>
        <v>33282.5</v>
      </c>
    </row>
    <row r="7824" spans="5:13" ht="15" customHeight="1">
      <c r="F7824" s="300" t="s">
        <v>179</v>
      </c>
      <c r="G7824" s="301" t="s">
        <v>180</v>
      </c>
      <c r="H7824" s="302"/>
      <c r="I7824" s="302"/>
      <c r="J7824" s="351"/>
      <c r="K7824" s="328"/>
      <c r="L7824" s="310"/>
    </row>
    <row r="7825" spans="5:13" ht="15" customHeight="1">
      <c r="F7825" s="306"/>
      <c r="G7825" s="301" t="s">
        <v>1415</v>
      </c>
      <c r="H7825" s="302"/>
      <c r="I7825" s="429" t="s">
        <v>20</v>
      </c>
      <c r="J7825" s="432">
        <v>1.2</v>
      </c>
      <c r="K7825" s="328">
        <f>VLOOKUP(G7825,Bahan,6,FALSE)</f>
        <v>36500</v>
      </c>
      <c r="L7825" s="310">
        <f>J7825*K7825</f>
        <v>43800</v>
      </c>
    </row>
    <row r="7826" spans="5:13" ht="15" customHeight="1" thickBot="1">
      <c r="F7826" s="306"/>
      <c r="G7826" s="301" t="s">
        <v>1330</v>
      </c>
      <c r="H7826" s="302"/>
      <c r="I7826" s="429" t="s">
        <v>943</v>
      </c>
      <c r="J7826" s="432">
        <v>35</v>
      </c>
      <c r="K7826" s="328">
        <f>L7825/100</f>
        <v>438</v>
      </c>
      <c r="L7826" s="310">
        <f>J7826*K7826</f>
        <v>15330</v>
      </c>
    </row>
    <row r="7827" spans="5:13" ht="15" customHeight="1" thickBot="1">
      <c r="F7827" s="316"/>
      <c r="G7827" s="317"/>
      <c r="H7827" s="318"/>
      <c r="I7827" s="318"/>
      <c r="J7827" s="319" t="s">
        <v>189</v>
      </c>
      <c r="K7827" s="320"/>
      <c r="L7827" s="321">
        <f>SUM(L7825:L7826)</f>
        <v>59130</v>
      </c>
    </row>
    <row r="7828" spans="5:13" ht="15" customHeight="1" thickBot="1">
      <c r="F7828" s="300" t="s">
        <v>190</v>
      </c>
      <c r="G7828" s="301" t="s">
        <v>191</v>
      </c>
      <c r="H7828" s="302"/>
      <c r="I7828" s="302"/>
      <c r="J7828" s="351"/>
      <c r="K7828" s="328">
        <v>0</v>
      </c>
      <c r="L7828" s="310">
        <f>J7828*K7828</f>
        <v>0</v>
      </c>
    </row>
    <row r="7829" spans="5:13" ht="15" customHeight="1" thickBot="1">
      <c r="F7829" s="316"/>
      <c r="G7829" s="317"/>
      <c r="H7829" s="318"/>
      <c r="I7829" s="318"/>
      <c r="J7829" s="319" t="s">
        <v>192</v>
      </c>
      <c r="K7829" s="320"/>
      <c r="L7829" s="321">
        <f>L7828</f>
        <v>0</v>
      </c>
    </row>
    <row r="7830" spans="5:13" ht="15" customHeight="1">
      <c r="F7830" s="344" t="s">
        <v>193</v>
      </c>
      <c r="G7830" s="345" t="s">
        <v>194</v>
      </c>
      <c r="H7830" s="346"/>
      <c r="I7830" s="346"/>
      <c r="J7830" s="347"/>
      <c r="K7830" s="348">
        <v>0</v>
      </c>
      <c r="L7830" s="310">
        <f>SUM(L7819:L7829)/2</f>
        <v>92412.5</v>
      </c>
    </row>
    <row r="7831" spans="5:13" ht="15" customHeight="1" thickBot="1">
      <c r="F7831" s="331" t="s">
        <v>195</v>
      </c>
      <c r="G7831" s="332" t="s">
        <v>196</v>
      </c>
      <c r="H7831" s="333"/>
      <c r="I7831" s="333"/>
      <c r="J7831" s="350">
        <v>0.1</v>
      </c>
      <c r="K7831" s="335"/>
      <c r="L7831" s="330">
        <f>J7831*L7830</f>
        <v>9241.25</v>
      </c>
    </row>
    <row r="7832" spans="5:13" ht="15" customHeight="1" thickBot="1">
      <c r="F7832" s="340" t="s">
        <v>197</v>
      </c>
      <c r="G7832" s="341" t="s">
        <v>198</v>
      </c>
      <c r="H7832" s="318"/>
      <c r="I7832" s="318"/>
      <c r="J7832" s="342"/>
      <c r="K7832" s="320">
        <v>0</v>
      </c>
      <c r="L7832" s="321">
        <f>ROUNDDOWN(L7830+L7831,0)</f>
        <v>101653</v>
      </c>
    </row>
    <row r="7833" spans="5:13" ht="15" customHeight="1">
      <c r="F7833" s="298"/>
      <c r="G7833" s="298"/>
      <c r="J7833" s="343"/>
    </row>
    <row r="7834" spans="5:13" ht="15" customHeight="1" thickBot="1">
      <c r="E7834" s="356" t="s">
        <v>1416</v>
      </c>
      <c r="F7834" s="295" t="s">
        <v>1417</v>
      </c>
      <c r="J7834" s="343"/>
      <c r="M7834" s="299">
        <f>L7850</f>
        <v>125710</v>
      </c>
    </row>
    <row r="7835" spans="5:13" ht="15" customHeight="1" thickBot="1">
      <c r="F7835" s="340" t="s">
        <v>136</v>
      </c>
      <c r="G7835" s="341" t="s">
        <v>162</v>
      </c>
      <c r="H7835" s="352" t="s">
        <v>163</v>
      </c>
      <c r="I7835" s="352" t="s">
        <v>138</v>
      </c>
      <c r="J7835" s="353" t="s">
        <v>164</v>
      </c>
      <c r="K7835" s="341" t="s">
        <v>165</v>
      </c>
      <c r="L7835" s="354" t="s">
        <v>166</v>
      </c>
    </row>
    <row r="7836" spans="5:13" ht="15" customHeight="1">
      <c r="F7836" s="344" t="s">
        <v>167</v>
      </c>
      <c r="G7836" s="345" t="s">
        <v>168</v>
      </c>
      <c r="H7836" s="346"/>
      <c r="I7836" s="346"/>
      <c r="J7836" s="347"/>
      <c r="K7836" s="348"/>
      <c r="L7836" s="349"/>
    </row>
    <row r="7837" spans="5:13" ht="15" customHeight="1">
      <c r="F7837" s="306"/>
      <c r="G7837" s="301" t="s">
        <v>169</v>
      </c>
      <c r="H7837" s="307" t="s">
        <v>170</v>
      </c>
      <c r="I7837" s="429" t="s">
        <v>171</v>
      </c>
      <c r="J7837" s="432">
        <v>8.1000000000000003E-2</v>
      </c>
      <c r="K7837" s="309">
        <f>VLOOKUP(G7837,Upah,8,FALSE)</f>
        <v>125000</v>
      </c>
      <c r="L7837" s="310">
        <f>J7837*K7837</f>
        <v>10125</v>
      </c>
    </row>
    <row r="7838" spans="5:13" ht="15" customHeight="1">
      <c r="F7838" s="306"/>
      <c r="G7838" s="301" t="s">
        <v>216</v>
      </c>
      <c r="H7838" s="307" t="s">
        <v>217</v>
      </c>
      <c r="I7838" s="429" t="s">
        <v>171</v>
      </c>
      <c r="J7838" s="432">
        <v>0.13500000000000001</v>
      </c>
      <c r="K7838" s="309">
        <f>VLOOKUP(G7838,Upah,8,FALSE)</f>
        <v>150000</v>
      </c>
      <c r="L7838" s="310">
        <f>J7838*K7838</f>
        <v>20250</v>
      </c>
    </row>
    <row r="7839" spans="5:13" ht="15" customHeight="1">
      <c r="F7839" s="306"/>
      <c r="G7839" s="301" t="s">
        <v>232</v>
      </c>
      <c r="H7839" s="307" t="s">
        <v>175</v>
      </c>
      <c r="I7839" s="429" t="s">
        <v>171</v>
      </c>
      <c r="J7839" s="432">
        <v>1.35E-2</v>
      </c>
      <c r="K7839" s="309">
        <f>VLOOKUP(G7839,Upah,8,FALSE)</f>
        <v>165000</v>
      </c>
      <c r="L7839" s="310">
        <f>J7839*K7839</f>
        <v>2227.5</v>
      </c>
    </row>
    <row r="7840" spans="5:13" ht="15" customHeight="1" thickBot="1">
      <c r="F7840" s="306"/>
      <c r="G7840" s="301" t="s">
        <v>176</v>
      </c>
      <c r="H7840" s="307" t="s">
        <v>177</v>
      </c>
      <c r="I7840" s="429" t="s">
        <v>171</v>
      </c>
      <c r="J7840" s="432">
        <v>4.0000000000000001E-3</v>
      </c>
      <c r="K7840" s="309">
        <f>VLOOKUP(G7840,Upah,8,FALSE)</f>
        <v>170000</v>
      </c>
      <c r="L7840" s="310">
        <f>J7840*K7840</f>
        <v>680</v>
      </c>
    </row>
    <row r="7841" spans="5:13" ht="15" customHeight="1" thickBot="1">
      <c r="F7841" s="316"/>
      <c r="G7841" s="317"/>
      <c r="H7841" s="318"/>
      <c r="I7841" s="318"/>
      <c r="J7841" s="319" t="s">
        <v>178</v>
      </c>
      <c r="K7841" s="320"/>
      <c r="L7841" s="321">
        <f>SUM(L7837:L7840)</f>
        <v>33282.5</v>
      </c>
    </row>
    <row r="7842" spans="5:13" ht="15" customHeight="1">
      <c r="F7842" s="300" t="s">
        <v>179</v>
      </c>
      <c r="G7842" s="301" t="s">
        <v>180</v>
      </c>
      <c r="H7842" s="302"/>
      <c r="I7842" s="302"/>
      <c r="J7842" s="351"/>
      <c r="K7842" s="328"/>
      <c r="L7842" s="310"/>
    </row>
    <row r="7843" spans="5:13" ht="15" customHeight="1">
      <c r="F7843" s="306"/>
      <c r="G7843" s="301" t="s">
        <v>1418</v>
      </c>
      <c r="H7843" s="302"/>
      <c r="I7843" s="429" t="s">
        <v>20</v>
      </c>
      <c r="J7843" s="432">
        <v>1.2</v>
      </c>
      <c r="K7843" s="328">
        <f>VLOOKUP(G7843,Bahan,6,FALSE)</f>
        <v>50000</v>
      </c>
      <c r="L7843" s="310">
        <f>J7843*K7843</f>
        <v>60000</v>
      </c>
    </row>
    <row r="7844" spans="5:13" ht="15" customHeight="1" thickBot="1">
      <c r="F7844" s="306"/>
      <c r="G7844" s="301" t="s">
        <v>1330</v>
      </c>
      <c r="H7844" s="302"/>
      <c r="I7844" s="429" t="s">
        <v>943</v>
      </c>
      <c r="J7844" s="432">
        <v>35</v>
      </c>
      <c r="K7844" s="328">
        <f>L7843/100</f>
        <v>600</v>
      </c>
      <c r="L7844" s="310">
        <f>J7844*K7844</f>
        <v>21000</v>
      </c>
    </row>
    <row r="7845" spans="5:13" ht="15" customHeight="1" thickBot="1">
      <c r="F7845" s="316"/>
      <c r="G7845" s="317"/>
      <c r="H7845" s="318"/>
      <c r="I7845" s="318"/>
      <c r="J7845" s="319" t="s">
        <v>189</v>
      </c>
      <c r="K7845" s="320"/>
      <c r="L7845" s="321">
        <f>SUM(L7843:L7844)</f>
        <v>81000</v>
      </c>
    </row>
    <row r="7846" spans="5:13" ht="15" customHeight="1" thickBot="1">
      <c r="F7846" s="300" t="s">
        <v>190</v>
      </c>
      <c r="G7846" s="301" t="s">
        <v>191</v>
      </c>
      <c r="H7846" s="302"/>
      <c r="I7846" s="302"/>
      <c r="J7846" s="351"/>
      <c r="K7846" s="328">
        <v>0</v>
      </c>
      <c r="L7846" s="310">
        <f>J7846*K7846</f>
        <v>0</v>
      </c>
    </row>
    <row r="7847" spans="5:13" ht="15" customHeight="1" thickBot="1">
      <c r="F7847" s="316"/>
      <c r="G7847" s="317"/>
      <c r="H7847" s="318"/>
      <c r="I7847" s="318"/>
      <c r="J7847" s="319" t="s">
        <v>192</v>
      </c>
      <c r="K7847" s="320"/>
      <c r="L7847" s="321">
        <f>L7846</f>
        <v>0</v>
      </c>
    </row>
    <row r="7848" spans="5:13" ht="15" customHeight="1">
      <c r="F7848" s="344" t="s">
        <v>193</v>
      </c>
      <c r="G7848" s="345" t="s">
        <v>194</v>
      </c>
      <c r="H7848" s="346"/>
      <c r="I7848" s="346"/>
      <c r="J7848" s="347"/>
      <c r="K7848" s="348">
        <v>0</v>
      </c>
      <c r="L7848" s="310">
        <f>SUM(L7837:L7847)/2</f>
        <v>114282.5</v>
      </c>
    </row>
    <row r="7849" spans="5:13" ht="15" customHeight="1" thickBot="1">
      <c r="F7849" s="331" t="s">
        <v>195</v>
      </c>
      <c r="G7849" s="332" t="s">
        <v>196</v>
      </c>
      <c r="H7849" s="333"/>
      <c r="I7849" s="333"/>
      <c r="J7849" s="350">
        <v>0.1</v>
      </c>
      <c r="K7849" s="335"/>
      <c r="L7849" s="330">
        <f>J7849*L7848</f>
        <v>11428.25</v>
      </c>
    </row>
    <row r="7850" spans="5:13" ht="15" customHeight="1" thickBot="1">
      <c r="F7850" s="340" t="s">
        <v>197</v>
      </c>
      <c r="G7850" s="341" t="s">
        <v>198</v>
      </c>
      <c r="H7850" s="318"/>
      <c r="I7850" s="318"/>
      <c r="J7850" s="342"/>
      <c r="K7850" s="320">
        <v>0</v>
      </c>
      <c r="L7850" s="321">
        <f>ROUNDDOWN(L7848+L7849,0)</f>
        <v>125710</v>
      </c>
    </row>
    <row r="7851" spans="5:13" ht="15" customHeight="1">
      <c r="F7851" s="298"/>
      <c r="G7851" s="298"/>
      <c r="J7851" s="343"/>
    </row>
    <row r="7852" spans="5:13" ht="15" customHeight="1" thickBot="1">
      <c r="E7852" s="356" t="s">
        <v>1419</v>
      </c>
      <c r="F7852" s="295" t="s">
        <v>1420</v>
      </c>
      <c r="J7852" s="343"/>
      <c r="M7852" s="299">
        <f>L7868</f>
        <v>154222</v>
      </c>
    </row>
    <row r="7853" spans="5:13" ht="15" customHeight="1" thickBot="1">
      <c r="F7853" s="340" t="s">
        <v>136</v>
      </c>
      <c r="G7853" s="341" t="s">
        <v>162</v>
      </c>
      <c r="H7853" s="352" t="s">
        <v>163</v>
      </c>
      <c r="I7853" s="352" t="s">
        <v>138</v>
      </c>
      <c r="J7853" s="353" t="s">
        <v>164</v>
      </c>
      <c r="K7853" s="341" t="s">
        <v>165</v>
      </c>
      <c r="L7853" s="354" t="s">
        <v>166</v>
      </c>
    </row>
    <row r="7854" spans="5:13" ht="15" customHeight="1">
      <c r="F7854" s="344" t="s">
        <v>167</v>
      </c>
      <c r="G7854" s="345" t="s">
        <v>168</v>
      </c>
      <c r="H7854" s="346"/>
      <c r="I7854" s="346"/>
      <c r="J7854" s="347"/>
      <c r="K7854" s="348"/>
      <c r="L7854" s="349"/>
    </row>
    <row r="7855" spans="5:13" ht="15" customHeight="1">
      <c r="F7855" s="306"/>
      <c r="G7855" s="301" t="s">
        <v>169</v>
      </c>
      <c r="H7855" s="307" t="s">
        <v>170</v>
      </c>
      <c r="I7855" s="429" t="s">
        <v>171</v>
      </c>
      <c r="J7855" s="432">
        <v>8.1000000000000003E-2</v>
      </c>
      <c r="K7855" s="309">
        <f>VLOOKUP(G7855,Upah,8,FALSE)</f>
        <v>125000</v>
      </c>
      <c r="L7855" s="310">
        <f>J7855*K7855</f>
        <v>10125</v>
      </c>
    </row>
    <row r="7856" spans="5:13" ht="15" customHeight="1">
      <c r="F7856" s="306"/>
      <c r="G7856" s="301" t="s">
        <v>216</v>
      </c>
      <c r="H7856" s="307" t="s">
        <v>217</v>
      </c>
      <c r="I7856" s="429" t="s">
        <v>171</v>
      </c>
      <c r="J7856" s="432">
        <v>0.13500000000000001</v>
      </c>
      <c r="K7856" s="309">
        <f>VLOOKUP(G7856,Upah,8,FALSE)</f>
        <v>150000</v>
      </c>
      <c r="L7856" s="310">
        <f>J7856*K7856</f>
        <v>20250</v>
      </c>
    </row>
    <row r="7857" spans="5:13" ht="15" customHeight="1">
      <c r="F7857" s="306"/>
      <c r="G7857" s="301" t="s">
        <v>232</v>
      </c>
      <c r="H7857" s="307" t="s">
        <v>175</v>
      </c>
      <c r="I7857" s="429" t="s">
        <v>171</v>
      </c>
      <c r="J7857" s="432">
        <v>1.35E-2</v>
      </c>
      <c r="K7857" s="309">
        <f>VLOOKUP(G7857,Upah,8,FALSE)</f>
        <v>165000</v>
      </c>
      <c r="L7857" s="310">
        <f>J7857*K7857</f>
        <v>2227.5</v>
      </c>
    </row>
    <row r="7858" spans="5:13" ht="15" customHeight="1" thickBot="1">
      <c r="F7858" s="306"/>
      <c r="G7858" s="301" t="s">
        <v>176</v>
      </c>
      <c r="H7858" s="307" t="s">
        <v>177</v>
      </c>
      <c r="I7858" s="429" t="s">
        <v>171</v>
      </c>
      <c r="J7858" s="432">
        <v>4.0000000000000001E-3</v>
      </c>
      <c r="K7858" s="309">
        <f>VLOOKUP(G7858,Upah,8,FALSE)</f>
        <v>170000</v>
      </c>
      <c r="L7858" s="310">
        <f>J7858*K7858</f>
        <v>680</v>
      </c>
    </row>
    <row r="7859" spans="5:13" ht="15" customHeight="1" thickBot="1">
      <c r="F7859" s="316"/>
      <c r="G7859" s="317"/>
      <c r="H7859" s="318"/>
      <c r="I7859" s="318"/>
      <c r="J7859" s="319" t="s">
        <v>178</v>
      </c>
      <c r="K7859" s="320"/>
      <c r="L7859" s="321">
        <f>SUM(L7855:L7858)</f>
        <v>33282.5</v>
      </c>
    </row>
    <row r="7860" spans="5:13" ht="15" customHeight="1">
      <c r="F7860" s="300" t="s">
        <v>179</v>
      </c>
      <c r="G7860" s="301" t="s">
        <v>180</v>
      </c>
      <c r="H7860" s="302"/>
      <c r="I7860" s="302"/>
      <c r="J7860" s="351"/>
      <c r="K7860" s="328"/>
      <c r="L7860" s="310"/>
    </row>
    <row r="7861" spans="5:13" ht="15" customHeight="1">
      <c r="F7861" s="306"/>
      <c r="G7861" s="301" t="s">
        <v>1421</v>
      </c>
      <c r="H7861" s="302"/>
      <c r="I7861" s="429" t="s">
        <v>20</v>
      </c>
      <c r="J7861" s="432">
        <v>1.2</v>
      </c>
      <c r="K7861" s="328">
        <f>VLOOKUP(G7861,Bahan,6,FALSE)</f>
        <v>66000</v>
      </c>
      <c r="L7861" s="310">
        <f>J7861*K7861</f>
        <v>79200</v>
      </c>
    </row>
    <row r="7862" spans="5:13" ht="15" customHeight="1" thickBot="1">
      <c r="F7862" s="306"/>
      <c r="G7862" s="301" t="s">
        <v>1330</v>
      </c>
      <c r="H7862" s="302"/>
      <c r="I7862" s="429" t="s">
        <v>943</v>
      </c>
      <c r="J7862" s="432">
        <v>35</v>
      </c>
      <c r="K7862" s="328">
        <f>L7861/100</f>
        <v>792</v>
      </c>
      <c r="L7862" s="310">
        <f>J7862*K7862</f>
        <v>27720</v>
      </c>
    </row>
    <row r="7863" spans="5:13" ht="15" customHeight="1" thickBot="1">
      <c r="F7863" s="316"/>
      <c r="G7863" s="317"/>
      <c r="H7863" s="318"/>
      <c r="I7863" s="318"/>
      <c r="J7863" s="319" t="s">
        <v>189</v>
      </c>
      <c r="K7863" s="320"/>
      <c r="L7863" s="321">
        <f>SUM(L7861:L7862)</f>
        <v>106920</v>
      </c>
    </row>
    <row r="7864" spans="5:13" ht="15" customHeight="1" thickBot="1">
      <c r="F7864" s="300" t="s">
        <v>190</v>
      </c>
      <c r="G7864" s="301" t="s">
        <v>191</v>
      </c>
      <c r="H7864" s="302"/>
      <c r="I7864" s="302"/>
      <c r="J7864" s="351"/>
      <c r="K7864" s="328">
        <v>0</v>
      </c>
      <c r="L7864" s="310">
        <f>J7864*K7864</f>
        <v>0</v>
      </c>
    </row>
    <row r="7865" spans="5:13" ht="15" customHeight="1" thickBot="1">
      <c r="F7865" s="316"/>
      <c r="G7865" s="317"/>
      <c r="H7865" s="318"/>
      <c r="I7865" s="318"/>
      <c r="J7865" s="319" t="s">
        <v>192</v>
      </c>
      <c r="K7865" s="320"/>
      <c r="L7865" s="321">
        <f>L7864</f>
        <v>0</v>
      </c>
    </row>
    <row r="7866" spans="5:13" ht="15" customHeight="1">
      <c r="F7866" s="344" t="s">
        <v>193</v>
      </c>
      <c r="G7866" s="345" t="s">
        <v>194</v>
      </c>
      <c r="H7866" s="346"/>
      <c r="I7866" s="346"/>
      <c r="J7866" s="347"/>
      <c r="K7866" s="348">
        <v>0</v>
      </c>
      <c r="L7866" s="310">
        <f>SUM(L7855:L7865)/2</f>
        <v>140202.5</v>
      </c>
    </row>
    <row r="7867" spans="5:13" ht="15" customHeight="1" thickBot="1">
      <c r="F7867" s="331" t="s">
        <v>195</v>
      </c>
      <c r="G7867" s="332" t="s">
        <v>196</v>
      </c>
      <c r="H7867" s="333"/>
      <c r="I7867" s="333"/>
      <c r="J7867" s="350">
        <v>0.1</v>
      </c>
      <c r="K7867" s="335"/>
      <c r="L7867" s="330">
        <f>J7867*L7866</f>
        <v>14020.25</v>
      </c>
    </row>
    <row r="7868" spans="5:13" ht="15" customHeight="1" thickBot="1">
      <c r="F7868" s="340" t="s">
        <v>197</v>
      </c>
      <c r="G7868" s="341" t="s">
        <v>198</v>
      </c>
      <c r="H7868" s="318"/>
      <c r="I7868" s="318"/>
      <c r="J7868" s="342"/>
      <c r="K7868" s="320">
        <v>0</v>
      </c>
      <c r="L7868" s="321">
        <f>ROUNDDOWN(L7866+L7867,0)</f>
        <v>154222</v>
      </c>
    </row>
    <row r="7869" spans="5:13" ht="15" customHeight="1">
      <c r="F7869" s="298"/>
      <c r="G7869" s="298"/>
      <c r="J7869" s="343"/>
    </row>
    <row r="7870" spans="5:13" ht="15" customHeight="1" thickBot="1">
      <c r="E7870" s="356" t="s">
        <v>1422</v>
      </c>
      <c r="F7870" s="295" t="s">
        <v>1423</v>
      </c>
      <c r="J7870" s="343"/>
      <c r="M7870" s="299">
        <f>L7888</f>
        <v>200665</v>
      </c>
    </row>
    <row r="7871" spans="5:13" ht="15" customHeight="1" thickBot="1">
      <c r="F7871" s="340" t="s">
        <v>136</v>
      </c>
      <c r="G7871" s="341" t="s">
        <v>162</v>
      </c>
      <c r="H7871" s="352" t="s">
        <v>163</v>
      </c>
      <c r="I7871" s="352" t="s">
        <v>138</v>
      </c>
      <c r="J7871" s="353" t="s">
        <v>164</v>
      </c>
      <c r="K7871" s="341" t="s">
        <v>165</v>
      </c>
      <c r="L7871" s="354" t="s">
        <v>166</v>
      </c>
    </row>
    <row r="7872" spans="5:13" ht="15" customHeight="1">
      <c r="F7872" s="344" t="s">
        <v>167</v>
      </c>
      <c r="G7872" s="345" t="s">
        <v>168</v>
      </c>
      <c r="H7872" s="346"/>
      <c r="I7872" s="346"/>
      <c r="J7872" s="347"/>
      <c r="K7872" s="348"/>
      <c r="L7872" s="349"/>
    </row>
    <row r="7873" spans="6:12" ht="15" customHeight="1">
      <c r="F7873" s="306"/>
      <c r="G7873" s="301" t="s">
        <v>169</v>
      </c>
      <c r="H7873" s="307" t="s">
        <v>170</v>
      </c>
      <c r="I7873" s="429" t="s">
        <v>171</v>
      </c>
      <c r="J7873" s="432">
        <v>0.08</v>
      </c>
      <c r="K7873" s="309">
        <f>VLOOKUP(G7873,Upah,8,FALSE)</f>
        <v>125000</v>
      </c>
      <c r="L7873" s="310">
        <f>J7873*K7873</f>
        <v>10000</v>
      </c>
    </row>
    <row r="7874" spans="6:12" ht="15" customHeight="1">
      <c r="F7874" s="306"/>
      <c r="G7874" s="301" t="s">
        <v>216</v>
      </c>
      <c r="H7874" s="307" t="s">
        <v>217</v>
      </c>
      <c r="I7874" s="429" t="s">
        <v>171</v>
      </c>
      <c r="J7874" s="432">
        <v>0.04</v>
      </c>
      <c r="K7874" s="309">
        <f>VLOOKUP(G7874,Upah,8,FALSE)</f>
        <v>150000</v>
      </c>
      <c r="L7874" s="310">
        <f>J7874*K7874</f>
        <v>6000</v>
      </c>
    </row>
    <row r="7875" spans="6:12" ht="15" customHeight="1">
      <c r="F7875" s="306"/>
      <c r="G7875" s="301" t="s">
        <v>232</v>
      </c>
      <c r="H7875" s="307" t="s">
        <v>175</v>
      </c>
      <c r="I7875" s="429" t="s">
        <v>171</v>
      </c>
      <c r="J7875" s="432">
        <v>4.0000000000000001E-3</v>
      </c>
      <c r="K7875" s="309">
        <f>VLOOKUP(G7875,Upah,8,FALSE)</f>
        <v>165000</v>
      </c>
      <c r="L7875" s="310">
        <f>J7875*K7875</f>
        <v>660</v>
      </c>
    </row>
    <row r="7876" spans="6:12" ht="15" customHeight="1" thickBot="1">
      <c r="F7876" s="306"/>
      <c r="G7876" s="301" t="s">
        <v>176</v>
      </c>
      <c r="H7876" s="307" t="s">
        <v>177</v>
      </c>
      <c r="I7876" s="429" t="s">
        <v>171</v>
      </c>
      <c r="J7876" s="432">
        <v>4.0000000000000001E-3</v>
      </c>
      <c r="K7876" s="309">
        <f>VLOOKUP(G7876,Upah,8,FALSE)</f>
        <v>170000</v>
      </c>
      <c r="L7876" s="310">
        <f>J7876*K7876</f>
        <v>680</v>
      </c>
    </row>
    <row r="7877" spans="6:12" ht="15" customHeight="1" thickBot="1">
      <c r="F7877" s="316"/>
      <c r="G7877" s="317"/>
      <c r="H7877" s="318"/>
      <c r="I7877" s="318"/>
      <c r="J7877" s="319" t="s">
        <v>178</v>
      </c>
      <c r="K7877" s="320"/>
      <c r="L7877" s="321">
        <f>SUM(L7873:L7876)</f>
        <v>17340</v>
      </c>
    </row>
    <row r="7878" spans="6:12" ht="15" customHeight="1">
      <c r="F7878" s="300" t="s">
        <v>179</v>
      </c>
      <c r="G7878" s="301" t="s">
        <v>180</v>
      </c>
      <c r="H7878" s="302"/>
      <c r="I7878" s="302"/>
      <c r="J7878" s="351"/>
      <c r="K7878" s="328"/>
      <c r="L7878" s="310"/>
    </row>
    <row r="7879" spans="6:12" ht="15" customHeight="1">
      <c r="F7879" s="306"/>
      <c r="G7879" s="301" t="s">
        <v>1424</v>
      </c>
      <c r="H7879" s="302"/>
      <c r="I7879" s="429" t="s">
        <v>221</v>
      </c>
      <c r="J7879" s="432">
        <v>1.6</v>
      </c>
      <c r="K7879" s="328">
        <f>VLOOKUP(G7879,Bahan,6,FALSE)</f>
        <v>57200</v>
      </c>
      <c r="L7879" s="310">
        <f>J7879*K7879</f>
        <v>91520</v>
      </c>
    </row>
    <row r="7880" spans="6:12" ht="15" customHeight="1">
      <c r="F7880" s="306"/>
      <c r="G7880" s="301" t="s">
        <v>183</v>
      </c>
      <c r="H7880" s="302"/>
      <c r="I7880" s="429" t="s">
        <v>45</v>
      </c>
      <c r="J7880" s="432">
        <v>35</v>
      </c>
      <c r="K7880" s="328">
        <f>VLOOKUP(G7880,Bahan,6,FALSE)</f>
        <v>1880</v>
      </c>
      <c r="L7880" s="310">
        <f>J7880*K7880</f>
        <v>65800</v>
      </c>
    </row>
    <row r="7881" spans="6:12" ht="15" customHeight="1">
      <c r="F7881" s="306"/>
      <c r="G7881" s="301" t="s">
        <v>219</v>
      </c>
      <c r="H7881" s="302"/>
      <c r="I7881" s="429" t="s">
        <v>292</v>
      </c>
      <c r="J7881" s="432">
        <v>1.4E-2</v>
      </c>
      <c r="K7881" s="328">
        <f>VLOOKUP(G7881,Bahan,6,FALSE)</f>
        <v>253510</v>
      </c>
      <c r="L7881" s="310">
        <f>J7881*K7881</f>
        <v>3549.14</v>
      </c>
    </row>
    <row r="7882" spans="6:12" ht="15" customHeight="1" thickBot="1">
      <c r="F7882" s="306"/>
      <c r="G7882" s="301" t="s">
        <v>291</v>
      </c>
      <c r="H7882" s="302"/>
      <c r="I7882" s="429" t="s">
        <v>292</v>
      </c>
      <c r="J7882" s="432">
        <v>1.4E-2</v>
      </c>
      <c r="K7882" s="328">
        <f>VLOOKUP(G7882,Bahan,6,FALSE)</f>
        <v>300990</v>
      </c>
      <c r="L7882" s="310">
        <f>J7882*K7882</f>
        <v>4213.8599999999997</v>
      </c>
    </row>
    <row r="7883" spans="6:12" ht="15" customHeight="1" thickBot="1">
      <c r="F7883" s="316"/>
      <c r="G7883" s="317"/>
      <c r="H7883" s="318"/>
      <c r="I7883" s="318"/>
      <c r="J7883" s="319" t="s">
        <v>189</v>
      </c>
      <c r="K7883" s="320"/>
      <c r="L7883" s="321">
        <f>SUM(L7879:L7882)</f>
        <v>165083</v>
      </c>
    </row>
    <row r="7884" spans="6:12" ht="15" customHeight="1" thickBot="1">
      <c r="F7884" s="300" t="s">
        <v>190</v>
      </c>
      <c r="G7884" s="301" t="s">
        <v>191</v>
      </c>
      <c r="H7884" s="302"/>
      <c r="I7884" s="302"/>
      <c r="J7884" s="351"/>
      <c r="K7884" s="328">
        <v>0</v>
      </c>
      <c r="L7884" s="310">
        <f>J7884*K7884</f>
        <v>0</v>
      </c>
    </row>
    <row r="7885" spans="6:12" ht="15" customHeight="1" thickBot="1">
      <c r="F7885" s="316"/>
      <c r="G7885" s="317"/>
      <c r="H7885" s="318"/>
      <c r="I7885" s="318"/>
      <c r="J7885" s="319" t="s">
        <v>192</v>
      </c>
      <c r="K7885" s="320"/>
      <c r="L7885" s="321">
        <f>L7884</f>
        <v>0</v>
      </c>
    </row>
    <row r="7886" spans="6:12" ht="15" customHeight="1">
      <c r="F7886" s="344" t="s">
        <v>193</v>
      </c>
      <c r="G7886" s="345" t="s">
        <v>194</v>
      </c>
      <c r="H7886" s="346"/>
      <c r="I7886" s="346"/>
      <c r="J7886" s="347"/>
      <c r="K7886" s="348">
        <v>0</v>
      </c>
      <c r="L7886" s="310">
        <f>SUM(L7873:L7885)/2</f>
        <v>182423</v>
      </c>
    </row>
    <row r="7887" spans="6:12" ht="15" customHeight="1" thickBot="1">
      <c r="F7887" s="331" t="s">
        <v>195</v>
      </c>
      <c r="G7887" s="332" t="s">
        <v>196</v>
      </c>
      <c r="H7887" s="333"/>
      <c r="I7887" s="333"/>
      <c r="J7887" s="350">
        <v>0.1</v>
      </c>
      <c r="K7887" s="335"/>
      <c r="L7887" s="330">
        <f>J7887*L7886</f>
        <v>18242.3</v>
      </c>
    </row>
    <row r="7888" spans="6:12" ht="15" customHeight="1" thickBot="1">
      <c r="F7888" s="340" t="s">
        <v>197</v>
      </c>
      <c r="G7888" s="341" t="s">
        <v>198</v>
      </c>
      <c r="H7888" s="318"/>
      <c r="I7888" s="318"/>
      <c r="J7888" s="342"/>
      <c r="K7888" s="320">
        <v>0</v>
      </c>
      <c r="L7888" s="321">
        <f>ROUNDDOWN(L7886+L7887,0)</f>
        <v>200665</v>
      </c>
    </row>
    <row r="7889" spans="5:13" ht="15" customHeight="1">
      <c r="F7889" s="298"/>
      <c r="G7889" s="298"/>
      <c r="J7889" s="343"/>
    </row>
    <row r="7890" spans="5:13" ht="15" customHeight="1" thickBot="1">
      <c r="E7890" s="356" t="s">
        <v>1425</v>
      </c>
      <c r="F7890" s="295" t="s">
        <v>1426</v>
      </c>
      <c r="J7890" s="343"/>
      <c r="M7890" s="299">
        <f>L7908</f>
        <v>123650</v>
      </c>
    </row>
    <row r="7891" spans="5:13" ht="15" customHeight="1" thickBot="1">
      <c r="F7891" s="340" t="s">
        <v>136</v>
      </c>
      <c r="G7891" s="341" t="s">
        <v>162</v>
      </c>
      <c r="H7891" s="352" t="s">
        <v>163</v>
      </c>
      <c r="I7891" s="352" t="s">
        <v>138</v>
      </c>
      <c r="J7891" s="353" t="s">
        <v>164</v>
      </c>
      <c r="K7891" s="341" t="s">
        <v>165</v>
      </c>
      <c r="L7891" s="354" t="s">
        <v>166</v>
      </c>
    </row>
    <row r="7892" spans="5:13" ht="15" customHeight="1">
      <c r="F7892" s="344" t="s">
        <v>167</v>
      </c>
      <c r="G7892" s="345" t="s">
        <v>168</v>
      </c>
      <c r="H7892" s="346"/>
      <c r="I7892" s="346"/>
      <c r="J7892" s="347"/>
      <c r="K7892" s="348"/>
      <c r="L7892" s="349"/>
    </row>
    <row r="7893" spans="5:13" ht="15" customHeight="1">
      <c r="F7893" s="306"/>
      <c r="G7893" s="301" t="s">
        <v>169</v>
      </c>
      <c r="H7893" s="307" t="s">
        <v>170</v>
      </c>
      <c r="I7893" s="429" t="s">
        <v>171</v>
      </c>
      <c r="J7893" s="432">
        <v>0.06</v>
      </c>
      <c r="K7893" s="309">
        <f>VLOOKUP(G7893,Upah,8,FALSE)</f>
        <v>125000</v>
      </c>
      <c r="L7893" s="310">
        <f>J7893*K7893</f>
        <v>7500</v>
      </c>
    </row>
    <row r="7894" spans="5:13" ht="15" customHeight="1">
      <c r="F7894" s="306"/>
      <c r="G7894" s="301" t="s">
        <v>216</v>
      </c>
      <c r="H7894" s="307" t="s">
        <v>217</v>
      </c>
      <c r="I7894" s="429" t="s">
        <v>171</v>
      </c>
      <c r="J7894" s="432">
        <v>0.03</v>
      </c>
      <c r="K7894" s="309">
        <f>VLOOKUP(G7894,Upah,8,FALSE)</f>
        <v>150000</v>
      </c>
      <c r="L7894" s="310">
        <f>J7894*K7894</f>
        <v>4500</v>
      </c>
    </row>
    <row r="7895" spans="5:13" ht="15" customHeight="1">
      <c r="F7895" s="306"/>
      <c r="G7895" s="301" t="s">
        <v>232</v>
      </c>
      <c r="H7895" s="307" t="s">
        <v>175</v>
      </c>
      <c r="I7895" s="429" t="s">
        <v>171</v>
      </c>
      <c r="J7895" s="432">
        <v>3.0000000000000001E-3</v>
      </c>
      <c r="K7895" s="309">
        <f>VLOOKUP(G7895,Upah,8,FALSE)</f>
        <v>165000</v>
      </c>
      <c r="L7895" s="310">
        <f>J7895*K7895</f>
        <v>495</v>
      </c>
    </row>
    <row r="7896" spans="5:13" ht="15" customHeight="1" thickBot="1">
      <c r="F7896" s="306"/>
      <c r="G7896" s="301" t="s">
        <v>176</v>
      </c>
      <c r="H7896" s="307" t="s">
        <v>177</v>
      </c>
      <c r="I7896" s="429" t="s">
        <v>171</v>
      </c>
      <c r="J7896" s="432">
        <v>3.0000000000000001E-3</v>
      </c>
      <c r="K7896" s="309">
        <f>VLOOKUP(G7896,Upah,8,FALSE)</f>
        <v>170000</v>
      </c>
      <c r="L7896" s="310">
        <f>J7896*K7896</f>
        <v>510</v>
      </c>
    </row>
    <row r="7897" spans="5:13" ht="15" customHeight="1" thickBot="1">
      <c r="F7897" s="316"/>
      <c r="G7897" s="317"/>
      <c r="H7897" s="318"/>
      <c r="I7897" s="318"/>
      <c r="J7897" s="319" t="s">
        <v>178</v>
      </c>
      <c r="K7897" s="320"/>
      <c r="L7897" s="321">
        <f>SUM(L7893:L7896)</f>
        <v>13005</v>
      </c>
    </row>
    <row r="7898" spans="5:13" ht="15" customHeight="1">
      <c r="F7898" s="300" t="s">
        <v>179</v>
      </c>
      <c r="G7898" s="301" t="s">
        <v>180</v>
      </c>
      <c r="H7898" s="302"/>
      <c r="I7898" s="302"/>
      <c r="J7898" s="351"/>
      <c r="K7898" s="328"/>
      <c r="L7898" s="310"/>
    </row>
    <row r="7899" spans="5:13" ht="15" customHeight="1">
      <c r="F7899" s="306"/>
      <c r="G7899" s="301" t="s">
        <v>1424</v>
      </c>
      <c r="H7899" s="302"/>
      <c r="I7899" s="429" t="s">
        <v>221</v>
      </c>
      <c r="J7899" s="432">
        <v>1.6</v>
      </c>
      <c r="K7899" s="328">
        <f>VLOOKUP(G7899,Bahan,6,FALSE)</f>
        <v>57200</v>
      </c>
      <c r="L7899" s="310">
        <f>J7899*K7899</f>
        <v>91520</v>
      </c>
    </row>
    <row r="7900" spans="5:13" ht="15" customHeight="1">
      <c r="F7900" s="306"/>
      <c r="G7900" s="301" t="s">
        <v>183</v>
      </c>
      <c r="H7900" s="302"/>
      <c r="I7900" s="429" t="s">
        <v>45</v>
      </c>
      <c r="J7900" s="432">
        <v>0.68</v>
      </c>
      <c r="K7900" s="328">
        <f>VLOOKUP(G7900,Bahan,6,FALSE)</f>
        <v>1880</v>
      </c>
      <c r="L7900" s="310">
        <f>J7900*K7900</f>
        <v>1278.4000000000001</v>
      </c>
    </row>
    <row r="7901" spans="5:13" ht="15" customHeight="1">
      <c r="F7901" s="306"/>
      <c r="G7901" s="301" t="s">
        <v>219</v>
      </c>
      <c r="H7901" s="302"/>
      <c r="I7901" s="429" t="s">
        <v>292</v>
      </c>
      <c r="J7901" s="432">
        <v>1.2999999999999999E-2</v>
      </c>
      <c r="K7901" s="328">
        <f>VLOOKUP(G7901,Bahan,6,FALSE)</f>
        <v>253510</v>
      </c>
      <c r="L7901" s="310">
        <f>J7901*K7901</f>
        <v>3295.6299999999997</v>
      </c>
    </row>
    <row r="7902" spans="5:13" ht="15" customHeight="1" thickBot="1">
      <c r="F7902" s="306"/>
      <c r="G7902" s="301" t="s">
        <v>291</v>
      </c>
      <c r="H7902" s="302"/>
      <c r="I7902" s="429" t="s">
        <v>292</v>
      </c>
      <c r="J7902" s="432">
        <v>1.0999999999999999E-2</v>
      </c>
      <c r="K7902" s="328">
        <f>VLOOKUP(G7902,Bahan,6,FALSE)</f>
        <v>300990</v>
      </c>
      <c r="L7902" s="310">
        <f>J7902*K7902</f>
        <v>3310.89</v>
      </c>
    </row>
    <row r="7903" spans="5:13" ht="15" customHeight="1" thickBot="1">
      <c r="F7903" s="316"/>
      <c r="G7903" s="317"/>
      <c r="H7903" s="318"/>
      <c r="I7903" s="318"/>
      <c r="J7903" s="319" t="s">
        <v>189</v>
      </c>
      <c r="K7903" s="320"/>
      <c r="L7903" s="321">
        <f>SUM(L7899:L7902)</f>
        <v>99404.92</v>
      </c>
    </row>
    <row r="7904" spans="5:13" ht="15" customHeight="1" thickBot="1">
      <c r="F7904" s="300" t="s">
        <v>190</v>
      </c>
      <c r="G7904" s="301" t="s">
        <v>191</v>
      </c>
      <c r="H7904" s="302"/>
      <c r="I7904" s="302"/>
      <c r="J7904" s="351"/>
      <c r="K7904" s="328">
        <v>0</v>
      </c>
      <c r="L7904" s="310">
        <f>J7904*K7904</f>
        <v>0</v>
      </c>
    </row>
    <row r="7905" spans="5:13" ht="15" customHeight="1" thickBot="1">
      <c r="F7905" s="316"/>
      <c r="G7905" s="317"/>
      <c r="H7905" s="318"/>
      <c r="I7905" s="318"/>
      <c r="J7905" s="319" t="s">
        <v>192</v>
      </c>
      <c r="K7905" s="320"/>
      <c r="L7905" s="321">
        <f>L7904</f>
        <v>0</v>
      </c>
    </row>
    <row r="7906" spans="5:13" ht="15" customHeight="1">
      <c r="F7906" s="344" t="s">
        <v>193</v>
      </c>
      <c r="G7906" s="345" t="s">
        <v>194</v>
      </c>
      <c r="H7906" s="346"/>
      <c r="I7906" s="346"/>
      <c r="J7906" s="347"/>
      <c r="K7906" s="348">
        <v>0</v>
      </c>
      <c r="L7906" s="310">
        <f>SUM(L7893:L7905)/2</f>
        <v>112409.92</v>
      </c>
    </row>
    <row r="7907" spans="5:13" ht="15" customHeight="1" thickBot="1">
      <c r="F7907" s="331" t="s">
        <v>195</v>
      </c>
      <c r="G7907" s="332" t="s">
        <v>196</v>
      </c>
      <c r="H7907" s="333"/>
      <c r="I7907" s="333"/>
      <c r="J7907" s="350">
        <v>0.1</v>
      </c>
      <c r="K7907" s="335"/>
      <c r="L7907" s="330">
        <f>J7907*L7906</f>
        <v>11240.992</v>
      </c>
    </row>
    <row r="7908" spans="5:13" ht="15" customHeight="1" thickBot="1">
      <c r="F7908" s="340" t="s">
        <v>197</v>
      </c>
      <c r="G7908" s="341" t="s">
        <v>198</v>
      </c>
      <c r="H7908" s="318"/>
      <c r="I7908" s="318"/>
      <c r="J7908" s="342"/>
      <c r="K7908" s="320">
        <v>0</v>
      </c>
      <c r="L7908" s="321">
        <f>ROUNDDOWN(L7906+L7907,0)</f>
        <v>123650</v>
      </c>
    </row>
    <row r="7909" spans="5:13" ht="15" customHeight="1">
      <c r="F7909" s="298"/>
      <c r="G7909" s="298"/>
      <c r="J7909" s="343"/>
    </row>
    <row r="7910" spans="5:13" ht="15" customHeight="1" thickBot="1">
      <c r="E7910" s="356" t="s">
        <v>1427</v>
      </c>
      <c r="F7910" s="295" t="s">
        <v>1428</v>
      </c>
      <c r="J7910" s="343"/>
      <c r="M7910" s="299">
        <f>L7929</f>
        <v>143608</v>
      </c>
    </row>
    <row r="7911" spans="5:13" ht="15" customHeight="1" thickBot="1">
      <c r="F7911" s="340" t="s">
        <v>136</v>
      </c>
      <c r="G7911" s="341" t="s">
        <v>162</v>
      </c>
      <c r="H7911" s="352" t="s">
        <v>163</v>
      </c>
      <c r="I7911" s="352" t="s">
        <v>138</v>
      </c>
      <c r="J7911" s="353" t="s">
        <v>164</v>
      </c>
      <c r="K7911" s="341" t="s">
        <v>165</v>
      </c>
      <c r="L7911" s="354" t="s">
        <v>166</v>
      </c>
    </row>
    <row r="7912" spans="5:13" ht="15" customHeight="1">
      <c r="F7912" s="344" t="s">
        <v>167</v>
      </c>
      <c r="G7912" s="345" t="s">
        <v>168</v>
      </c>
      <c r="H7912" s="346"/>
      <c r="I7912" s="346"/>
      <c r="J7912" s="347"/>
      <c r="K7912" s="348"/>
      <c r="L7912" s="349"/>
    </row>
    <row r="7913" spans="5:13" ht="15" customHeight="1">
      <c r="F7913" s="306"/>
      <c r="G7913" s="301" t="s">
        <v>169</v>
      </c>
      <c r="H7913" s="307" t="s">
        <v>170</v>
      </c>
      <c r="I7913" s="429" t="s">
        <v>171</v>
      </c>
      <c r="J7913" s="432">
        <v>0.14000000000000001</v>
      </c>
      <c r="K7913" s="309">
        <f>VLOOKUP(G7913,Upah,8,FALSE)</f>
        <v>125000</v>
      </c>
      <c r="L7913" s="310">
        <f>J7913*K7913</f>
        <v>17500</v>
      </c>
    </row>
    <row r="7914" spans="5:13" ht="15" customHeight="1">
      <c r="F7914" s="306"/>
      <c r="G7914" s="301" t="s">
        <v>216</v>
      </c>
      <c r="H7914" s="307" t="s">
        <v>217</v>
      </c>
      <c r="I7914" s="429" t="s">
        <v>171</v>
      </c>
      <c r="J7914" s="432">
        <v>7.0000000000000007E-2</v>
      </c>
      <c r="K7914" s="309">
        <f>VLOOKUP(G7914,Upah,8,FALSE)</f>
        <v>150000</v>
      </c>
      <c r="L7914" s="310">
        <f>J7914*K7914</f>
        <v>10500.000000000002</v>
      </c>
    </row>
    <row r="7915" spans="5:13" ht="15" customHeight="1">
      <c r="F7915" s="306"/>
      <c r="G7915" s="301" t="s">
        <v>232</v>
      </c>
      <c r="H7915" s="307" t="s">
        <v>175</v>
      </c>
      <c r="I7915" s="429" t="s">
        <v>171</v>
      </c>
      <c r="J7915" s="432">
        <v>7.0000000000000001E-3</v>
      </c>
      <c r="K7915" s="309">
        <f>VLOOKUP(G7915,Upah,8,FALSE)</f>
        <v>165000</v>
      </c>
      <c r="L7915" s="310">
        <f>J7915*K7915</f>
        <v>1155</v>
      </c>
    </row>
    <row r="7916" spans="5:13" ht="15" customHeight="1" thickBot="1">
      <c r="F7916" s="306"/>
      <c r="G7916" s="301" t="s">
        <v>176</v>
      </c>
      <c r="H7916" s="307" t="s">
        <v>177</v>
      </c>
      <c r="I7916" s="429" t="s">
        <v>171</v>
      </c>
      <c r="J7916" s="432">
        <v>7.0000000000000001E-3</v>
      </c>
      <c r="K7916" s="309">
        <f>VLOOKUP(G7916,Upah,8,FALSE)</f>
        <v>170000</v>
      </c>
      <c r="L7916" s="310">
        <f>J7916*K7916</f>
        <v>1190</v>
      </c>
    </row>
    <row r="7917" spans="5:13" ht="15" customHeight="1" thickBot="1">
      <c r="F7917" s="316"/>
      <c r="G7917" s="317"/>
      <c r="H7917" s="318"/>
      <c r="I7917" s="318"/>
      <c r="J7917" s="319" t="s">
        <v>178</v>
      </c>
      <c r="K7917" s="320"/>
      <c r="L7917" s="321">
        <f>SUM(L7913:L7916)</f>
        <v>30345</v>
      </c>
    </row>
    <row r="7918" spans="5:13" ht="15" customHeight="1">
      <c r="F7918" s="300" t="s">
        <v>179</v>
      </c>
      <c r="G7918" s="301" t="s">
        <v>180</v>
      </c>
      <c r="H7918" s="302"/>
      <c r="I7918" s="302"/>
      <c r="J7918" s="351"/>
      <c r="K7918" s="328"/>
      <c r="L7918" s="310"/>
    </row>
    <row r="7919" spans="5:13" ht="15" customHeight="1">
      <c r="F7919" s="306"/>
      <c r="G7919" s="301" t="s">
        <v>1429</v>
      </c>
      <c r="H7919" s="302"/>
      <c r="I7919" s="429" t="s">
        <v>221</v>
      </c>
      <c r="J7919" s="432">
        <v>1.1000000000000001</v>
      </c>
      <c r="K7919" s="328">
        <f>VLOOKUP(G7919,Bahan,6,FALSE)</f>
        <v>64900</v>
      </c>
      <c r="L7919" s="310">
        <f>J7919*K7919</f>
        <v>71390</v>
      </c>
    </row>
    <row r="7920" spans="5:13" ht="15" customHeight="1">
      <c r="F7920" s="306"/>
      <c r="G7920" s="301" t="s">
        <v>220</v>
      </c>
      <c r="H7920" s="302"/>
      <c r="I7920" s="429" t="s">
        <v>292</v>
      </c>
      <c r="J7920" s="432">
        <v>2.7E-2</v>
      </c>
      <c r="K7920" s="328">
        <f>VLOOKUP(G7920,Bahan,6,FALSE)</f>
        <v>1040</v>
      </c>
      <c r="L7920" s="310">
        <f>J7920*K7920</f>
        <v>28.08</v>
      </c>
    </row>
    <row r="7921" spans="5:13" ht="15" customHeight="1">
      <c r="F7921" s="306"/>
      <c r="G7921" s="301" t="s">
        <v>183</v>
      </c>
      <c r="H7921" s="302"/>
      <c r="I7921" s="429" t="s">
        <v>45</v>
      </c>
      <c r="J7921" s="432">
        <v>3.92</v>
      </c>
      <c r="K7921" s="328">
        <f>VLOOKUP(G7921,Bahan,6,FALSE)</f>
        <v>1880</v>
      </c>
      <c r="L7921" s="310">
        <f>J7921*K7921</f>
        <v>7369.5999999999995</v>
      </c>
    </row>
    <row r="7922" spans="5:13" ht="15" customHeight="1">
      <c r="F7922" s="306"/>
      <c r="G7922" s="301" t="s">
        <v>219</v>
      </c>
      <c r="H7922" s="302"/>
      <c r="I7922" s="429" t="s">
        <v>292</v>
      </c>
      <c r="J7922" s="432">
        <v>5.6000000000000001E-2</v>
      </c>
      <c r="K7922" s="328">
        <f>VLOOKUP(G7922,Bahan,6,FALSE)</f>
        <v>253510</v>
      </c>
      <c r="L7922" s="310">
        <f>J7922*K7922</f>
        <v>14196.56</v>
      </c>
    </row>
    <row r="7923" spans="5:13" ht="15" customHeight="1" thickBot="1">
      <c r="F7923" s="306"/>
      <c r="G7923" s="301" t="s">
        <v>291</v>
      </c>
      <c r="H7923" s="302"/>
      <c r="I7923" s="429" t="s">
        <v>292</v>
      </c>
      <c r="J7923" s="432">
        <v>2.4E-2</v>
      </c>
      <c r="K7923" s="328">
        <f>VLOOKUP(G7923,Bahan,6,FALSE)</f>
        <v>300990</v>
      </c>
      <c r="L7923" s="310">
        <f>J7923*K7923</f>
        <v>7223.76</v>
      </c>
    </row>
    <row r="7924" spans="5:13" ht="15" customHeight="1" thickBot="1">
      <c r="F7924" s="316"/>
      <c r="G7924" s="317"/>
      <c r="H7924" s="318"/>
      <c r="I7924" s="318"/>
      <c r="J7924" s="319" t="s">
        <v>189</v>
      </c>
      <c r="K7924" s="320"/>
      <c r="L7924" s="321">
        <f>SUM(L7919:L7923)</f>
        <v>100208</v>
      </c>
    </row>
    <row r="7925" spans="5:13" ht="15" customHeight="1" thickBot="1">
      <c r="F7925" s="300" t="s">
        <v>190</v>
      </c>
      <c r="G7925" s="301" t="s">
        <v>191</v>
      </c>
      <c r="H7925" s="302"/>
      <c r="I7925" s="302"/>
      <c r="J7925" s="351"/>
      <c r="K7925" s="328">
        <v>0</v>
      </c>
      <c r="L7925" s="310">
        <f>J7925*K7925</f>
        <v>0</v>
      </c>
    </row>
    <row r="7926" spans="5:13" ht="15" customHeight="1" thickBot="1">
      <c r="F7926" s="316"/>
      <c r="G7926" s="317"/>
      <c r="H7926" s="318"/>
      <c r="I7926" s="318"/>
      <c r="J7926" s="319" t="s">
        <v>192</v>
      </c>
      <c r="K7926" s="320"/>
      <c r="L7926" s="321">
        <f>L7925</f>
        <v>0</v>
      </c>
    </row>
    <row r="7927" spans="5:13" ht="15" customHeight="1">
      <c r="F7927" s="344" t="s">
        <v>193</v>
      </c>
      <c r="G7927" s="345" t="s">
        <v>194</v>
      </c>
      <c r="H7927" s="346"/>
      <c r="I7927" s="346"/>
      <c r="J7927" s="347"/>
      <c r="K7927" s="348">
        <v>0</v>
      </c>
      <c r="L7927" s="310">
        <f>SUM(L7913:L7926)/2</f>
        <v>130553</v>
      </c>
    </row>
    <row r="7928" spans="5:13" ht="15" customHeight="1" thickBot="1">
      <c r="F7928" s="331" t="s">
        <v>195</v>
      </c>
      <c r="G7928" s="332" t="s">
        <v>196</v>
      </c>
      <c r="H7928" s="333"/>
      <c r="I7928" s="333"/>
      <c r="J7928" s="350">
        <v>0.1</v>
      </c>
      <c r="K7928" s="335"/>
      <c r="L7928" s="330">
        <f>J7928*L7927</f>
        <v>13055.300000000001</v>
      </c>
    </row>
    <row r="7929" spans="5:13" ht="15" customHeight="1" thickBot="1">
      <c r="F7929" s="340" t="s">
        <v>197</v>
      </c>
      <c r="G7929" s="341" t="s">
        <v>198</v>
      </c>
      <c r="H7929" s="318"/>
      <c r="I7929" s="318"/>
      <c r="J7929" s="342"/>
      <c r="K7929" s="320">
        <v>0</v>
      </c>
      <c r="L7929" s="321">
        <f>ROUNDDOWN(L7927+L7928,0)</f>
        <v>143608</v>
      </c>
    </row>
    <row r="7930" spans="5:13" ht="15" customHeight="1">
      <c r="F7930" s="298"/>
      <c r="G7930" s="298"/>
      <c r="J7930" s="343"/>
    </row>
    <row r="7931" spans="5:13" ht="15" customHeight="1" thickBot="1">
      <c r="E7931" s="356" t="s">
        <v>1430</v>
      </c>
      <c r="F7931" s="295" t="s">
        <v>1431</v>
      </c>
      <c r="J7931" s="343"/>
      <c r="M7931" s="299">
        <f>L7950</f>
        <v>230915</v>
      </c>
    </row>
    <row r="7932" spans="5:13" ht="15" customHeight="1" thickBot="1">
      <c r="F7932" s="340" t="s">
        <v>136</v>
      </c>
      <c r="G7932" s="341" t="s">
        <v>162</v>
      </c>
      <c r="H7932" s="352" t="s">
        <v>163</v>
      </c>
      <c r="I7932" s="352" t="s">
        <v>138</v>
      </c>
      <c r="J7932" s="353" t="s">
        <v>164</v>
      </c>
      <c r="K7932" s="341" t="s">
        <v>165</v>
      </c>
      <c r="L7932" s="354" t="s">
        <v>166</v>
      </c>
    </row>
    <row r="7933" spans="5:13" ht="15" customHeight="1">
      <c r="F7933" s="344" t="s">
        <v>167</v>
      </c>
      <c r="G7933" s="345" t="s">
        <v>168</v>
      </c>
      <c r="H7933" s="346"/>
      <c r="I7933" s="346"/>
      <c r="J7933" s="347"/>
      <c r="K7933" s="348"/>
      <c r="L7933" s="349"/>
    </row>
    <row r="7934" spans="5:13" ht="15" customHeight="1">
      <c r="F7934" s="306"/>
      <c r="G7934" s="301" t="s">
        <v>169</v>
      </c>
      <c r="H7934" s="307" t="s">
        <v>170</v>
      </c>
      <c r="I7934" s="429" t="s">
        <v>171</v>
      </c>
      <c r="J7934" s="432">
        <v>0.38</v>
      </c>
      <c r="K7934" s="309">
        <f>VLOOKUP(G7934,Upah,8,FALSE)</f>
        <v>125000</v>
      </c>
      <c r="L7934" s="310">
        <f>J7934*K7934</f>
        <v>47500</v>
      </c>
    </row>
    <row r="7935" spans="5:13" ht="15" customHeight="1">
      <c r="F7935" s="306"/>
      <c r="G7935" s="301" t="s">
        <v>216</v>
      </c>
      <c r="H7935" s="307" t="s">
        <v>217</v>
      </c>
      <c r="I7935" s="429" t="s">
        <v>171</v>
      </c>
      <c r="J7935" s="432">
        <v>0.19</v>
      </c>
      <c r="K7935" s="309">
        <f>VLOOKUP(G7935,Upah,8,FALSE)</f>
        <v>150000</v>
      </c>
      <c r="L7935" s="310">
        <f>J7935*K7935</f>
        <v>28500</v>
      </c>
    </row>
    <row r="7936" spans="5:13" ht="15" customHeight="1">
      <c r="F7936" s="306"/>
      <c r="G7936" s="301" t="s">
        <v>232</v>
      </c>
      <c r="H7936" s="307" t="s">
        <v>175</v>
      </c>
      <c r="I7936" s="429" t="s">
        <v>171</v>
      </c>
      <c r="J7936" s="432">
        <v>1.9E-2</v>
      </c>
      <c r="K7936" s="309">
        <f>VLOOKUP(G7936,Upah,8,FALSE)</f>
        <v>165000</v>
      </c>
      <c r="L7936" s="310">
        <f>J7936*K7936</f>
        <v>3135</v>
      </c>
    </row>
    <row r="7937" spans="4:12" ht="15" customHeight="1" thickBot="1">
      <c r="F7937" s="306"/>
      <c r="G7937" s="301" t="s">
        <v>176</v>
      </c>
      <c r="H7937" s="307" t="s">
        <v>177</v>
      </c>
      <c r="I7937" s="429" t="s">
        <v>171</v>
      </c>
      <c r="J7937" s="432">
        <v>1.9E-2</v>
      </c>
      <c r="K7937" s="309">
        <f>VLOOKUP(G7937,Upah,8,FALSE)</f>
        <v>170000</v>
      </c>
      <c r="L7937" s="310">
        <f>J7937*K7937</f>
        <v>3230</v>
      </c>
    </row>
    <row r="7938" spans="4:12" ht="15" customHeight="1" thickBot="1">
      <c r="F7938" s="316"/>
      <c r="G7938" s="317"/>
      <c r="H7938" s="318"/>
      <c r="I7938" s="318"/>
      <c r="J7938" s="319" t="s">
        <v>178</v>
      </c>
      <c r="K7938" s="320"/>
      <c r="L7938" s="321">
        <f>SUM(L7934:L7937)</f>
        <v>82365</v>
      </c>
    </row>
    <row r="7939" spans="4:12" ht="15" customHeight="1">
      <c r="F7939" s="300" t="s">
        <v>179</v>
      </c>
      <c r="G7939" s="301" t="s">
        <v>180</v>
      </c>
      <c r="H7939" s="302"/>
      <c r="I7939" s="302"/>
      <c r="J7939" s="351"/>
      <c r="K7939" s="328"/>
      <c r="L7939" s="310"/>
    </row>
    <row r="7940" spans="4:12" ht="15" customHeight="1">
      <c r="F7940" s="306"/>
      <c r="G7940" s="301" t="s">
        <v>1429</v>
      </c>
      <c r="H7940" s="302"/>
      <c r="I7940" s="429" t="s">
        <v>221</v>
      </c>
      <c r="J7940" s="432">
        <v>1.1000000000000001</v>
      </c>
      <c r="K7940" s="328">
        <f>VLOOKUP(G7940,Bahan,6,FALSE)</f>
        <v>64900</v>
      </c>
      <c r="L7940" s="310">
        <f>J7940*K7940</f>
        <v>71390</v>
      </c>
    </row>
    <row r="7941" spans="4:12" ht="15" customHeight="1">
      <c r="F7941" s="306"/>
      <c r="G7941" s="301" t="s">
        <v>220</v>
      </c>
      <c r="H7941" s="302"/>
      <c r="I7941" s="429" t="s">
        <v>292</v>
      </c>
      <c r="J7941" s="432">
        <v>0.55000000000000004</v>
      </c>
      <c r="K7941" s="328">
        <f>VLOOKUP(G7941,Bahan,6,FALSE)</f>
        <v>1040</v>
      </c>
      <c r="L7941" s="310">
        <f>J7941*K7941</f>
        <v>572</v>
      </c>
    </row>
    <row r="7942" spans="4:12" ht="15" customHeight="1">
      <c r="F7942" s="306"/>
      <c r="G7942" s="301" t="s">
        <v>183</v>
      </c>
      <c r="H7942" s="302"/>
      <c r="I7942" s="429" t="s">
        <v>45</v>
      </c>
      <c r="J7942" s="432">
        <v>10.3</v>
      </c>
      <c r="K7942" s="328">
        <f>VLOOKUP(G7942,Bahan,6,FALSE)</f>
        <v>1880</v>
      </c>
      <c r="L7942" s="310">
        <f>J7942*K7942</f>
        <v>19364</v>
      </c>
    </row>
    <row r="7943" spans="4:12" ht="15" customHeight="1">
      <c r="F7943" s="306"/>
      <c r="G7943" s="301" t="s">
        <v>219</v>
      </c>
      <c r="H7943" s="302"/>
      <c r="I7943" s="429" t="s">
        <v>292</v>
      </c>
      <c r="J7943" s="432">
        <v>6.0999999999999999E-2</v>
      </c>
      <c r="K7943" s="328">
        <f>VLOOKUP(G7943,Bahan,6,FALSE)</f>
        <v>253510</v>
      </c>
      <c r="L7943" s="310">
        <f>J7943*K7943</f>
        <v>15464.109999999999</v>
      </c>
    </row>
    <row r="7944" spans="4:12" ht="15" customHeight="1" thickBot="1">
      <c r="F7944" s="306"/>
      <c r="G7944" s="301" t="s">
        <v>291</v>
      </c>
      <c r="H7944" s="302"/>
      <c r="I7944" s="429" t="s">
        <v>292</v>
      </c>
      <c r="J7944" s="432">
        <v>6.9000000000000006E-2</v>
      </c>
      <c r="K7944" s="328">
        <f>VLOOKUP(G7944,Bahan,6,FALSE)</f>
        <v>300990</v>
      </c>
      <c r="L7944" s="310">
        <f>J7944*K7944</f>
        <v>20768.310000000001</v>
      </c>
    </row>
    <row r="7945" spans="4:12" ht="15" customHeight="1" thickBot="1">
      <c r="F7945" s="316"/>
      <c r="G7945" s="317"/>
      <c r="H7945" s="318"/>
      <c r="I7945" s="318"/>
      <c r="J7945" s="319" t="s">
        <v>189</v>
      </c>
      <c r="K7945" s="320"/>
      <c r="L7945" s="321">
        <f>SUM(L7940:L7944)</f>
        <v>127558.42</v>
      </c>
    </row>
    <row r="7946" spans="4:12" ht="15" customHeight="1" thickBot="1">
      <c r="F7946" s="300" t="s">
        <v>190</v>
      </c>
      <c r="G7946" s="301" t="s">
        <v>191</v>
      </c>
      <c r="H7946" s="302"/>
      <c r="I7946" s="302"/>
      <c r="J7946" s="351"/>
      <c r="K7946" s="328">
        <v>0</v>
      </c>
      <c r="L7946" s="310">
        <f>J7946*K7946</f>
        <v>0</v>
      </c>
    </row>
    <row r="7947" spans="4:12" ht="15" customHeight="1" thickBot="1">
      <c r="F7947" s="316"/>
      <c r="G7947" s="317"/>
      <c r="H7947" s="318"/>
      <c r="I7947" s="318"/>
      <c r="J7947" s="319" t="s">
        <v>192</v>
      </c>
      <c r="K7947" s="320"/>
      <c r="L7947" s="321">
        <f>L7946</f>
        <v>0</v>
      </c>
    </row>
    <row r="7948" spans="4:12" ht="15" customHeight="1">
      <c r="F7948" s="344" t="s">
        <v>193</v>
      </c>
      <c r="G7948" s="345" t="s">
        <v>194</v>
      </c>
      <c r="H7948" s="346"/>
      <c r="I7948" s="346"/>
      <c r="J7948" s="347"/>
      <c r="K7948" s="348">
        <v>0</v>
      </c>
      <c r="L7948" s="310">
        <f>SUM(L7934:L7947)/2</f>
        <v>209923.41999999998</v>
      </c>
    </row>
    <row r="7949" spans="4:12" ht="15" customHeight="1" thickBot="1">
      <c r="F7949" s="331" t="s">
        <v>195</v>
      </c>
      <c r="G7949" s="332" t="s">
        <v>196</v>
      </c>
      <c r="H7949" s="333"/>
      <c r="I7949" s="333"/>
      <c r="J7949" s="350">
        <v>0.1</v>
      </c>
      <c r="K7949" s="335"/>
      <c r="L7949" s="330">
        <f>J7949*L7948</f>
        <v>20992.342000000001</v>
      </c>
    </row>
    <row r="7950" spans="4:12" ht="15" customHeight="1" thickBot="1">
      <c r="F7950" s="340" t="s">
        <v>197</v>
      </c>
      <c r="G7950" s="341" t="s">
        <v>198</v>
      </c>
      <c r="H7950" s="318"/>
      <c r="I7950" s="318"/>
      <c r="J7950" s="342"/>
      <c r="K7950" s="320">
        <v>0</v>
      </c>
      <c r="L7950" s="321">
        <f>ROUNDDOWN(L7948+L7949,0)</f>
        <v>230915</v>
      </c>
    </row>
    <row r="7951" spans="4:12" ht="15" customHeight="1">
      <c r="F7951" s="298"/>
      <c r="G7951" s="298"/>
      <c r="J7951" s="343"/>
    </row>
    <row r="7952" spans="4:12" ht="15" customHeight="1">
      <c r="D7952" s="563" t="s">
        <v>1566</v>
      </c>
      <c r="E7952" s="294" t="s">
        <v>1567</v>
      </c>
      <c r="F7952" s="298"/>
      <c r="G7952" s="298"/>
      <c r="J7952" s="343"/>
      <c r="K7952" s="355"/>
      <c r="L7952" s="299"/>
    </row>
    <row r="7953" spans="5:13" ht="15" customHeight="1" thickBot="1">
      <c r="E7953" s="356" t="s">
        <v>1568</v>
      </c>
      <c r="F7953" s="295" t="s">
        <v>1707</v>
      </c>
      <c r="J7953" s="343"/>
      <c r="M7953" s="564">
        <f>L7973</f>
        <v>931133</v>
      </c>
    </row>
    <row r="7954" spans="5:13" ht="15" customHeight="1" thickBot="1">
      <c r="F7954" s="340" t="s">
        <v>136</v>
      </c>
      <c r="G7954" s="341" t="s">
        <v>162</v>
      </c>
      <c r="H7954" s="352" t="s">
        <v>163</v>
      </c>
      <c r="I7954" s="352" t="s">
        <v>138</v>
      </c>
      <c r="J7954" s="353" t="s">
        <v>164</v>
      </c>
      <c r="K7954" s="341" t="s">
        <v>165</v>
      </c>
      <c r="L7954" s="354" t="s">
        <v>166</v>
      </c>
    </row>
    <row r="7955" spans="5:13" ht="15" customHeight="1">
      <c r="F7955" s="300" t="s">
        <v>167</v>
      </c>
      <c r="G7955" s="301" t="s">
        <v>168</v>
      </c>
      <c r="H7955" s="302"/>
      <c r="I7955" s="302"/>
      <c r="J7955" s="351"/>
      <c r="K7955" s="328"/>
      <c r="L7955" s="310"/>
    </row>
    <row r="7956" spans="5:13" ht="15" customHeight="1" thickBot="1">
      <c r="F7956" s="306"/>
      <c r="G7956" s="434" t="s">
        <v>1708</v>
      </c>
      <c r="H7956" s="307"/>
      <c r="I7956" s="307" t="s">
        <v>943</v>
      </c>
      <c r="J7956" s="435">
        <v>1</v>
      </c>
      <c r="K7956" s="328">
        <f>L7968</f>
        <v>423242.54</v>
      </c>
      <c r="L7956" s="310">
        <f>J7956*K7956</f>
        <v>423242.54</v>
      </c>
    </row>
    <row r="7957" spans="5:13" ht="15" customHeight="1" thickBot="1">
      <c r="F7957" s="316"/>
      <c r="G7957" s="317"/>
      <c r="H7957" s="318"/>
      <c r="I7957" s="318"/>
      <c r="J7957" s="319" t="s">
        <v>178</v>
      </c>
      <c r="K7957" s="320"/>
      <c r="L7957" s="321">
        <f>SUM(L7954:L7956)</f>
        <v>423242.54</v>
      </c>
    </row>
    <row r="7958" spans="5:13" ht="15" customHeight="1">
      <c r="F7958" s="300" t="s">
        <v>179</v>
      </c>
      <c r="G7958" s="301" t="s">
        <v>180</v>
      </c>
      <c r="H7958" s="302"/>
      <c r="I7958" s="302"/>
      <c r="J7958" s="351"/>
      <c r="K7958" s="328"/>
      <c r="L7958" s="310"/>
    </row>
    <row r="7959" spans="5:13" ht="15" customHeight="1">
      <c r="F7959" s="306"/>
      <c r="G7959" s="369" t="s">
        <v>1569</v>
      </c>
      <c r="H7959" s="436"/>
      <c r="I7959" s="307" t="s">
        <v>1570</v>
      </c>
      <c r="J7959" s="308">
        <v>0.28299999999999997</v>
      </c>
      <c r="K7959" s="328">
        <f t="shared" ref="K7959:K7967" si="79">VLOOKUP(G7959,Bahan,6,FALSE)</f>
        <v>15380</v>
      </c>
      <c r="L7959" s="310">
        <f t="shared" ref="L7959:L7967" si="80">J7959*K7959</f>
        <v>4352.54</v>
      </c>
    </row>
    <row r="7960" spans="5:13" ht="15" customHeight="1">
      <c r="F7960" s="306"/>
      <c r="G7960" s="301" t="s">
        <v>1571</v>
      </c>
      <c r="H7960" s="436"/>
      <c r="I7960" s="307" t="s">
        <v>33</v>
      </c>
      <c r="J7960" s="308">
        <v>24</v>
      </c>
      <c r="K7960" s="328">
        <f t="shared" si="79"/>
        <v>11600</v>
      </c>
      <c r="L7960" s="310">
        <f t="shared" si="80"/>
        <v>278400</v>
      </c>
    </row>
    <row r="7961" spans="5:13" ht="15" customHeight="1">
      <c r="F7961" s="306"/>
      <c r="G7961" s="301" t="s">
        <v>1572</v>
      </c>
      <c r="H7961" s="436"/>
      <c r="I7961" s="307" t="s">
        <v>36</v>
      </c>
      <c r="J7961" s="308">
        <v>3</v>
      </c>
      <c r="K7961" s="328">
        <f t="shared" si="79"/>
        <v>1770</v>
      </c>
      <c r="L7961" s="310">
        <f t="shared" si="80"/>
        <v>5310</v>
      </c>
    </row>
    <row r="7962" spans="5:13" ht="15" customHeight="1">
      <c r="F7962" s="306"/>
      <c r="G7962" s="369" t="s">
        <v>1573</v>
      </c>
      <c r="H7962" s="436"/>
      <c r="I7962" s="307" t="s">
        <v>36</v>
      </c>
      <c r="J7962" s="308">
        <v>4</v>
      </c>
      <c r="K7962" s="328">
        <f t="shared" si="79"/>
        <v>12300</v>
      </c>
      <c r="L7962" s="310">
        <f t="shared" si="80"/>
        <v>49200</v>
      </c>
    </row>
    <row r="7963" spans="5:13" ht="15" customHeight="1">
      <c r="F7963" s="306"/>
      <c r="G7963" s="369" t="s">
        <v>1574</v>
      </c>
      <c r="H7963" s="436"/>
      <c r="I7963" s="307" t="s">
        <v>36</v>
      </c>
      <c r="J7963" s="308">
        <v>3</v>
      </c>
      <c r="K7963" s="328">
        <f t="shared" si="79"/>
        <v>1190</v>
      </c>
      <c r="L7963" s="310">
        <f t="shared" si="80"/>
        <v>3570</v>
      </c>
    </row>
    <row r="7964" spans="5:13" ht="15" customHeight="1">
      <c r="F7964" s="306"/>
      <c r="G7964" s="301" t="s">
        <v>1575</v>
      </c>
      <c r="H7964" s="436"/>
      <c r="I7964" s="307" t="s">
        <v>36</v>
      </c>
      <c r="J7964" s="308">
        <v>24</v>
      </c>
      <c r="K7964" s="328">
        <f t="shared" si="79"/>
        <v>940</v>
      </c>
      <c r="L7964" s="310">
        <f t="shared" si="80"/>
        <v>22560</v>
      </c>
    </row>
    <row r="7965" spans="5:13" ht="15" customHeight="1">
      <c r="F7965" s="306"/>
      <c r="G7965" s="369" t="s">
        <v>1576</v>
      </c>
      <c r="H7965" s="436"/>
      <c r="I7965" s="307" t="s">
        <v>36</v>
      </c>
      <c r="J7965" s="308">
        <v>1</v>
      </c>
      <c r="K7965" s="328">
        <f t="shared" si="79"/>
        <v>1850</v>
      </c>
      <c r="L7965" s="310">
        <f t="shared" si="80"/>
        <v>1850</v>
      </c>
    </row>
    <row r="7966" spans="5:13" ht="15" customHeight="1">
      <c r="F7966" s="306"/>
      <c r="G7966" s="369" t="s">
        <v>1695</v>
      </c>
      <c r="H7966" s="436"/>
      <c r="I7966" s="307" t="s">
        <v>36</v>
      </c>
      <c r="J7966" s="308">
        <v>1</v>
      </c>
      <c r="K7966" s="328">
        <f t="shared" si="79"/>
        <v>27500</v>
      </c>
      <c r="L7966" s="310">
        <f t="shared" si="80"/>
        <v>27500</v>
      </c>
    </row>
    <row r="7967" spans="5:13" ht="15" customHeight="1" thickBot="1">
      <c r="F7967" s="306"/>
      <c r="G7967" s="301" t="s">
        <v>1577</v>
      </c>
      <c r="H7967" s="302"/>
      <c r="I7967" s="307" t="s">
        <v>36</v>
      </c>
      <c r="J7967" s="308">
        <v>1</v>
      </c>
      <c r="K7967" s="328">
        <f t="shared" si="79"/>
        <v>30500</v>
      </c>
      <c r="L7967" s="310">
        <f t="shared" si="80"/>
        <v>30500</v>
      </c>
    </row>
    <row r="7968" spans="5:13" ht="15" customHeight="1" thickBot="1">
      <c r="F7968" s="316"/>
      <c r="G7968" s="317"/>
      <c r="H7968" s="318"/>
      <c r="I7968" s="318"/>
      <c r="J7968" s="319" t="s">
        <v>189</v>
      </c>
      <c r="K7968" s="320"/>
      <c r="L7968" s="321">
        <f>SUM(L7959:L7967)</f>
        <v>423242.54</v>
      </c>
    </row>
    <row r="7969" spans="5:13" ht="15" customHeight="1" thickBot="1">
      <c r="F7969" s="300" t="s">
        <v>190</v>
      </c>
      <c r="G7969" s="301" t="s">
        <v>191</v>
      </c>
      <c r="H7969" s="302"/>
      <c r="I7969" s="302"/>
      <c r="J7969" s="351"/>
      <c r="K7969" s="328">
        <v>0</v>
      </c>
      <c r="L7969" s="310">
        <f>J7969*K7969</f>
        <v>0</v>
      </c>
    </row>
    <row r="7970" spans="5:13" ht="15" customHeight="1" thickBot="1">
      <c r="F7970" s="316"/>
      <c r="G7970" s="317"/>
      <c r="H7970" s="318"/>
      <c r="I7970" s="318"/>
      <c r="J7970" s="319" t="s">
        <v>192</v>
      </c>
      <c r="K7970" s="320"/>
      <c r="L7970" s="321">
        <f>L7969</f>
        <v>0</v>
      </c>
    </row>
    <row r="7971" spans="5:13" ht="15" customHeight="1">
      <c r="F7971" s="344" t="s">
        <v>193</v>
      </c>
      <c r="G7971" s="345" t="s">
        <v>194</v>
      </c>
      <c r="H7971" s="346"/>
      <c r="I7971" s="346"/>
      <c r="J7971" s="347"/>
      <c r="K7971" s="348">
        <v>0</v>
      </c>
      <c r="L7971" s="310">
        <f>SUM(L7955:L7970)/2</f>
        <v>846485.08000000007</v>
      </c>
    </row>
    <row r="7972" spans="5:13" ht="15" customHeight="1" thickBot="1">
      <c r="F7972" s="331" t="s">
        <v>195</v>
      </c>
      <c r="G7972" s="332" t="s">
        <v>196</v>
      </c>
      <c r="H7972" s="333"/>
      <c r="I7972" s="333"/>
      <c r="J7972" s="350">
        <v>0.1</v>
      </c>
      <c r="K7972" s="335"/>
      <c r="L7972" s="330">
        <f>J7972*L7971</f>
        <v>84648.508000000016</v>
      </c>
    </row>
    <row r="7973" spans="5:13" ht="15" customHeight="1" thickBot="1">
      <c r="F7973" s="340" t="s">
        <v>197</v>
      </c>
      <c r="G7973" s="341" t="s">
        <v>198</v>
      </c>
      <c r="H7973" s="318"/>
      <c r="I7973" s="318"/>
      <c r="J7973" s="342"/>
      <c r="K7973" s="320">
        <v>0</v>
      </c>
      <c r="L7973" s="321">
        <f>ROUNDDOWN(L7971+L7972,0)</f>
        <v>931133</v>
      </c>
    </row>
    <row r="7974" spans="5:13" ht="15" customHeight="1">
      <c r="F7974" s="298"/>
      <c r="G7974" s="298"/>
      <c r="J7974" s="343"/>
      <c r="K7974" s="355"/>
      <c r="L7974" s="299"/>
    </row>
    <row r="7975" spans="5:13" ht="15" customHeight="1" thickBot="1">
      <c r="E7975" s="356" t="s">
        <v>1578</v>
      </c>
      <c r="F7975" s="437" t="s">
        <v>1709</v>
      </c>
      <c r="G7975" s="438"/>
      <c r="H7975" s="439"/>
      <c r="I7975" s="439"/>
      <c r="J7975" s="440"/>
      <c r="K7975" s="441"/>
      <c r="M7975" s="299">
        <f>L7997</f>
        <v>306611</v>
      </c>
    </row>
    <row r="7976" spans="5:13" ht="15" customHeight="1" thickBot="1">
      <c r="F7976" s="340" t="s">
        <v>136</v>
      </c>
      <c r="G7976" s="341" t="s">
        <v>162</v>
      </c>
      <c r="H7976" s="352" t="s">
        <v>163</v>
      </c>
      <c r="I7976" s="352" t="s">
        <v>138</v>
      </c>
      <c r="J7976" s="353" t="s">
        <v>164</v>
      </c>
      <c r="K7976" s="341" t="s">
        <v>165</v>
      </c>
      <c r="L7976" s="354" t="s">
        <v>166</v>
      </c>
    </row>
    <row r="7977" spans="5:13" ht="15" customHeight="1">
      <c r="F7977" s="300" t="s">
        <v>167</v>
      </c>
      <c r="G7977" s="301" t="s">
        <v>168</v>
      </c>
      <c r="H7977" s="302"/>
      <c r="I7977" s="302"/>
      <c r="J7977" s="351"/>
      <c r="K7977" s="328"/>
      <c r="L7977" s="310"/>
    </row>
    <row r="7978" spans="5:13" ht="15" customHeight="1">
      <c r="F7978" s="306"/>
      <c r="G7978" s="434" t="s">
        <v>169</v>
      </c>
      <c r="H7978" s="307" t="s">
        <v>170</v>
      </c>
      <c r="I7978" s="307" t="s">
        <v>171</v>
      </c>
      <c r="J7978" s="435">
        <v>0.15</v>
      </c>
      <c r="K7978" s="309">
        <f>VLOOKUP(G7978,Upah,8,FALSE)</f>
        <v>125000</v>
      </c>
      <c r="L7978" s="310">
        <f>J7978*K7978</f>
        <v>18750</v>
      </c>
    </row>
    <row r="7979" spans="5:13" ht="15" customHeight="1">
      <c r="F7979" s="306"/>
      <c r="G7979" s="442" t="s">
        <v>258</v>
      </c>
      <c r="H7979" s="307" t="s">
        <v>217</v>
      </c>
      <c r="I7979" s="307" t="s">
        <v>171</v>
      </c>
      <c r="J7979" s="435">
        <v>0.15</v>
      </c>
      <c r="K7979" s="309">
        <f>VLOOKUP(G7979,Upah,8,FALSE)</f>
        <v>150000</v>
      </c>
      <c r="L7979" s="310">
        <f>J7979*K7979</f>
        <v>22500</v>
      </c>
    </row>
    <row r="7980" spans="5:13" ht="15" customHeight="1">
      <c r="F7980" s="306"/>
      <c r="G7980" s="434" t="s">
        <v>232</v>
      </c>
      <c r="H7980" s="307" t="s">
        <v>175</v>
      </c>
      <c r="I7980" s="307" t="s">
        <v>171</v>
      </c>
      <c r="J7980" s="435">
        <v>0.03</v>
      </c>
      <c r="K7980" s="309">
        <f>VLOOKUP(G7980,Upah,8,FALSE)</f>
        <v>165000</v>
      </c>
      <c r="L7980" s="310">
        <f>J7980*K7980</f>
        <v>4950</v>
      </c>
    </row>
    <row r="7981" spans="5:13" ht="15" customHeight="1" thickBot="1">
      <c r="F7981" s="306"/>
      <c r="G7981" s="442" t="s">
        <v>176</v>
      </c>
      <c r="H7981" s="307" t="s">
        <v>177</v>
      </c>
      <c r="I7981" s="307" t="s">
        <v>171</v>
      </c>
      <c r="J7981" s="435">
        <v>0.03</v>
      </c>
      <c r="K7981" s="309">
        <f>VLOOKUP(G7981,Upah,8,FALSE)</f>
        <v>170000</v>
      </c>
      <c r="L7981" s="310">
        <f>J7981*K7981</f>
        <v>5100</v>
      </c>
    </row>
    <row r="7982" spans="5:13" ht="15" customHeight="1" thickBot="1">
      <c r="F7982" s="316"/>
      <c r="G7982" s="317"/>
      <c r="H7982" s="318"/>
      <c r="I7982" s="318"/>
      <c r="J7982" s="319" t="s">
        <v>178</v>
      </c>
      <c r="K7982" s="320"/>
      <c r="L7982" s="321">
        <f>SUM(L7978:L7981)</f>
        <v>51300</v>
      </c>
    </row>
    <row r="7983" spans="5:13" ht="15" customHeight="1">
      <c r="F7983" s="300" t="s">
        <v>179</v>
      </c>
      <c r="G7983" s="301" t="s">
        <v>180</v>
      </c>
      <c r="H7983" s="302"/>
      <c r="I7983" s="302"/>
      <c r="J7983" s="351"/>
      <c r="K7983" s="328"/>
      <c r="L7983" s="310"/>
    </row>
    <row r="7984" spans="5:13" ht="15" customHeight="1">
      <c r="F7984" s="300"/>
      <c r="G7984" s="301" t="s">
        <v>1571</v>
      </c>
      <c r="H7984" s="302"/>
      <c r="I7984" s="307" t="s">
        <v>93</v>
      </c>
      <c r="J7984" s="443">
        <v>11</v>
      </c>
      <c r="K7984" s="328">
        <f t="shared" ref="K7984:K7991" si="81">VLOOKUP(G7984,Bahan,6,FALSE)</f>
        <v>11600</v>
      </c>
      <c r="L7984" s="310">
        <f t="shared" ref="L7984:L7991" si="82">J7984*K7984</f>
        <v>127600</v>
      </c>
    </row>
    <row r="7985" spans="5:13" ht="15" customHeight="1">
      <c r="F7985" s="300"/>
      <c r="G7985" s="301" t="s">
        <v>1579</v>
      </c>
      <c r="H7985" s="302"/>
      <c r="I7985" s="307" t="s">
        <v>93</v>
      </c>
      <c r="J7985" s="443">
        <v>11</v>
      </c>
      <c r="K7985" s="328">
        <f t="shared" si="81"/>
        <v>6140</v>
      </c>
      <c r="L7985" s="310">
        <f t="shared" si="82"/>
        <v>67540</v>
      </c>
    </row>
    <row r="7986" spans="5:13" ht="15" customHeight="1">
      <c r="F7986" s="300"/>
      <c r="G7986" s="301" t="s">
        <v>1580</v>
      </c>
      <c r="H7986" s="302"/>
      <c r="I7986" s="307" t="s">
        <v>36</v>
      </c>
      <c r="J7986" s="443">
        <v>1</v>
      </c>
      <c r="K7986" s="328">
        <f t="shared" si="81"/>
        <v>16520</v>
      </c>
      <c r="L7986" s="310">
        <f t="shared" si="82"/>
        <v>16520</v>
      </c>
    </row>
    <row r="7987" spans="5:13" ht="15" customHeight="1">
      <c r="F7987" s="300"/>
      <c r="G7987" s="301" t="s">
        <v>1572</v>
      </c>
      <c r="H7987" s="302"/>
      <c r="I7987" s="307" t="s">
        <v>36</v>
      </c>
      <c r="J7987" s="443">
        <v>2</v>
      </c>
      <c r="K7987" s="328">
        <f t="shared" si="81"/>
        <v>1770</v>
      </c>
      <c r="L7987" s="310">
        <f t="shared" si="82"/>
        <v>3540</v>
      </c>
    </row>
    <row r="7988" spans="5:13" ht="15" customHeight="1">
      <c r="F7988" s="300"/>
      <c r="G7988" s="397" t="s">
        <v>1581</v>
      </c>
      <c r="H7988" s="302"/>
      <c r="I7988" s="307" t="s">
        <v>36</v>
      </c>
      <c r="J7988" s="443">
        <v>3</v>
      </c>
      <c r="K7988" s="328">
        <f t="shared" si="81"/>
        <v>1860</v>
      </c>
      <c r="L7988" s="310">
        <f t="shared" si="82"/>
        <v>5580</v>
      </c>
    </row>
    <row r="7989" spans="5:13" ht="15" customHeight="1">
      <c r="F7989" s="306"/>
      <c r="G7989" s="301" t="s">
        <v>1582</v>
      </c>
      <c r="H7989" s="302"/>
      <c r="I7989" s="307" t="s">
        <v>36</v>
      </c>
      <c r="J7989" s="443">
        <v>6</v>
      </c>
      <c r="K7989" s="328">
        <f t="shared" si="81"/>
        <v>700</v>
      </c>
      <c r="L7989" s="310">
        <f t="shared" si="82"/>
        <v>4200</v>
      </c>
    </row>
    <row r="7990" spans="5:13" ht="15" customHeight="1">
      <c r="F7990" s="306"/>
      <c r="G7990" s="301" t="s">
        <v>1574</v>
      </c>
      <c r="H7990" s="302"/>
      <c r="I7990" s="307" t="s">
        <v>36</v>
      </c>
      <c r="J7990" s="443">
        <v>2</v>
      </c>
      <c r="K7990" s="328">
        <f t="shared" si="81"/>
        <v>1190</v>
      </c>
      <c r="L7990" s="310">
        <f t="shared" si="82"/>
        <v>2380</v>
      </c>
    </row>
    <row r="7991" spans="5:13" ht="15" customHeight="1" thickBot="1">
      <c r="F7991" s="306"/>
      <c r="G7991" s="301" t="s">
        <v>1583</v>
      </c>
      <c r="H7991" s="302"/>
      <c r="I7991" s="307" t="s">
        <v>36</v>
      </c>
      <c r="J7991" s="443">
        <v>0.25</v>
      </c>
      <c r="K7991" s="328">
        <f t="shared" si="81"/>
        <v>310</v>
      </c>
      <c r="L7991" s="310">
        <f t="shared" si="82"/>
        <v>77.5</v>
      </c>
    </row>
    <row r="7992" spans="5:13" ht="15" customHeight="1" thickBot="1">
      <c r="F7992" s="316"/>
      <c r="G7992" s="317"/>
      <c r="H7992" s="318"/>
      <c r="I7992" s="318"/>
      <c r="J7992" s="319" t="s">
        <v>189</v>
      </c>
      <c r="K7992" s="320"/>
      <c r="L7992" s="321">
        <f>SUM(L7984:L7991)</f>
        <v>227437.5</v>
      </c>
    </row>
    <row r="7993" spans="5:13" ht="15" customHeight="1" thickBot="1">
      <c r="F7993" s="300" t="s">
        <v>190</v>
      </c>
      <c r="G7993" s="301" t="s">
        <v>191</v>
      </c>
      <c r="H7993" s="302"/>
      <c r="I7993" s="302"/>
      <c r="J7993" s="351"/>
      <c r="K7993" s="328">
        <v>0</v>
      </c>
      <c r="L7993" s="310">
        <f>J7993*K7993</f>
        <v>0</v>
      </c>
    </row>
    <row r="7994" spans="5:13" ht="15" customHeight="1" thickBot="1">
      <c r="F7994" s="316"/>
      <c r="G7994" s="317"/>
      <c r="H7994" s="318"/>
      <c r="I7994" s="318"/>
      <c r="J7994" s="319" t="s">
        <v>192</v>
      </c>
      <c r="K7994" s="320"/>
      <c r="L7994" s="321">
        <f>L7993</f>
        <v>0</v>
      </c>
    </row>
    <row r="7995" spans="5:13" ht="15" customHeight="1">
      <c r="F7995" s="344" t="s">
        <v>193</v>
      </c>
      <c r="G7995" s="345" t="s">
        <v>194</v>
      </c>
      <c r="H7995" s="346"/>
      <c r="I7995" s="346"/>
      <c r="J7995" s="347"/>
      <c r="K7995" s="348">
        <v>0</v>
      </c>
      <c r="L7995" s="310">
        <f>SUM(L7978:L7994)/2</f>
        <v>278737.5</v>
      </c>
    </row>
    <row r="7996" spans="5:13" ht="15" customHeight="1" thickBot="1">
      <c r="F7996" s="331" t="s">
        <v>195</v>
      </c>
      <c r="G7996" s="332" t="s">
        <v>196</v>
      </c>
      <c r="H7996" s="333"/>
      <c r="I7996" s="333"/>
      <c r="J7996" s="350">
        <v>0.1</v>
      </c>
      <c r="K7996" s="335"/>
      <c r="L7996" s="330">
        <f>J7996*L7995</f>
        <v>27873.75</v>
      </c>
    </row>
    <row r="7997" spans="5:13" ht="15" customHeight="1" thickBot="1">
      <c r="F7997" s="340" t="s">
        <v>197</v>
      </c>
      <c r="G7997" s="341" t="s">
        <v>198</v>
      </c>
      <c r="H7997" s="318"/>
      <c r="I7997" s="318"/>
      <c r="J7997" s="342"/>
      <c r="K7997" s="320">
        <v>0</v>
      </c>
      <c r="L7997" s="321">
        <f>ROUNDDOWN(L7995+L7996,0)</f>
        <v>306611</v>
      </c>
    </row>
    <row r="7998" spans="5:13" ht="15" customHeight="1">
      <c r="F7998" s="298"/>
      <c r="G7998" s="298"/>
      <c r="J7998" s="343"/>
      <c r="K7998" s="355"/>
      <c r="L7998" s="299"/>
    </row>
    <row r="7999" spans="5:13" ht="15" customHeight="1" thickBot="1">
      <c r="E7999" s="356" t="s">
        <v>1692</v>
      </c>
      <c r="F7999" s="295" t="s">
        <v>1710</v>
      </c>
      <c r="J7999" s="343"/>
      <c r="M7999" s="564">
        <f>L8015</f>
        <v>84535</v>
      </c>
    </row>
    <row r="8000" spans="5:13" ht="15" customHeight="1" thickBot="1">
      <c r="F8000" s="340" t="s">
        <v>136</v>
      </c>
      <c r="G8000" s="341" t="s">
        <v>162</v>
      </c>
      <c r="H8000" s="352" t="s">
        <v>163</v>
      </c>
      <c r="I8000" s="352" t="s">
        <v>138</v>
      </c>
      <c r="J8000" s="353" t="s">
        <v>164</v>
      </c>
      <c r="K8000" s="341" t="s">
        <v>165</v>
      </c>
      <c r="L8000" s="354" t="s">
        <v>166</v>
      </c>
    </row>
    <row r="8001" spans="6:12" ht="15" customHeight="1">
      <c r="F8001" s="300" t="s">
        <v>167</v>
      </c>
      <c r="G8001" s="301" t="s">
        <v>168</v>
      </c>
      <c r="H8001" s="302"/>
      <c r="I8001" s="302"/>
      <c r="J8001" s="351"/>
      <c r="K8001" s="328"/>
      <c r="L8001" s="310"/>
    </row>
    <row r="8002" spans="6:12" ht="15" customHeight="1">
      <c r="F8002" s="306"/>
      <c r="G8002" s="434" t="s">
        <v>169</v>
      </c>
      <c r="H8002" s="307" t="s">
        <v>170</v>
      </c>
      <c r="I8002" s="307" t="s">
        <v>171</v>
      </c>
      <c r="J8002" s="435">
        <v>0.2</v>
      </c>
      <c r="K8002" s="309">
        <f>VLOOKUP(G8002,Upah,8,FALSE)</f>
        <v>125000</v>
      </c>
      <c r="L8002" s="310">
        <f>J8002*K8002</f>
        <v>25000</v>
      </c>
    </row>
    <row r="8003" spans="6:12" ht="15" customHeight="1">
      <c r="F8003" s="306"/>
      <c r="G8003" s="442" t="s">
        <v>258</v>
      </c>
      <c r="H8003" s="307" t="s">
        <v>217</v>
      </c>
      <c r="I8003" s="307" t="s">
        <v>171</v>
      </c>
      <c r="J8003" s="435">
        <v>0.1</v>
      </c>
      <c r="K8003" s="309">
        <f>VLOOKUP(G8003,Upah,8,FALSE)</f>
        <v>150000</v>
      </c>
      <c r="L8003" s="310">
        <f>J8003*K8003</f>
        <v>15000</v>
      </c>
    </row>
    <row r="8004" spans="6:12" ht="15" customHeight="1">
      <c r="F8004" s="306"/>
      <c r="G8004" s="434" t="s">
        <v>232</v>
      </c>
      <c r="H8004" s="307" t="s">
        <v>175</v>
      </c>
      <c r="I8004" s="307" t="s">
        <v>171</v>
      </c>
      <c r="J8004" s="435">
        <v>0.01</v>
      </c>
      <c r="K8004" s="309">
        <f>VLOOKUP(G8004,Upah,8,FALSE)</f>
        <v>165000</v>
      </c>
      <c r="L8004" s="310">
        <f>J8004*K8004</f>
        <v>1650</v>
      </c>
    </row>
    <row r="8005" spans="6:12" ht="15" customHeight="1" thickBot="1">
      <c r="F8005" s="306"/>
      <c r="G8005" s="442" t="s">
        <v>176</v>
      </c>
      <c r="H8005" s="307" t="s">
        <v>177</v>
      </c>
      <c r="I8005" s="307" t="s">
        <v>171</v>
      </c>
      <c r="J8005" s="435">
        <v>0.01</v>
      </c>
      <c r="K8005" s="309">
        <f>VLOOKUP(G8005,Upah,8,FALSE)</f>
        <v>170000</v>
      </c>
      <c r="L8005" s="310">
        <f>J8005*K8005</f>
        <v>1700</v>
      </c>
    </row>
    <row r="8006" spans="6:12" ht="15" customHeight="1" thickBot="1">
      <c r="F8006" s="316"/>
      <c r="G8006" s="317"/>
      <c r="H8006" s="318"/>
      <c r="I8006" s="318"/>
      <c r="J8006" s="319" t="s">
        <v>178</v>
      </c>
      <c r="K8006" s="320"/>
      <c r="L8006" s="321">
        <f>SUM(L8002:L8005)</f>
        <v>43350</v>
      </c>
    </row>
    <row r="8007" spans="6:12" ht="15" customHeight="1">
      <c r="F8007" s="300" t="s">
        <v>179</v>
      </c>
      <c r="G8007" s="301" t="s">
        <v>180</v>
      </c>
      <c r="H8007" s="302"/>
      <c r="I8007" s="302"/>
      <c r="J8007" s="351"/>
      <c r="K8007" s="328"/>
      <c r="L8007" s="310"/>
    </row>
    <row r="8008" spans="6:12" ht="15" customHeight="1">
      <c r="F8008" s="306"/>
      <c r="G8008" s="301" t="s">
        <v>70</v>
      </c>
      <c r="H8008" s="302"/>
      <c r="I8008" s="307" t="s">
        <v>36</v>
      </c>
      <c r="J8008" s="443">
        <v>1</v>
      </c>
      <c r="K8008" s="328">
        <f>VLOOKUP(G8008,Bahan,6,FALSE)</f>
        <v>33500</v>
      </c>
      <c r="L8008" s="310">
        <f>J8008*K8008</f>
        <v>33500</v>
      </c>
    </row>
    <row r="8009" spans="6:12" ht="15" customHeight="1" thickBot="1">
      <c r="F8009" s="306"/>
      <c r="G8009" s="301"/>
      <c r="H8009" s="302"/>
      <c r="I8009" s="307"/>
      <c r="J8009" s="443"/>
      <c r="K8009" s="328"/>
      <c r="L8009" s="310"/>
    </row>
    <row r="8010" spans="6:12" ht="15" customHeight="1" thickBot="1">
      <c r="F8010" s="316"/>
      <c r="G8010" s="317"/>
      <c r="H8010" s="318"/>
      <c r="I8010" s="318"/>
      <c r="J8010" s="319" t="s">
        <v>189</v>
      </c>
      <c r="K8010" s="320"/>
      <c r="L8010" s="321">
        <f>SUM(L8008:L8009)</f>
        <v>33500</v>
      </c>
    </row>
    <row r="8011" spans="6:12" ht="15" customHeight="1" thickBot="1">
      <c r="F8011" s="300" t="s">
        <v>190</v>
      </c>
      <c r="G8011" s="301" t="s">
        <v>191</v>
      </c>
      <c r="H8011" s="302"/>
      <c r="I8011" s="302"/>
      <c r="J8011" s="351"/>
      <c r="K8011" s="328">
        <v>0</v>
      </c>
      <c r="L8011" s="310">
        <f>J8011*K8011</f>
        <v>0</v>
      </c>
    </row>
    <row r="8012" spans="6:12" ht="15" customHeight="1" thickBot="1">
      <c r="F8012" s="316"/>
      <c r="G8012" s="317"/>
      <c r="H8012" s="318"/>
      <c r="I8012" s="318"/>
      <c r="J8012" s="319" t="s">
        <v>192</v>
      </c>
      <c r="K8012" s="320"/>
      <c r="L8012" s="321">
        <f>L8011</f>
        <v>0</v>
      </c>
    </row>
    <row r="8013" spans="6:12" ht="15" customHeight="1">
      <c r="F8013" s="344" t="s">
        <v>193</v>
      </c>
      <c r="G8013" s="345" t="s">
        <v>194</v>
      </c>
      <c r="H8013" s="346"/>
      <c r="I8013" s="346"/>
      <c r="J8013" s="347"/>
      <c r="K8013" s="348">
        <v>0</v>
      </c>
      <c r="L8013" s="310">
        <f>SUM(L8002:L8012)/2</f>
        <v>76850</v>
      </c>
    </row>
    <row r="8014" spans="6:12" ht="15" customHeight="1" thickBot="1">
      <c r="F8014" s="331" t="s">
        <v>195</v>
      </c>
      <c r="G8014" s="332" t="s">
        <v>196</v>
      </c>
      <c r="H8014" s="333"/>
      <c r="I8014" s="333"/>
      <c r="J8014" s="350">
        <v>0.1</v>
      </c>
      <c r="K8014" s="335"/>
      <c r="L8014" s="330">
        <f>J8014*L8013</f>
        <v>7685</v>
      </c>
    </row>
    <row r="8015" spans="6:12" ht="15" customHeight="1" thickBot="1">
      <c r="F8015" s="340" t="s">
        <v>197</v>
      </c>
      <c r="G8015" s="341" t="s">
        <v>198</v>
      </c>
      <c r="H8015" s="318"/>
      <c r="I8015" s="318"/>
      <c r="J8015" s="342"/>
      <c r="K8015" s="320">
        <v>0</v>
      </c>
      <c r="L8015" s="321">
        <f>ROUNDDOWN(L8013+L8014,0)</f>
        <v>84535</v>
      </c>
    </row>
    <row r="8017" spans="5:13" ht="15" customHeight="1" thickBot="1">
      <c r="E8017" s="356" t="s">
        <v>1694</v>
      </c>
      <c r="F8017" s="295" t="s">
        <v>1711</v>
      </c>
      <c r="J8017" s="343"/>
      <c r="M8017" s="564">
        <f>L8033</f>
        <v>77935</v>
      </c>
    </row>
    <row r="8018" spans="5:13" ht="15" customHeight="1" thickBot="1">
      <c r="F8018" s="340" t="s">
        <v>136</v>
      </c>
      <c r="G8018" s="341" t="s">
        <v>162</v>
      </c>
      <c r="H8018" s="352" t="s">
        <v>163</v>
      </c>
      <c r="I8018" s="352" t="s">
        <v>138</v>
      </c>
      <c r="J8018" s="353" t="s">
        <v>164</v>
      </c>
      <c r="K8018" s="341" t="s">
        <v>165</v>
      </c>
      <c r="L8018" s="354" t="s">
        <v>166</v>
      </c>
    </row>
    <row r="8019" spans="5:13" ht="15" customHeight="1">
      <c r="F8019" s="300" t="s">
        <v>167</v>
      </c>
      <c r="G8019" s="301" t="s">
        <v>168</v>
      </c>
      <c r="H8019" s="302"/>
      <c r="I8019" s="302"/>
      <c r="J8019" s="351"/>
      <c r="K8019" s="328"/>
      <c r="L8019" s="310"/>
    </row>
    <row r="8020" spans="5:13" ht="15" customHeight="1">
      <c r="F8020" s="306"/>
      <c r="G8020" s="434" t="s">
        <v>169</v>
      </c>
      <c r="H8020" s="307" t="s">
        <v>170</v>
      </c>
      <c r="I8020" s="307" t="s">
        <v>171</v>
      </c>
      <c r="J8020" s="435">
        <v>0.2</v>
      </c>
      <c r="K8020" s="309">
        <f>VLOOKUP(G8020,Upah,8,FALSE)</f>
        <v>125000</v>
      </c>
      <c r="L8020" s="310">
        <f>J8020*K8020</f>
        <v>25000</v>
      </c>
    </row>
    <row r="8021" spans="5:13" ht="15" customHeight="1">
      <c r="F8021" s="306"/>
      <c r="G8021" s="442" t="s">
        <v>258</v>
      </c>
      <c r="H8021" s="307" t="s">
        <v>217</v>
      </c>
      <c r="I8021" s="307" t="s">
        <v>171</v>
      </c>
      <c r="J8021" s="435">
        <v>0.1</v>
      </c>
      <c r="K8021" s="309">
        <f>VLOOKUP(G8021,Upah,8,FALSE)</f>
        <v>150000</v>
      </c>
      <c r="L8021" s="310">
        <f>J8021*K8021</f>
        <v>15000</v>
      </c>
    </row>
    <row r="8022" spans="5:13" ht="15" customHeight="1">
      <c r="F8022" s="306"/>
      <c r="G8022" s="434" t="s">
        <v>232</v>
      </c>
      <c r="H8022" s="307" t="s">
        <v>175</v>
      </c>
      <c r="I8022" s="307" t="s">
        <v>171</v>
      </c>
      <c r="J8022" s="435">
        <v>0.01</v>
      </c>
      <c r="K8022" s="309">
        <f>VLOOKUP(G8022,Upah,8,FALSE)</f>
        <v>165000</v>
      </c>
      <c r="L8022" s="310">
        <f>J8022*K8022</f>
        <v>1650</v>
      </c>
    </row>
    <row r="8023" spans="5:13" ht="15" customHeight="1" thickBot="1">
      <c r="F8023" s="306"/>
      <c r="G8023" s="442" t="s">
        <v>176</v>
      </c>
      <c r="H8023" s="307" t="s">
        <v>177</v>
      </c>
      <c r="I8023" s="307" t="s">
        <v>171</v>
      </c>
      <c r="J8023" s="435">
        <v>0.01</v>
      </c>
      <c r="K8023" s="309">
        <f>VLOOKUP(G8023,Upah,8,FALSE)</f>
        <v>170000</v>
      </c>
      <c r="L8023" s="310">
        <f>J8023*K8023</f>
        <v>1700</v>
      </c>
    </row>
    <row r="8024" spans="5:13" ht="15" customHeight="1" thickBot="1">
      <c r="F8024" s="316"/>
      <c r="G8024" s="317"/>
      <c r="H8024" s="318"/>
      <c r="I8024" s="318"/>
      <c r="J8024" s="319" t="s">
        <v>178</v>
      </c>
      <c r="K8024" s="320"/>
      <c r="L8024" s="321">
        <f>SUM(L8020:L8023)</f>
        <v>43350</v>
      </c>
    </row>
    <row r="8025" spans="5:13" ht="15" customHeight="1">
      <c r="F8025" s="300" t="s">
        <v>179</v>
      </c>
      <c r="G8025" s="301" t="s">
        <v>180</v>
      </c>
      <c r="H8025" s="302"/>
      <c r="I8025" s="302"/>
      <c r="J8025" s="351"/>
      <c r="K8025" s="328"/>
      <c r="L8025" s="310"/>
    </row>
    <row r="8026" spans="5:13" ht="15" customHeight="1">
      <c r="F8026" s="306"/>
      <c r="G8026" s="301" t="s">
        <v>1695</v>
      </c>
      <c r="H8026" s="302"/>
      <c r="I8026" s="307" t="s">
        <v>36</v>
      </c>
      <c r="J8026" s="443">
        <v>1</v>
      </c>
      <c r="K8026" s="328">
        <f>VLOOKUP(G8026,Bahan,6,FALSE)</f>
        <v>27500</v>
      </c>
      <c r="L8026" s="310">
        <f>J8026*K8026</f>
        <v>27500</v>
      </c>
    </row>
    <row r="8027" spans="5:13" ht="15" customHeight="1" thickBot="1">
      <c r="F8027" s="306"/>
      <c r="G8027" s="301"/>
      <c r="H8027" s="302"/>
      <c r="I8027" s="307"/>
      <c r="J8027" s="443"/>
      <c r="K8027" s="328"/>
      <c r="L8027" s="310"/>
    </row>
    <row r="8028" spans="5:13" ht="15" customHeight="1" thickBot="1">
      <c r="F8028" s="316"/>
      <c r="G8028" s="317"/>
      <c r="H8028" s="318"/>
      <c r="I8028" s="318"/>
      <c r="J8028" s="319" t="s">
        <v>189</v>
      </c>
      <c r="K8028" s="320"/>
      <c r="L8028" s="321">
        <f>SUM(L8026:L8027)</f>
        <v>27500</v>
      </c>
    </row>
    <row r="8029" spans="5:13" ht="15" customHeight="1" thickBot="1">
      <c r="F8029" s="300" t="s">
        <v>190</v>
      </c>
      <c r="G8029" s="301" t="s">
        <v>191</v>
      </c>
      <c r="H8029" s="302"/>
      <c r="I8029" s="302"/>
      <c r="J8029" s="351"/>
      <c r="K8029" s="328">
        <v>0</v>
      </c>
      <c r="L8029" s="310">
        <f>J8029*K8029</f>
        <v>0</v>
      </c>
    </row>
    <row r="8030" spans="5:13" ht="15" customHeight="1" thickBot="1">
      <c r="F8030" s="316"/>
      <c r="G8030" s="317"/>
      <c r="H8030" s="318"/>
      <c r="I8030" s="318"/>
      <c r="J8030" s="319" t="s">
        <v>192</v>
      </c>
      <c r="K8030" s="320"/>
      <c r="L8030" s="321">
        <f>L8029</f>
        <v>0</v>
      </c>
    </row>
    <row r="8031" spans="5:13" ht="15" customHeight="1">
      <c r="F8031" s="344" t="s">
        <v>193</v>
      </c>
      <c r="G8031" s="345" t="s">
        <v>194</v>
      </c>
      <c r="H8031" s="346"/>
      <c r="I8031" s="346"/>
      <c r="J8031" s="347"/>
      <c r="K8031" s="348">
        <v>0</v>
      </c>
      <c r="L8031" s="310">
        <f>SUM(L8020:L8030)/2</f>
        <v>70850</v>
      </c>
    </row>
    <row r="8032" spans="5:13" ht="15" customHeight="1" thickBot="1">
      <c r="F8032" s="331" t="s">
        <v>195</v>
      </c>
      <c r="G8032" s="332" t="s">
        <v>196</v>
      </c>
      <c r="H8032" s="333"/>
      <c r="I8032" s="333"/>
      <c r="J8032" s="350">
        <v>0.1</v>
      </c>
      <c r="K8032" s="335"/>
      <c r="L8032" s="330">
        <f>J8032*L8031</f>
        <v>7085</v>
      </c>
    </row>
    <row r="8033" spans="5:13" ht="15" customHeight="1" thickBot="1">
      <c r="F8033" s="340" t="s">
        <v>197</v>
      </c>
      <c r="G8033" s="341" t="s">
        <v>198</v>
      </c>
      <c r="H8033" s="318"/>
      <c r="I8033" s="318"/>
      <c r="J8033" s="342"/>
      <c r="K8033" s="320">
        <v>0</v>
      </c>
      <c r="L8033" s="321">
        <f>ROUNDDOWN(L8031+L8032,0)</f>
        <v>77935</v>
      </c>
    </row>
    <row r="8035" spans="5:13" ht="15" customHeight="1" thickBot="1">
      <c r="E8035" s="356" t="s">
        <v>1696</v>
      </c>
      <c r="F8035" s="295" t="s">
        <v>1712</v>
      </c>
      <c r="J8035" s="343"/>
      <c r="M8035" s="564">
        <f>L8051</f>
        <v>70697</v>
      </c>
    </row>
    <row r="8036" spans="5:13" ht="15" customHeight="1" thickBot="1">
      <c r="F8036" s="340" t="s">
        <v>136</v>
      </c>
      <c r="G8036" s="341" t="s">
        <v>162</v>
      </c>
      <c r="H8036" s="352" t="s">
        <v>163</v>
      </c>
      <c r="I8036" s="352" t="s">
        <v>138</v>
      </c>
      <c r="J8036" s="353" t="s">
        <v>164</v>
      </c>
      <c r="K8036" s="341" t="s">
        <v>165</v>
      </c>
      <c r="L8036" s="354" t="s">
        <v>166</v>
      </c>
    </row>
    <row r="8037" spans="5:13" ht="15" customHeight="1">
      <c r="F8037" s="300" t="s">
        <v>167</v>
      </c>
      <c r="G8037" s="301" t="s">
        <v>168</v>
      </c>
      <c r="H8037" s="302"/>
      <c r="I8037" s="302"/>
      <c r="J8037" s="351"/>
      <c r="K8037" s="328"/>
      <c r="L8037" s="310"/>
    </row>
    <row r="8038" spans="5:13" ht="15" customHeight="1">
      <c r="F8038" s="306"/>
      <c r="G8038" s="434" t="s">
        <v>169</v>
      </c>
      <c r="H8038" s="307" t="s">
        <v>170</v>
      </c>
      <c r="I8038" s="307" t="s">
        <v>171</v>
      </c>
      <c r="J8038" s="435">
        <v>1.4999999999999999E-2</v>
      </c>
      <c r="K8038" s="309">
        <f>VLOOKUP(G8038,Upah,8,FALSE)</f>
        <v>125000</v>
      </c>
      <c r="L8038" s="310">
        <f>J8038*K8038</f>
        <v>1875</v>
      </c>
    </row>
    <row r="8039" spans="5:13" ht="15" customHeight="1">
      <c r="F8039" s="306"/>
      <c r="G8039" s="442" t="s">
        <v>258</v>
      </c>
      <c r="H8039" s="307" t="s">
        <v>217</v>
      </c>
      <c r="I8039" s="307" t="s">
        <v>171</v>
      </c>
      <c r="J8039" s="435">
        <v>0.15</v>
      </c>
      <c r="K8039" s="309">
        <f>VLOOKUP(G8039,Upah,8,FALSE)</f>
        <v>150000</v>
      </c>
      <c r="L8039" s="310">
        <f>J8039*K8039</f>
        <v>22500</v>
      </c>
    </row>
    <row r="8040" spans="5:13" ht="15" customHeight="1">
      <c r="F8040" s="306"/>
      <c r="G8040" s="434" t="s">
        <v>232</v>
      </c>
      <c r="H8040" s="307" t="s">
        <v>175</v>
      </c>
      <c r="I8040" s="307" t="s">
        <v>171</v>
      </c>
      <c r="J8040" s="435">
        <v>1.4999999999999999E-2</v>
      </c>
      <c r="K8040" s="309">
        <f>VLOOKUP(G8040,Upah,8,FALSE)</f>
        <v>165000</v>
      </c>
      <c r="L8040" s="310">
        <f>J8040*K8040</f>
        <v>2475</v>
      </c>
    </row>
    <row r="8041" spans="5:13" ht="15" customHeight="1" thickBot="1">
      <c r="F8041" s="306"/>
      <c r="G8041" s="442" t="s">
        <v>176</v>
      </c>
      <c r="H8041" s="307" t="s">
        <v>177</v>
      </c>
      <c r="I8041" s="307" t="s">
        <v>171</v>
      </c>
      <c r="J8041" s="435">
        <v>1E-3</v>
      </c>
      <c r="K8041" s="309">
        <f>VLOOKUP(G8041,Upah,8,FALSE)</f>
        <v>170000</v>
      </c>
      <c r="L8041" s="310">
        <f>J8041*K8041</f>
        <v>170</v>
      </c>
    </row>
    <row r="8042" spans="5:13" ht="15" customHeight="1" thickBot="1">
      <c r="F8042" s="316"/>
      <c r="G8042" s="317"/>
      <c r="H8042" s="318"/>
      <c r="I8042" s="318"/>
      <c r="J8042" s="319" t="s">
        <v>178</v>
      </c>
      <c r="K8042" s="320"/>
      <c r="L8042" s="321">
        <f>SUM(L8038:L8041)</f>
        <v>27020</v>
      </c>
    </row>
    <row r="8043" spans="5:13" ht="15" customHeight="1">
      <c r="F8043" s="300" t="s">
        <v>179</v>
      </c>
      <c r="G8043" s="301" t="s">
        <v>180</v>
      </c>
      <c r="H8043" s="302"/>
      <c r="I8043" s="302"/>
      <c r="J8043" s="351"/>
      <c r="K8043" s="328"/>
      <c r="L8043" s="310"/>
    </row>
    <row r="8044" spans="5:13" ht="15" customHeight="1">
      <c r="F8044" s="306"/>
      <c r="G8044" s="301" t="s">
        <v>1697</v>
      </c>
      <c r="H8044" s="302"/>
      <c r="I8044" s="307" t="s">
        <v>36</v>
      </c>
      <c r="J8044" s="443">
        <v>1</v>
      </c>
      <c r="K8044" s="328">
        <f>VLOOKUP(G8044,Bahan,6,FALSE)</f>
        <v>37250</v>
      </c>
      <c r="L8044" s="310">
        <f>J8044*K8044</f>
        <v>37250</v>
      </c>
    </row>
    <row r="8045" spans="5:13" ht="15" customHeight="1" thickBot="1">
      <c r="F8045" s="306"/>
      <c r="G8045" s="301"/>
      <c r="H8045" s="302"/>
      <c r="I8045" s="307"/>
      <c r="J8045" s="443"/>
      <c r="K8045" s="328"/>
      <c r="L8045" s="310"/>
    </row>
    <row r="8046" spans="5:13" ht="15" customHeight="1" thickBot="1">
      <c r="F8046" s="316"/>
      <c r="G8046" s="317"/>
      <c r="H8046" s="318"/>
      <c r="I8046" s="318"/>
      <c r="J8046" s="319" t="s">
        <v>189</v>
      </c>
      <c r="K8046" s="320"/>
      <c r="L8046" s="321">
        <f>SUM(L8044:L8045)</f>
        <v>37250</v>
      </c>
    </row>
    <row r="8047" spans="5:13" ht="15" customHeight="1" thickBot="1">
      <c r="F8047" s="300" t="s">
        <v>190</v>
      </c>
      <c r="G8047" s="301" t="s">
        <v>191</v>
      </c>
      <c r="H8047" s="302"/>
      <c r="I8047" s="302"/>
      <c r="J8047" s="351"/>
      <c r="K8047" s="328">
        <v>0</v>
      </c>
      <c r="L8047" s="310">
        <f>J8047*K8047</f>
        <v>0</v>
      </c>
    </row>
    <row r="8048" spans="5:13" ht="15" customHeight="1" thickBot="1">
      <c r="F8048" s="316"/>
      <c r="G8048" s="317"/>
      <c r="H8048" s="318"/>
      <c r="I8048" s="318"/>
      <c r="J8048" s="319" t="s">
        <v>192</v>
      </c>
      <c r="K8048" s="320"/>
      <c r="L8048" s="321">
        <f>L8047</f>
        <v>0</v>
      </c>
    </row>
    <row r="8049" spans="5:13" ht="15" customHeight="1">
      <c r="F8049" s="344" t="s">
        <v>193</v>
      </c>
      <c r="G8049" s="345" t="s">
        <v>194</v>
      </c>
      <c r="H8049" s="346"/>
      <c r="I8049" s="346"/>
      <c r="J8049" s="347"/>
      <c r="K8049" s="348">
        <v>0</v>
      </c>
      <c r="L8049" s="310">
        <f>SUM(L8038:L8048)/2</f>
        <v>64270</v>
      </c>
    </row>
    <row r="8050" spans="5:13" ht="15" customHeight="1" thickBot="1">
      <c r="F8050" s="331" t="s">
        <v>195</v>
      </c>
      <c r="G8050" s="332" t="s">
        <v>196</v>
      </c>
      <c r="H8050" s="333"/>
      <c r="I8050" s="333"/>
      <c r="J8050" s="350">
        <v>0.1</v>
      </c>
      <c r="K8050" s="335"/>
      <c r="L8050" s="330">
        <f>J8050*L8049</f>
        <v>6427</v>
      </c>
    </row>
    <row r="8051" spans="5:13" ht="15" customHeight="1" thickBot="1">
      <c r="F8051" s="340" t="s">
        <v>197</v>
      </c>
      <c r="G8051" s="341" t="s">
        <v>198</v>
      </c>
      <c r="H8051" s="318"/>
      <c r="I8051" s="318"/>
      <c r="J8051" s="342"/>
      <c r="K8051" s="320">
        <v>0</v>
      </c>
      <c r="L8051" s="321">
        <f>ROUNDDOWN(L8049+L8050,0)</f>
        <v>70697</v>
      </c>
    </row>
    <row r="8053" spans="5:13" ht="15" customHeight="1" thickBot="1">
      <c r="E8053" s="356" t="s">
        <v>1698</v>
      </c>
      <c r="F8053" s="295" t="s">
        <v>1713</v>
      </c>
      <c r="J8053" s="343"/>
      <c r="M8053" s="564">
        <f>L8068</f>
        <v>496870</v>
      </c>
    </row>
    <row r="8054" spans="5:13" ht="15" customHeight="1" thickBot="1">
      <c r="F8054" s="340" t="s">
        <v>136</v>
      </c>
      <c r="G8054" s="341" t="s">
        <v>162</v>
      </c>
      <c r="H8054" s="352" t="s">
        <v>163</v>
      </c>
      <c r="I8054" s="352" t="s">
        <v>138</v>
      </c>
      <c r="J8054" s="353" t="s">
        <v>164</v>
      </c>
      <c r="K8054" s="341" t="s">
        <v>165</v>
      </c>
      <c r="L8054" s="354" t="s">
        <v>166</v>
      </c>
    </row>
    <row r="8055" spans="5:13" ht="15" customHeight="1">
      <c r="F8055" s="300" t="s">
        <v>167</v>
      </c>
      <c r="G8055" s="301" t="s">
        <v>168</v>
      </c>
      <c r="H8055" s="302"/>
      <c r="I8055" s="302"/>
      <c r="J8055" s="351"/>
      <c r="K8055" s="328"/>
      <c r="L8055" s="310"/>
    </row>
    <row r="8056" spans="5:13" ht="15" customHeight="1">
      <c r="F8056" s="306"/>
      <c r="G8056" s="434" t="s">
        <v>169</v>
      </c>
      <c r="H8056" s="307" t="s">
        <v>170</v>
      </c>
      <c r="I8056" s="307" t="s">
        <v>171</v>
      </c>
      <c r="J8056" s="435">
        <v>1</v>
      </c>
      <c r="K8056" s="309">
        <f>VLOOKUP(G8056,Upah,8,FALSE)</f>
        <v>125000</v>
      </c>
      <c r="L8056" s="310">
        <f>J8056*K8056</f>
        <v>125000</v>
      </c>
    </row>
    <row r="8057" spans="5:13" ht="15" customHeight="1">
      <c r="F8057" s="306"/>
      <c r="G8057" s="442" t="s">
        <v>258</v>
      </c>
      <c r="H8057" s="307" t="s">
        <v>217</v>
      </c>
      <c r="I8057" s="307" t="s">
        <v>171</v>
      </c>
      <c r="J8057" s="435">
        <v>0.5</v>
      </c>
      <c r="K8057" s="309">
        <f>VLOOKUP(G8057,Upah,8,FALSE)</f>
        <v>150000</v>
      </c>
      <c r="L8057" s="310">
        <f>J8057*K8057</f>
        <v>75000</v>
      </c>
    </row>
    <row r="8058" spans="5:13" ht="15" customHeight="1" thickBot="1">
      <c r="F8058" s="306"/>
      <c r="G8058" s="442" t="s">
        <v>176</v>
      </c>
      <c r="H8058" s="307" t="s">
        <v>177</v>
      </c>
      <c r="I8058" s="307" t="s">
        <v>171</v>
      </c>
      <c r="J8058" s="435">
        <v>0.01</v>
      </c>
      <c r="K8058" s="309">
        <f>VLOOKUP(G8058,Upah,8,FALSE)</f>
        <v>170000</v>
      </c>
      <c r="L8058" s="310">
        <f>J8058*K8058</f>
        <v>1700</v>
      </c>
    </row>
    <row r="8059" spans="5:13" ht="15" customHeight="1" thickBot="1">
      <c r="F8059" s="316"/>
      <c r="G8059" s="317"/>
      <c r="H8059" s="318"/>
      <c r="I8059" s="318"/>
      <c r="J8059" s="319" t="s">
        <v>178</v>
      </c>
      <c r="K8059" s="320"/>
      <c r="L8059" s="321">
        <f>SUM(L8056:L8058)</f>
        <v>201700</v>
      </c>
    </row>
    <row r="8060" spans="5:13" ht="15" customHeight="1">
      <c r="F8060" s="300" t="s">
        <v>179</v>
      </c>
      <c r="G8060" s="301" t="s">
        <v>180</v>
      </c>
      <c r="H8060" s="302"/>
      <c r="I8060" s="302"/>
      <c r="J8060" s="351"/>
      <c r="K8060" s="328"/>
      <c r="L8060" s="310"/>
    </row>
    <row r="8061" spans="5:13" ht="15" customHeight="1">
      <c r="F8061" s="306"/>
      <c r="G8061" s="301" t="s">
        <v>73</v>
      </c>
      <c r="H8061" s="302"/>
      <c r="I8061" s="307" t="s">
        <v>36</v>
      </c>
      <c r="J8061" s="443">
        <v>1</v>
      </c>
      <c r="K8061" s="328">
        <f>VLOOKUP(G8061,Bahan,6,FALSE)</f>
        <v>250000</v>
      </c>
      <c r="L8061" s="310">
        <f>J8061*K8061</f>
        <v>250000</v>
      </c>
    </row>
    <row r="8062" spans="5:13" ht="15" customHeight="1" thickBot="1">
      <c r="F8062" s="306"/>
      <c r="G8062" s="301"/>
      <c r="H8062" s="302"/>
      <c r="I8062" s="307"/>
      <c r="J8062" s="443"/>
      <c r="K8062" s="328"/>
      <c r="L8062" s="310"/>
    </row>
    <row r="8063" spans="5:13" ht="15" customHeight="1" thickBot="1">
      <c r="F8063" s="316"/>
      <c r="G8063" s="317"/>
      <c r="H8063" s="318"/>
      <c r="I8063" s="318"/>
      <c r="J8063" s="319" t="s">
        <v>189</v>
      </c>
      <c r="K8063" s="320"/>
      <c r="L8063" s="321">
        <f>SUM(L8061:L8062)</f>
        <v>250000</v>
      </c>
    </row>
    <row r="8064" spans="5:13" ht="15" customHeight="1" thickBot="1">
      <c r="F8064" s="300" t="s">
        <v>190</v>
      </c>
      <c r="G8064" s="301" t="s">
        <v>191</v>
      </c>
      <c r="H8064" s="302"/>
      <c r="I8064" s="302"/>
      <c r="J8064" s="351"/>
      <c r="K8064" s="328">
        <v>0</v>
      </c>
      <c r="L8064" s="310">
        <f>J8064*K8064</f>
        <v>0</v>
      </c>
    </row>
    <row r="8065" spans="6:12" ht="15" customHeight="1" thickBot="1">
      <c r="F8065" s="316"/>
      <c r="G8065" s="317"/>
      <c r="H8065" s="318"/>
      <c r="I8065" s="318"/>
      <c r="J8065" s="319" t="s">
        <v>192</v>
      </c>
      <c r="K8065" s="320"/>
      <c r="L8065" s="321">
        <f>L8064</f>
        <v>0</v>
      </c>
    </row>
    <row r="8066" spans="6:12" ht="15" customHeight="1">
      <c r="F8066" s="344" t="s">
        <v>193</v>
      </c>
      <c r="G8066" s="345" t="s">
        <v>194</v>
      </c>
      <c r="H8066" s="346"/>
      <c r="I8066" s="346"/>
      <c r="J8066" s="347"/>
      <c r="K8066" s="348">
        <v>0</v>
      </c>
      <c r="L8066" s="310">
        <f>SUM(L8056:L8065)/2</f>
        <v>451700</v>
      </c>
    </row>
    <row r="8067" spans="6:12" ht="15" customHeight="1" thickBot="1">
      <c r="F8067" s="331" t="s">
        <v>195</v>
      </c>
      <c r="G8067" s="332" t="s">
        <v>196</v>
      </c>
      <c r="H8067" s="333"/>
      <c r="I8067" s="333"/>
      <c r="J8067" s="350">
        <v>0.1</v>
      </c>
      <c r="K8067" s="335"/>
      <c r="L8067" s="330">
        <f>J8067*L8066</f>
        <v>45170</v>
      </c>
    </row>
    <row r="8068" spans="6:12" ht="15" customHeight="1" thickBot="1">
      <c r="F8068" s="340" t="s">
        <v>197</v>
      </c>
      <c r="G8068" s="341" t="s">
        <v>198</v>
      </c>
      <c r="H8068" s="318"/>
      <c r="I8068" s="318"/>
      <c r="J8068" s="342"/>
      <c r="K8068" s="320">
        <v>0</v>
      </c>
      <c r="L8068" s="321">
        <f>ROUNDDOWN(L8066+L8067,0)</f>
        <v>496870</v>
      </c>
    </row>
  </sheetData>
  <protectedRanges>
    <protectedRange password="CF35" sqref="G7978:G7981 F7975 J7978:J7981 J7956 G7956 G8002:G8005 J8002:J8005 G8020:G8023 J8020:J8023 G8038:G8041 J8038:J8041 J8056:J8058 G8056:G8058" name="Range1"/>
  </protectedRanges>
  <mergeCells count="28">
    <mergeCell ref="I1944:J1944"/>
    <mergeCell ref="I1945:J1945"/>
    <mergeCell ref="I1946:J1946"/>
    <mergeCell ref="I1935:J1935"/>
    <mergeCell ref="I1936:J1936"/>
    <mergeCell ref="I1941:J1941"/>
    <mergeCell ref="I1954:J1954"/>
    <mergeCell ref="I1947:J1947"/>
    <mergeCell ref="I1948:J1948"/>
    <mergeCell ref="I1949:J1949"/>
    <mergeCell ref="I1950:J1950"/>
    <mergeCell ref="I1951:J1951"/>
    <mergeCell ref="I1952:J1952"/>
    <mergeCell ref="I1953:J1953"/>
    <mergeCell ref="A29:C29"/>
    <mergeCell ref="F4:L6"/>
    <mergeCell ref="I1942:J1942"/>
    <mergeCell ref="I1943:J1943"/>
    <mergeCell ref="I1938:J1938"/>
    <mergeCell ref="I1939:J1939"/>
    <mergeCell ref="I1940:J1940"/>
    <mergeCell ref="I1937:J1937"/>
    <mergeCell ref="I1934:J1934"/>
    <mergeCell ref="H1929:H1930"/>
    <mergeCell ref="I1929:J1930"/>
    <mergeCell ref="I1931:J1931"/>
    <mergeCell ref="I1932:J1932"/>
    <mergeCell ref="I1933:J193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DC7A-2409-4ECA-A9F1-8F5F20BC2BA6}">
  <sheetPr codeName="Sheet8">
    <tabColor rgb="FF1F4E78"/>
  </sheetPr>
  <dimension ref="A1:N489"/>
  <sheetViews>
    <sheetView showGridLines="0" showRowColHeaders="0" zoomScale="75" zoomScaleNormal="75" workbookViewId="0">
      <pane ySplit="4" topLeftCell="A5" activePane="bottomLeft" state="frozen"/>
      <selection pane="bottomLeft" activeCell="J16" sqref="J16"/>
    </sheetView>
  </sheetViews>
  <sheetFormatPr defaultColWidth="9.21875" defaultRowHeight="15" customHeight="1"/>
  <cols>
    <col min="1" max="3" width="10.77734375" style="623" customWidth="1"/>
    <col min="4" max="4" width="3.77734375" style="664" customWidth="1"/>
    <col min="5" max="5" width="7" style="2" customWidth="1"/>
    <col min="6" max="6" width="8.77734375" style="209" customWidth="1"/>
    <col min="7" max="7" width="11.77734375" style="2" customWidth="1"/>
    <col min="8" max="8" width="80.77734375" style="2" customWidth="1"/>
    <col min="9" max="9" width="12.77734375" style="1" customWidth="1"/>
    <col min="10" max="10" width="18.77734375" style="209" customWidth="1"/>
    <col min="11" max="11" width="3.44140625" style="472" customWidth="1"/>
    <col min="12" max="12" width="10.21875" style="472" bestFit="1" customWidth="1"/>
    <col min="13" max="13" width="12.5546875" style="472" bestFit="1" customWidth="1"/>
    <col min="14" max="14" width="18" style="472" customWidth="1"/>
    <col min="15" max="16384" width="9.21875" style="472"/>
  </cols>
  <sheetData>
    <row r="1" spans="1:12" s="623" customFormat="1" ht="15" customHeight="1">
      <c r="E1" s="626"/>
      <c r="F1" s="626"/>
      <c r="G1" s="626"/>
      <c r="H1" s="626"/>
      <c r="I1" s="626"/>
      <c r="J1" s="626"/>
    </row>
    <row r="2" spans="1:12" s="623" customFormat="1" ht="15" customHeight="1">
      <c r="E2" s="937" t="s">
        <v>2390</v>
      </c>
      <c r="F2" s="626"/>
      <c r="G2" s="626"/>
      <c r="H2" s="626"/>
      <c r="I2" s="626"/>
      <c r="J2" s="626"/>
    </row>
    <row r="3" spans="1:12" s="623" customFormat="1" ht="15" customHeight="1" thickBot="1">
      <c r="E3" s="626"/>
      <c r="F3" s="626"/>
      <c r="G3" s="626"/>
      <c r="H3" s="626"/>
      <c r="I3" s="626"/>
      <c r="J3" s="626"/>
    </row>
    <row r="4" spans="1:12" ht="15" customHeight="1" thickBot="1">
      <c r="E4" s="590" t="s">
        <v>136</v>
      </c>
      <c r="F4" s="1105" t="s">
        <v>163</v>
      </c>
      <c r="G4" s="1105"/>
      <c r="H4" s="591" t="s">
        <v>1611</v>
      </c>
      <c r="I4" s="592" t="s">
        <v>138</v>
      </c>
      <c r="J4" s="593" t="s">
        <v>1612</v>
      </c>
    </row>
    <row r="5" spans="1:12" ht="15" customHeight="1">
      <c r="E5" s="543"/>
      <c r="F5" s="210"/>
      <c r="G5" s="211"/>
      <c r="H5" s="211"/>
      <c r="I5" s="212"/>
      <c r="J5" s="544"/>
    </row>
    <row r="6" spans="1:12" s="473" customFormat="1" ht="15" customHeight="1">
      <c r="A6" s="624"/>
      <c r="B6" s="624"/>
      <c r="C6" s="624"/>
      <c r="D6" s="667"/>
      <c r="E6" s="545"/>
      <c r="F6" s="490" t="s">
        <v>1613</v>
      </c>
      <c r="G6" s="471" t="s">
        <v>159</v>
      </c>
      <c r="H6" s="471"/>
      <c r="I6" s="491"/>
      <c r="J6" s="546"/>
    </row>
    <row r="7" spans="1:12" ht="15" customHeight="1">
      <c r="E7" s="509">
        <v>1</v>
      </c>
      <c r="F7" s="213"/>
      <c r="G7" s="7" t="s">
        <v>160</v>
      </c>
      <c r="H7" s="214" t="str">
        <f t="shared" ref="H7:H22" si="0">VLOOKUP(G7,AHSP,2,FALSE)</f>
        <v>(K3) Pembuatan 1 m2 pagar sementara dari kayu tinggi 2 meter</v>
      </c>
      <c r="I7" s="215" t="s">
        <v>23</v>
      </c>
      <c r="J7" s="547">
        <f t="shared" ref="J7:J22" si="1">VLOOKUP(G7,AHSP,9,FALSE)</f>
        <v>698740</v>
      </c>
    </row>
    <row r="8" spans="1:12" ht="15" customHeight="1">
      <c r="E8" s="509">
        <f>E7+1</f>
        <v>2</v>
      </c>
      <c r="F8" s="213"/>
      <c r="G8" s="7" t="s">
        <v>199</v>
      </c>
      <c r="H8" s="214" t="str">
        <f t="shared" si="0"/>
        <v>(K3) Pembuatan 1 m2   pagar sementara dari seng gelombang tinggi 2 meter</v>
      </c>
      <c r="I8" s="215" t="s">
        <v>23</v>
      </c>
      <c r="J8" s="547">
        <f t="shared" si="1"/>
        <v>795702</v>
      </c>
      <c r="L8" s="475"/>
    </row>
    <row r="9" spans="1:12" ht="15" customHeight="1">
      <c r="E9" s="509">
        <f t="shared" ref="E9:E72" si="2">E8+1</f>
        <v>3</v>
      </c>
      <c r="F9" s="213"/>
      <c r="G9" s="7" t="s">
        <v>204</v>
      </c>
      <c r="H9" s="214" t="str">
        <f t="shared" si="0"/>
        <v>Pembuatan 1 m2   pagar sementara dari kawat duri tinggi 1,8 meter</v>
      </c>
      <c r="I9" s="215" t="s">
        <v>23</v>
      </c>
      <c r="J9" s="547">
        <f t="shared" si="1"/>
        <v>814561</v>
      </c>
      <c r="L9" s="475"/>
    </row>
    <row r="10" spans="1:12" ht="15" customHeight="1">
      <c r="E10" s="509">
        <f t="shared" si="2"/>
        <v>4</v>
      </c>
      <c r="F10" s="213"/>
      <c r="G10" s="7" t="s">
        <v>209</v>
      </c>
      <c r="H10" s="214" t="str">
        <f t="shared" si="0"/>
        <v>Pengukuran dan pemasangan 1 m’ Bouwplank</v>
      </c>
      <c r="I10" s="215" t="s">
        <v>23</v>
      </c>
      <c r="J10" s="547">
        <f t="shared" si="1"/>
        <v>92990</v>
      </c>
      <c r="L10" s="475"/>
    </row>
    <row r="11" spans="1:12" ht="15" customHeight="1">
      <c r="E11" s="509">
        <f t="shared" si="2"/>
        <v>5</v>
      </c>
      <c r="F11" s="213"/>
      <c r="G11" s="7" t="s">
        <v>214</v>
      </c>
      <c r="H11" s="214" t="str">
        <f t="shared" si="0"/>
        <v>(K3) Pembuatan 1 m2 kantor sementara lantai plesteran</v>
      </c>
      <c r="I11" s="215" t="s">
        <v>23</v>
      </c>
      <c r="J11" s="547">
        <f t="shared" si="1"/>
        <v>2574354</v>
      </c>
      <c r="L11" s="475"/>
    </row>
    <row r="12" spans="1:12" ht="15" customHeight="1">
      <c r="E12" s="509">
        <f t="shared" si="2"/>
        <v>6</v>
      </c>
      <c r="F12" s="213"/>
      <c r="G12" s="7" t="s">
        <v>227</v>
      </c>
      <c r="H12" s="214" t="str">
        <f t="shared" si="0"/>
        <v>(K3) Pembuatan 1 m2 gudang</v>
      </c>
      <c r="I12" s="215" t="s">
        <v>23</v>
      </c>
      <c r="J12" s="547">
        <f t="shared" si="1"/>
        <v>2323646</v>
      </c>
      <c r="L12" s="475"/>
    </row>
    <row r="13" spans="1:12" ht="15" customHeight="1">
      <c r="E13" s="509">
        <f t="shared" si="2"/>
        <v>7</v>
      </c>
      <c r="F13" s="213"/>
      <c r="G13" s="7" t="s">
        <v>230</v>
      </c>
      <c r="H13" s="214" t="str">
        <f t="shared" si="0"/>
        <v>(K3) Pembuatan 1 m2 rumah jaga (konstruksi kayu )</v>
      </c>
      <c r="I13" s="215" t="s">
        <v>23</v>
      </c>
      <c r="J13" s="547">
        <f t="shared" si="1"/>
        <v>2704865</v>
      </c>
      <c r="L13" s="475"/>
    </row>
    <row r="14" spans="1:12" ht="15" customHeight="1">
      <c r="E14" s="509">
        <f t="shared" si="2"/>
        <v>8</v>
      </c>
      <c r="F14" s="213"/>
      <c r="G14" s="7" t="s">
        <v>233</v>
      </c>
      <c r="H14" s="214" t="str">
        <f t="shared" si="0"/>
        <v>Pembersihan 1 m2 dan peralatan lapangan</v>
      </c>
      <c r="I14" s="215" t="s">
        <v>23</v>
      </c>
      <c r="J14" s="547">
        <f t="shared" si="1"/>
        <v>23100</v>
      </c>
      <c r="L14" s="475"/>
    </row>
    <row r="15" spans="1:12" ht="15" customHeight="1">
      <c r="E15" s="509">
        <f t="shared" si="2"/>
        <v>9</v>
      </c>
      <c r="F15" s="213"/>
      <c r="G15" s="7" t="s">
        <v>235</v>
      </c>
      <c r="H15" s="214" t="str">
        <f t="shared" si="0"/>
        <v>(K3) Pembuatan 1 m2 bedeng pekerja</v>
      </c>
      <c r="I15" s="215" t="s">
        <v>23</v>
      </c>
      <c r="J15" s="547">
        <f t="shared" si="1"/>
        <v>2251846</v>
      </c>
      <c r="L15" s="475"/>
    </row>
    <row r="16" spans="1:12" ht="15" customHeight="1">
      <c r="E16" s="509">
        <f t="shared" si="2"/>
        <v>10</v>
      </c>
      <c r="F16" s="213"/>
      <c r="G16" s="7" t="s">
        <v>237</v>
      </c>
      <c r="H16" s="214" t="str">
        <f t="shared" si="0"/>
        <v>Pembuatan 1 m2 bak adukan</v>
      </c>
      <c r="I16" s="215" t="s">
        <v>23</v>
      </c>
      <c r="J16" s="547">
        <f t="shared" si="1"/>
        <v>244258</v>
      </c>
      <c r="L16" s="475"/>
    </row>
    <row r="17" spans="1:12" ht="15" customHeight="1">
      <c r="E17" s="509">
        <f t="shared" si="2"/>
        <v>11</v>
      </c>
      <c r="F17" s="213"/>
      <c r="G17" s="7" t="s">
        <v>241</v>
      </c>
      <c r="H17" s="214" t="str">
        <f t="shared" si="0"/>
        <v>Pembuatan 1 m2 perancah dari bambu s.d. tinggi 6 meter</v>
      </c>
      <c r="I17" s="215" t="s">
        <v>23</v>
      </c>
      <c r="J17" s="547">
        <f t="shared" si="1"/>
        <v>548811</v>
      </c>
      <c r="L17" s="475"/>
    </row>
    <row r="18" spans="1:12" ht="15" customHeight="1">
      <c r="E18" s="509">
        <f t="shared" si="2"/>
        <v>12</v>
      </c>
      <c r="F18" s="213"/>
      <c r="G18" s="7" t="s">
        <v>245</v>
      </c>
      <c r="H18" s="214" t="str">
        <f t="shared" si="0"/>
        <v>Pembuatan 1 m2 jalan sementara</v>
      </c>
      <c r="I18" s="215" t="s">
        <v>23</v>
      </c>
      <c r="J18" s="547">
        <f t="shared" si="1"/>
        <v>251658</v>
      </c>
      <c r="L18" s="475"/>
    </row>
    <row r="19" spans="1:12" ht="15" customHeight="1">
      <c r="E19" s="509">
        <f t="shared" si="2"/>
        <v>13</v>
      </c>
      <c r="F19" s="213"/>
      <c r="G19" s="7" t="s">
        <v>249</v>
      </c>
      <c r="H19" s="214" t="str">
        <f t="shared" si="0"/>
        <v>Pembongkaran 1 m3 beton bertulang</v>
      </c>
      <c r="I19" s="215" t="s">
        <v>44</v>
      </c>
      <c r="J19" s="547">
        <f t="shared" si="1"/>
        <v>331644</v>
      </c>
      <c r="L19" s="475"/>
    </row>
    <row r="20" spans="1:12" ht="15" customHeight="1">
      <c r="E20" s="509">
        <f t="shared" si="2"/>
        <v>14</v>
      </c>
      <c r="F20" s="213"/>
      <c r="G20" s="7" t="s">
        <v>254</v>
      </c>
      <c r="H20" s="214" t="str">
        <f t="shared" si="0"/>
        <v>Pembongkaran 1 m3 dinding tembok bata</v>
      </c>
      <c r="I20" s="215" t="s">
        <v>44</v>
      </c>
      <c r="J20" s="547">
        <f t="shared" si="1"/>
        <v>153942</v>
      </c>
      <c r="L20" s="475"/>
    </row>
    <row r="21" spans="1:12" ht="15" customHeight="1">
      <c r="E21" s="509">
        <f t="shared" si="2"/>
        <v>15</v>
      </c>
      <c r="F21" s="213"/>
      <c r="G21" s="7" t="s">
        <v>256</v>
      </c>
      <c r="H21" s="214" t="str">
        <f t="shared" si="0"/>
        <v>Pemasangan 1 m2  pagar kawat jaring galvanis panjang 240 cm</v>
      </c>
      <c r="I21" s="215" t="s">
        <v>23</v>
      </c>
      <c r="J21" s="547">
        <f t="shared" si="1"/>
        <v>35820</v>
      </c>
      <c r="L21" s="475"/>
    </row>
    <row r="22" spans="1:12" ht="15" customHeight="1">
      <c r="E22" s="509">
        <f t="shared" si="2"/>
        <v>16</v>
      </c>
      <c r="F22" s="213"/>
      <c r="G22" s="7" t="s">
        <v>261</v>
      </c>
      <c r="H22" s="214" t="str">
        <f t="shared" si="0"/>
        <v>Pemasangan 1 m2 panel beton pracetak 50x50x240 cm</v>
      </c>
      <c r="I22" s="215" t="s">
        <v>23</v>
      </c>
      <c r="J22" s="547">
        <f t="shared" si="1"/>
        <v>626811</v>
      </c>
      <c r="L22" s="475"/>
    </row>
    <row r="23" spans="1:12" ht="15" customHeight="1">
      <c r="E23" s="509"/>
      <c r="F23" s="213"/>
      <c r="G23" s="216"/>
      <c r="H23" s="7"/>
      <c r="I23" s="217"/>
      <c r="J23" s="547"/>
      <c r="L23" s="475"/>
    </row>
    <row r="24" spans="1:12" s="473" customFormat="1" ht="15" customHeight="1">
      <c r="A24" s="624"/>
      <c r="B24" s="624"/>
      <c r="C24" s="624"/>
      <c r="D24" s="667"/>
      <c r="E24" s="548"/>
      <c r="F24" s="492" t="s">
        <v>1614</v>
      </c>
      <c r="G24" s="493" t="s">
        <v>267</v>
      </c>
      <c r="H24" s="471"/>
      <c r="I24" s="491"/>
      <c r="J24" s="546"/>
      <c r="L24" s="476"/>
    </row>
    <row r="25" spans="1:12" ht="15" customHeight="1">
      <c r="E25" s="509">
        <v>17</v>
      </c>
      <c r="F25" s="213"/>
      <c r="G25" s="7" t="s">
        <v>268</v>
      </c>
      <c r="H25" s="214" t="str">
        <f t="shared" ref="H25:H38" si="3">VLOOKUP(G25,AHSP,2,FALSE)</f>
        <v>Penggalian 1 m3 tanah biasa sedalam s.d. 1 m</v>
      </c>
      <c r="I25" s="215" t="s">
        <v>44</v>
      </c>
      <c r="J25" s="547">
        <f t="shared" ref="J25:J38" si="4">VLOOKUP(G25,AHSP,9,FALSE)</f>
        <v>107800</v>
      </c>
      <c r="L25" s="475"/>
    </row>
    <row r="26" spans="1:12" ht="15" customHeight="1">
      <c r="E26" s="509">
        <f t="shared" si="2"/>
        <v>18</v>
      </c>
      <c r="F26" s="213"/>
      <c r="G26" s="7" t="s">
        <v>270</v>
      </c>
      <c r="H26" s="214" t="str">
        <f t="shared" si="3"/>
        <v>Penggalian 1 m3 tanah biasa sedalam &gt;1 s.d. 2 m</v>
      </c>
      <c r="I26" s="215" t="s">
        <v>44</v>
      </c>
      <c r="J26" s="547">
        <f t="shared" si="4"/>
        <v>132165</v>
      </c>
      <c r="L26" s="475"/>
    </row>
    <row r="27" spans="1:12" ht="15" customHeight="1">
      <c r="E27" s="509">
        <f t="shared" si="2"/>
        <v>19</v>
      </c>
      <c r="F27" s="213"/>
      <c r="G27" s="7" t="s">
        <v>272</v>
      </c>
      <c r="H27" s="214" t="str">
        <f t="shared" si="3"/>
        <v>Penggalian 1 m3 tanah biasa sedalam &gt;2 s.d. 3 m</v>
      </c>
      <c r="I27" s="215" t="s">
        <v>44</v>
      </c>
      <c r="J27" s="547">
        <f t="shared" si="4"/>
        <v>156904</v>
      </c>
      <c r="L27" s="475"/>
    </row>
    <row r="28" spans="1:12" ht="15" customHeight="1">
      <c r="E28" s="509">
        <f t="shared" si="2"/>
        <v>20</v>
      </c>
      <c r="F28" s="213"/>
      <c r="G28" s="7" t="s">
        <v>274</v>
      </c>
      <c r="H28" s="214" t="str">
        <f t="shared" si="3"/>
        <v>Penggalian 1 m3 tanah keras sedalam s.d. 1 m</v>
      </c>
      <c r="I28" s="215" t="s">
        <v>44</v>
      </c>
      <c r="J28" s="547">
        <f t="shared" si="4"/>
        <v>143484</v>
      </c>
      <c r="L28" s="475"/>
    </row>
    <row r="29" spans="1:12" ht="15" customHeight="1">
      <c r="A29" s="1096" t="s">
        <v>2381</v>
      </c>
      <c r="B29" s="1096"/>
      <c r="C29" s="1096"/>
      <c r="E29" s="509">
        <f t="shared" si="2"/>
        <v>21</v>
      </c>
      <c r="F29" s="213"/>
      <c r="G29" s="7" t="s">
        <v>276</v>
      </c>
      <c r="H29" s="214" t="str">
        <f t="shared" si="3"/>
        <v>Penggalian 1 m3  tanah cadas sedalam s.d. 1 m</v>
      </c>
      <c r="I29" s="215" t="s">
        <v>44</v>
      </c>
      <c r="J29" s="547">
        <f t="shared" si="4"/>
        <v>217470</v>
      </c>
      <c r="L29" s="475"/>
    </row>
    <row r="30" spans="1:12" ht="15" customHeight="1">
      <c r="E30" s="509">
        <f t="shared" si="2"/>
        <v>22</v>
      </c>
      <c r="F30" s="213"/>
      <c r="G30" s="7" t="s">
        <v>278</v>
      </c>
      <c r="H30" s="214" t="str">
        <f t="shared" si="3"/>
        <v>Penggalian 1 m3 tanah lumpur sedalam s.d. 1 m</v>
      </c>
      <c r="I30" s="215" t="s">
        <v>44</v>
      </c>
      <c r="J30" s="547">
        <f t="shared" si="4"/>
        <v>173415</v>
      </c>
      <c r="L30" s="475"/>
    </row>
    <row r="31" spans="1:12" ht="15" customHeight="1">
      <c r="E31" s="509">
        <f t="shared" si="2"/>
        <v>23</v>
      </c>
      <c r="F31" s="213"/>
      <c r="G31" s="7" t="s">
        <v>280</v>
      </c>
      <c r="H31" s="214" t="str">
        <f t="shared" si="3"/>
        <v xml:space="preserve">Pengerjaan stripping 1 m2  tanah tebing setinggi s.d. 1 meter </v>
      </c>
      <c r="I31" s="215" t="s">
        <v>23</v>
      </c>
      <c r="J31" s="547">
        <f t="shared" si="4"/>
        <v>7810</v>
      </c>
      <c r="L31" s="475"/>
    </row>
    <row r="32" spans="1:12" ht="15" customHeight="1">
      <c r="E32" s="509">
        <f t="shared" si="2"/>
        <v>24</v>
      </c>
      <c r="F32" s="213"/>
      <c r="G32" s="7" t="s">
        <v>282</v>
      </c>
      <c r="H32" s="214" t="str">
        <f t="shared" si="3"/>
        <v>(K3) Pembuangan 1 m3 tanah sejauh s.d. 30 meter</v>
      </c>
      <c r="I32" s="215" t="s">
        <v>44</v>
      </c>
      <c r="J32" s="547">
        <f t="shared" si="4"/>
        <v>47245</v>
      </c>
      <c r="K32" s="477"/>
      <c r="L32" s="475"/>
    </row>
    <row r="33" spans="1:12" ht="15" customHeight="1">
      <c r="E33" s="509">
        <f t="shared" si="2"/>
        <v>25</v>
      </c>
      <c r="F33" s="213"/>
      <c r="G33" s="7" t="s">
        <v>284</v>
      </c>
      <c r="H33" s="214" t="str">
        <f t="shared" si="3"/>
        <v>Pengurugan kembali 1 m3 galian tanah Tanah Biasa Sedalam 1 M</v>
      </c>
      <c r="I33" s="215" t="s">
        <v>44</v>
      </c>
      <c r="J33" s="547">
        <f t="shared" si="4"/>
        <v>39050</v>
      </c>
      <c r="L33" s="475"/>
    </row>
    <row r="34" spans="1:12" ht="15" customHeight="1">
      <c r="E34" s="509">
        <f t="shared" si="2"/>
        <v>26</v>
      </c>
      <c r="F34" s="213"/>
      <c r="G34" s="7" t="s">
        <v>287</v>
      </c>
      <c r="H34" s="214" t="str">
        <f t="shared" si="3"/>
        <v>(K3) Pemadatan tanah 1 m3  tanah ( per 20 cm)</v>
      </c>
      <c r="I34" s="215" t="s">
        <v>44</v>
      </c>
      <c r="J34" s="547">
        <f t="shared" si="4"/>
        <v>78100</v>
      </c>
      <c r="L34" s="475"/>
    </row>
    <row r="35" spans="1:12" ht="15" customHeight="1">
      <c r="E35" s="509">
        <f t="shared" si="2"/>
        <v>27</v>
      </c>
      <c r="F35" s="213"/>
      <c r="G35" s="7" t="s">
        <v>289</v>
      </c>
      <c r="H35" s="214" t="str">
        <f t="shared" si="3"/>
        <v>Pengurugan 1 m3 dengan pasir urug</v>
      </c>
      <c r="I35" s="215" t="s">
        <v>44</v>
      </c>
      <c r="J35" s="547">
        <f t="shared" si="4"/>
        <v>440426</v>
      </c>
      <c r="L35" s="475"/>
    </row>
    <row r="36" spans="1:12" ht="15" customHeight="1">
      <c r="E36" s="509">
        <f t="shared" si="2"/>
        <v>28</v>
      </c>
      <c r="F36" s="213"/>
      <c r="G36" s="7" t="s">
        <v>293</v>
      </c>
      <c r="H36" s="214" t="str">
        <f t="shared" si="3"/>
        <v>Pemasangan 1 m3  lapisan pudel campuran 1KP:3PP:7TL</v>
      </c>
      <c r="I36" s="215" t="s">
        <v>44</v>
      </c>
      <c r="J36" s="547">
        <f t="shared" si="4"/>
        <v>418145</v>
      </c>
      <c r="L36" s="475"/>
    </row>
    <row r="37" spans="1:12" ht="15" customHeight="1">
      <c r="E37" s="509">
        <f t="shared" si="2"/>
        <v>29</v>
      </c>
      <c r="F37" s="213"/>
      <c r="G37" s="7" t="s">
        <v>298</v>
      </c>
      <c r="H37" s="214" t="str">
        <f t="shared" si="3"/>
        <v>Pemasangan 1 m2  lapisan ijuk tebal 10 cm untuk bidang resapan</v>
      </c>
      <c r="I37" s="215" t="s">
        <v>23</v>
      </c>
      <c r="J37" s="547">
        <f t="shared" si="4"/>
        <v>1617330</v>
      </c>
      <c r="L37" s="475"/>
    </row>
    <row r="38" spans="1:12" ht="15" customHeight="1">
      <c r="E38" s="509">
        <f t="shared" si="2"/>
        <v>30</v>
      </c>
      <c r="F38" s="213"/>
      <c r="G38" s="7" t="s">
        <v>301</v>
      </c>
      <c r="H38" s="214" t="str">
        <f t="shared" si="3"/>
        <v>Pengurugan 1 m3 dengan sirtu padat</v>
      </c>
      <c r="I38" s="215" t="s">
        <v>44</v>
      </c>
      <c r="J38" s="547">
        <f t="shared" si="4"/>
        <v>401852</v>
      </c>
      <c r="K38" s="477"/>
      <c r="L38" s="475"/>
    </row>
    <row r="39" spans="1:12" ht="15" customHeight="1">
      <c r="E39" s="509"/>
      <c r="F39" s="213"/>
      <c r="G39" s="7"/>
      <c r="H39" s="216"/>
      <c r="I39" s="219"/>
      <c r="J39" s="547"/>
      <c r="L39" s="475"/>
    </row>
    <row r="40" spans="1:12" s="473" customFormat="1" ht="15" customHeight="1">
      <c r="A40" s="624"/>
      <c r="B40" s="624"/>
      <c r="C40" s="624"/>
      <c r="D40" s="667"/>
      <c r="E40" s="548"/>
      <c r="F40" s="492" t="s">
        <v>1615</v>
      </c>
      <c r="G40" s="493" t="s">
        <v>305</v>
      </c>
      <c r="H40" s="471"/>
      <c r="I40" s="491"/>
      <c r="J40" s="546"/>
      <c r="L40" s="476"/>
    </row>
    <row r="41" spans="1:12" ht="15" customHeight="1">
      <c r="E41" s="509">
        <v>31</v>
      </c>
      <c r="F41" s="213"/>
      <c r="G41" s="216" t="s">
        <v>306</v>
      </c>
      <c r="H41" s="214" t="str">
        <f t="shared" ref="H41:H51" si="5">VLOOKUP(G41,AHSP,2,FALSE)</f>
        <v>Pemasangan 1 m3 pondasi batu belah campuran 1SP : 3PP</v>
      </c>
      <c r="I41" s="215" t="s">
        <v>44</v>
      </c>
      <c r="J41" s="547">
        <f t="shared" ref="J41:J51" si="6">VLOOKUP(G41,AHSP,9,FALSE)</f>
        <v>1467001</v>
      </c>
      <c r="L41" s="475"/>
    </row>
    <row r="42" spans="1:12" ht="15" customHeight="1">
      <c r="E42" s="509">
        <f t="shared" si="2"/>
        <v>32</v>
      </c>
      <c r="F42" s="213"/>
      <c r="G42" s="216" t="s">
        <v>309</v>
      </c>
      <c r="H42" s="214" t="str">
        <f t="shared" si="5"/>
        <v>Pemasangan 1 m3 pondasi batu belah campuran 1SP : 4PP</v>
      </c>
      <c r="I42" s="215" t="s">
        <v>44</v>
      </c>
      <c r="J42" s="547">
        <f t="shared" si="6"/>
        <v>1396109</v>
      </c>
      <c r="L42" s="475"/>
    </row>
    <row r="43" spans="1:12" ht="15" customHeight="1">
      <c r="E43" s="509">
        <f t="shared" si="2"/>
        <v>33</v>
      </c>
      <c r="F43" s="213"/>
      <c r="G43" s="216" t="s">
        <v>311</v>
      </c>
      <c r="H43" s="214" t="str">
        <f t="shared" si="5"/>
        <v>Pemasangan 1 m3 pondasi batu belah campuran 1SP : 5PP</v>
      </c>
      <c r="I43" s="215" t="s">
        <v>44</v>
      </c>
      <c r="J43" s="547">
        <f t="shared" si="6"/>
        <v>1346965</v>
      </c>
      <c r="L43" s="475"/>
    </row>
    <row r="44" spans="1:12" ht="15" customHeight="1">
      <c r="E44" s="509">
        <f t="shared" si="2"/>
        <v>34</v>
      </c>
      <c r="F44" s="213"/>
      <c r="G44" s="216" t="s">
        <v>313</v>
      </c>
      <c r="H44" s="214" t="str">
        <f t="shared" si="5"/>
        <v>Pemasangan 1 m3 pondasi batu belah campuran 1SP : 6PP</v>
      </c>
      <c r="I44" s="215" t="s">
        <v>44</v>
      </c>
      <c r="J44" s="547">
        <f t="shared" si="6"/>
        <v>1312414</v>
      </c>
      <c r="L44" s="475"/>
    </row>
    <row r="45" spans="1:12" ht="15" customHeight="1">
      <c r="E45" s="509">
        <f t="shared" si="2"/>
        <v>35</v>
      </c>
      <c r="F45" s="213"/>
      <c r="G45" s="216" t="s">
        <v>315</v>
      </c>
      <c r="H45" s="214" t="str">
        <f t="shared" si="5"/>
        <v>Pemasangan 1 m3 pondasi batu belah campuran 1SP : 8PP</v>
      </c>
      <c r="I45" s="215" t="s">
        <v>44</v>
      </c>
      <c r="J45" s="547">
        <f t="shared" si="6"/>
        <v>1265060</v>
      </c>
      <c r="L45" s="475"/>
    </row>
    <row r="46" spans="1:12" ht="15" customHeight="1">
      <c r="E46" s="509">
        <f t="shared" si="2"/>
        <v>36</v>
      </c>
      <c r="F46" s="213"/>
      <c r="G46" s="216" t="s">
        <v>317</v>
      </c>
      <c r="H46" s="214" t="str">
        <f t="shared" si="5"/>
        <v>Pemasangan 1 m3 pondasi batu belah campuran 1SP : 1KP : 2PP</v>
      </c>
      <c r="I46" s="215" t="s">
        <v>44</v>
      </c>
      <c r="J46" s="547">
        <f t="shared" si="6"/>
        <v>1444343</v>
      </c>
      <c r="L46" s="475"/>
    </row>
    <row r="47" spans="1:12" ht="15" customHeight="1">
      <c r="E47" s="509">
        <f t="shared" si="2"/>
        <v>37</v>
      </c>
      <c r="F47" s="213"/>
      <c r="G47" s="216" t="s">
        <v>319</v>
      </c>
      <c r="H47" s="214" t="str">
        <f t="shared" si="5"/>
        <v>Pemasangan 1 m3 pondasi batu belah campuran 1 SP : 3 KP : 10 PP</v>
      </c>
      <c r="I47" s="215" t="s">
        <v>44</v>
      </c>
      <c r="J47" s="547">
        <f t="shared" si="6"/>
        <v>1249960</v>
      </c>
      <c r="L47" s="475"/>
    </row>
    <row r="48" spans="1:12" ht="15" customHeight="1">
      <c r="E48" s="509">
        <f t="shared" si="2"/>
        <v>38</v>
      </c>
      <c r="F48" s="213"/>
      <c r="G48" s="216" t="s">
        <v>321</v>
      </c>
      <c r="H48" s="214" t="str">
        <f t="shared" si="5"/>
        <v>Pemasangan 1 m3 pondasi batu belah campuran ¼ SP : 1 KP : 4PP</v>
      </c>
      <c r="I48" s="215" t="s">
        <v>44</v>
      </c>
      <c r="J48" s="547">
        <f t="shared" si="6"/>
        <v>1209343</v>
      </c>
      <c r="L48" s="475"/>
    </row>
    <row r="49" spans="1:12" ht="15" customHeight="1">
      <c r="E49" s="509">
        <f t="shared" si="2"/>
        <v>39</v>
      </c>
      <c r="F49" s="213"/>
      <c r="G49" s="216" t="s">
        <v>323</v>
      </c>
      <c r="H49" s="214" t="str">
        <f t="shared" si="5"/>
        <v>Pemasangan 1 m3 batu kosong (anstamping)</v>
      </c>
      <c r="I49" s="215" t="s">
        <v>44</v>
      </c>
      <c r="J49" s="547">
        <f t="shared" si="6"/>
        <v>885381</v>
      </c>
      <c r="L49" s="475"/>
    </row>
    <row r="50" spans="1:12" ht="15" customHeight="1">
      <c r="E50" s="549">
        <f t="shared" si="2"/>
        <v>40</v>
      </c>
      <c r="F50" s="220"/>
      <c r="G50" s="221" t="s">
        <v>325</v>
      </c>
      <c r="H50" s="222" t="str">
        <f t="shared" si="5"/>
        <v>(K3) Pemasangan 1 m3 pondasi siklop, 60% beton campuran 1SP : 2 PB : 3 Kr dan 40% batu belah</v>
      </c>
      <c r="I50" s="215" t="s">
        <v>44</v>
      </c>
      <c r="J50" s="550">
        <f t="shared" si="6"/>
        <v>3552398</v>
      </c>
      <c r="L50" s="475"/>
    </row>
    <row r="51" spans="1:12" ht="15" customHeight="1">
      <c r="E51" s="509">
        <f t="shared" si="2"/>
        <v>41</v>
      </c>
      <c r="F51" s="213"/>
      <c r="G51" s="216" t="s">
        <v>329</v>
      </c>
      <c r="H51" s="214" t="str">
        <f t="shared" si="5"/>
        <v>Pemasangan 1 m3 pondasi sumuran, diameter 100 cm</v>
      </c>
      <c r="I51" s="215" t="s">
        <v>44</v>
      </c>
      <c r="J51" s="547">
        <f t="shared" si="6"/>
        <v>1537607</v>
      </c>
      <c r="L51" s="475"/>
    </row>
    <row r="52" spans="1:12" ht="15" customHeight="1">
      <c r="E52" s="509"/>
      <c r="F52" s="213"/>
      <c r="G52" s="7"/>
      <c r="H52" s="216"/>
      <c r="I52" s="219"/>
      <c r="J52" s="547"/>
      <c r="L52" s="475"/>
    </row>
    <row r="53" spans="1:12" s="473" customFormat="1" ht="15" customHeight="1">
      <c r="A53" s="624"/>
      <c r="B53" s="624"/>
      <c r="C53" s="624"/>
      <c r="D53" s="667"/>
      <c r="E53" s="548"/>
      <c r="F53" s="492" t="s">
        <v>331</v>
      </c>
      <c r="G53" s="493" t="s">
        <v>332</v>
      </c>
      <c r="H53" s="471"/>
      <c r="I53" s="491"/>
      <c r="J53" s="546"/>
      <c r="L53" s="476"/>
    </row>
    <row r="54" spans="1:12" ht="15" customHeight="1">
      <c r="E54" s="509">
        <v>42</v>
      </c>
      <c r="F54" s="213"/>
      <c r="G54" s="216" t="s">
        <v>333</v>
      </c>
      <c r="H54" s="214" t="str">
        <f t="shared" ref="H54:H90" si="7">VLOOKUP(G54,AHSP,2,FALSE)</f>
        <v>Membuat 1 m3 beton mutu f’c = 7,4 MPa (K 100)</v>
      </c>
      <c r="I54" s="215" t="s">
        <v>44</v>
      </c>
      <c r="J54" s="547">
        <f t="shared" ref="J54:J90" si="8">VLOOKUP(G54,AHSP,9,FALSE)</f>
        <v>1548761</v>
      </c>
      <c r="L54" s="475"/>
    </row>
    <row r="55" spans="1:12" ht="15" customHeight="1">
      <c r="E55" s="509">
        <f t="shared" si="2"/>
        <v>43</v>
      </c>
      <c r="F55" s="213"/>
      <c r="G55" s="216" t="s">
        <v>336</v>
      </c>
      <c r="H55" s="214" t="str">
        <f t="shared" si="7"/>
        <v>Membuat 1 m3 beton mutu f’= 9,8 MPa (K 125)</v>
      </c>
      <c r="I55" s="215" t="s">
        <v>44</v>
      </c>
      <c r="J55" s="547">
        <f t="shared" si="8"/>
        <v>1603814</v>
      </c>
      <c r="L55" s="475"/>
    </row>
    <row r="56" spans="1:12" ht="15" customHeight="1">
      <c r="E56" s="509">
        <f t="shared" si="2"/>
        <v>44</v>
      </c>
      <c r="F56" s="213"/>
      <c r="G56" s="216" t="s">
        <v>338</v>
      </c>
      <c r="H56" s="214" t="str">
        <f t="shared" si="7"/>
        <v>Membuat 1 m3 beton mutu f’= 12,2 MPa (K 150)</v>
      </c>
      <c r="I56" s="215" t="s">
        <v>44</v>
      </c>
      <c r="J56" s="547">
        <f t="shared" si="8"/>
        <v>1645847</v>
      </c>
      <c r="L56" s="475"/>
    </row>
    <row r="57" spans="1:12" ht="15" customHeight="1">
      <c r="E57" s="549">
        <f t="shared" si="2"/>
        <v>45</v>
      </c>
      <c r="F57" s="220"/>
      <c r="G57" s="221" t="s">
        <v>342</v>
      </c>
      <c r="H57" s="222" t="str">
        <f t="shared" si="7"/>
        <v>Membuat 1 m3 lantai kerja beton mutu f’c = 7,4 MPa (K 100), slump (3-6) cm, w/c = 0,87</v>
      </c>
      <c r="I57" s="215" t="s">
        <v>44</v>
      </c>
      <c r="J57" s="550">
        <f t="shared" si="8"/>
        <v>1452653</v>
      </c>
      <c r="L57" s="475"/>
    </row>
    <row r="58" spans="1:12" ht="15" customHeight="1">
      <c r="E58" s="549">
        <f t="shared" si="2"/>
        <v>46</v>
      </c>
      <c r="F58" s="220"/>
      <c r="G58" s="221" t="s">
        <v>344</v>
      </c>
      <c r="H58" s="222" t="str">
        <f t="shared" si="7"/>
        <v>Membuat 1 m3 beton mutu f’  = 14,5 MPa (K 175), slump (12 ±2) cm, w/c = 0,66</v>
      </c>
      <c r="I58" s="215" t="s">
        <v>44</v>
      </c>
      <c r="J58" s="550">
        <f t="shared" si="8"/>
        <v>1696825</v>
      </c>
      <c r="L58" s="475"/>
    </row>
    <row r="59" spans="1:12" ht="15" customHeight="1">
      <c r="E59" s="549">
        <f t="shared" si="2"/>
        <v>47</v>
      </c>
      <c r="F59" s="220"/>
      <c r="G59" s="221" t="s">
        <v>346</v>
      </c>
      <c r="H59" s="222" t="str">
        <f t="shared" si="7"/>
        <v>Membuat 1 m3 beton mutu f’= 16,9 MPa (K 200), slump (120 ± 20) mm, w/c = 0,61</v>
      </c>
      <c r="I59" s="215" t="s">
        <v>44</v>
      </c>
      <c r="J59" s="550">
        <f t="shared" si="8"/>
        <v>1743595</v>
      </c>
      <c r="L59" s="475"/>
    </row>
    <row r="60" spans="1:12" ht="15" customHeight="1">
      <c r="E60" s="549">
        <f t="shared" si="2"/>
        <v>48</v>
      </c>
      <c r="F60" s="220"/>
      <c r="G60" s="221" t="s">
        <v>348</v>
      </c>
      <c r="H60" s="222" t="str">
        <f t="shared" si="7"/>
        <v>Membuat 1 m3 beton mutu f’  = 19,3 MPa (K 225), slump (120 ± 20) mm, w/c = 0,58</v>
      </c>
      <c r="I60" s="215" t="s">
        <v>44</v>
      </c>
      <c r="J60" s="550">
        <f t="shared" si="8"/>
        <v>1781635</v>
      </c>
      <c r="L60" s="475"/>
    </row>
    <row r="61" spans="1:12" ht="15" customHeight="1">
      <c r="E61" s="549">
        <f t="shared" si="2"/>
        <v>49</v>
      </c>
      <c r="F61" s="220"/>
      <c r="G61" s="221" t="s">
        <v>350</v>
      </c>
      <c r="H61" s="222" t="str">
        <f t="shared" si="7"/>
        <v>Membuat 1 m3 beton mutu f’= 21,7 MPa (K 250), slump (120 ± 20) mm, w/c = 0,56</v>
      </c>
      <c r="I61" s="215" t="s">
        <v>44</v>
      </c>
      <c r="J61" s="550">
        <f t="shared" si="8"/>
        <v>1802958</v>
      </c>
      <c r="L61" s="475"/>
    </row>
    <row r="62" spans="1:12" ht="15" customHeight="1">
      <c r="E62" s="549">
        <f t="shared" si="2"/>
        <v>50</v>
      </c>
      <c r="F62" s="220"/>
      <c r="G62" s="221" t="s">
        <v>352</v>
      </c>
      <c r="H62" s="222" t="str">
        <f t="shared" si="7"/>
        <v>Membuat 1 m3 beton mutu f’ = 24,0 MPa (K 275), slump (120 ± 20) mm, w/c = 0,53</v>
      </c>
      <c r="I62" s="215" t="s">
        <v>44</v>
      </c>
      <c r="J62" s="550">
        <f t="shared" si="8"/>
        <v>1839898</v>
      </c>
      <c r="L62" s="475"/>
    </row>
    <row r="63" spans="1:12" ht="15" customHeight="1">
      <c r="E63" s="549">
        <f t="shared" si="2"/>
        <v>51</v>
      </c>
      <c r="F63" s="220"/>
      <c r="G63" s="221" t="s">
        <v>354</v>
      </c>
      <c r="H63" s="222" t="str">
        <f t="shared" si="7"/>
        <v>Membuat 1 m3 beton mutu f’c = 26,4 MPa (K 300), slump (120 ± 20) mm, w/c = 0,52</v>
      </c>
      <c r="I63" s="215" t="s">
        <v>44</v>
      </c>
      <c r="J63" s="550">
        <f t="shared" si="8"/>
        <v>1851105</v>
      </c>
      <c r="L63" s="475"/>
    </row>
    <row r="64" spans="1:12" ht="15" customHeight="1">
      <c r="E64" s="549">
        <f t="shared" si="2"/>
        <v>52</v>
      </c>
      <c r="F64" s="220"/>
      <c r="G64" s="221" t="s">
        <v>356</v>
      </c>
      <c r="H64" s="222" t="str">
        <f t="shared" si="7"/>
        <v>Membuat 1 m3 beton mutu f’c = 28,8 MPa (K 325), slump (120 ± 20) mm, w/c = 0,49</v>
      </c>
      <c r="I64" s="215" t="s">
        <v>44</v>
      </c>
      <c r="J64" s="550">
        <f t="shared" si="8"/>
        <v>1974149</v>
      </c>
      <c r="L64" s="475"/>
    </row>
    <row r="65" spans="5:12" ht="15" customHeight="1">
      <c r="E65" s="549">
        <f t="shared" si="2"/>
        <v>53</v>
      </c>
      <c r="F65" s="220"/>
      <c r="G65" s="221" t="s">
        <v>358</v>
      </c>
      <c r="H65" s="222" t="str">
        <f t="shared" si="7"/>
        <v>Membuat 1 m3 beton mutu f’c = 31,2 MPa (K 350), slump (120 ± 20) mm, w/c = 0,48</v>
      </c>
      <c r="I65" s="215" t="s">
        <v>44</v>
      </c>
      <c r="J65" s="550">
        <f t="shared" si="8"/>
        <v>1989002</v>
      </c>
      <c r="L65" s="475"/>
    </row>
    <row r="66" spans="5:12" ht="15" customHeight="1">
      <c r="E66" s="549">
        <f t="shared" si="2"/>
        <v>54</v>
      </c>
      <c r="F66" s="220"/>
      <c r="G66" s="221" t="s">
        <v>360</v>
      </c>
      <c r="H66" s="222" t="str">
        <f t="shared" si="7"/>
        <v>Untuk  pekerjaan  beton  pracetak  yang  bisa  diangkat 24 jam diperlukan penambahan bahan tambahan sesuai Tabel berikut:</v>
      </c>
      <c r="I66" s="215" t="s">
        <v>44</v>
      </c>
      <c r="J66" s="550">
        <f t="shared" si="8"/>
        <v>2268776</v>
      </c>
      <c r="L66" s="475"/>
    </row>
    <row r="67" spans="5:12" ht="15" customHeight="1">
      <c r="E67" s="509">
        <f t="shared" si="2"/>
        <v>55</v>
      </c>
      <c r="F67" s="213"/>
      <c r="G67" s="216" t="s">
        <v>363</v>
      </c>
      <c r="H67" s="214" t="str">
        <f t="shared" si="7"/>
        <v>Membuat 1 m3 beton kedap air dengan strorox - 100</v>
      </c>
      <c r="I67" s="215" t="s">
        <v>44</v>
      </c>
      <c r="J67" s="547">
        <f t="shared" si="8"/>
        <v>1982051</v>
      </c>
      <c r="L67" s="475"/>
    </row>
    <row r="68" spans="5:12" ht="15" customHeight="1">
      <c r="E68" s="509">
        <f t="shared" si="2"/>
        <v>56</v>
      </c>
      <c r="F68" s="213"/>
      <c r="G68" s="216" t="s">
        <v>366</v>
      </c>
      <c r="H68" s="214" t="str">
        <f t="shared" si="7"/>
        <v>Pemasangan 1 m’ PVC Waterstop lebar 150 mm</v>
      </c>
      <c r="I68" s="215" t="s">
        <v>33</v>
      </c>
      <c r="J68" s="547">
        <f t="shared" si="8"/>
        <v>121489</v>
      </c>
      <c r="L68" s="475"/>
    </row>
    <row r="69" spans="5:12" ht="15" customHeight="1">
      <c r="E69" s="509">
        <f t="shared" si="2"/>
        <v>57</v>
      </c>
      <c r="F69" s="213"/>
      <c r="G69" s="216" t="s">
        <v>371</v>
      </c>
      <c r="H69" s="214" t="str">
        <f t="shared" si="7"/>
        <v>Pemasangan 1 m’ PVC Waterstop lebar 200 mm</v>
      </c>
      <c r="I69" s="215" t="s">
        <v>33</v>
      </c>
      <c r="J69" s="547">
        <f t="shared" si="8"/>
        <v>125543</v>
      </c>
      <c r="L69" s="475"/>
    </row>
    <row r="70" spans="5:12" ht="15" customHeight="1">
      <c r="E70" s="509">
        <f t="shared" si="2"/>
        <v>58</v>
      </c>
      <c r="F70" s="213"/>
      <c r="G70" s="216" t="s">
        <v>374</v>
      </c>
      <c r="H70" s="214" t="str">
        <f t="shared" si="7"/>
        <v>Membuat 1 m’ PVC Waterstop lebar 230 mm - 320 mm</v>
      </c>
      <c r="I70" s="215" t="s">
        <v>33</v>
      </c>
      <c r="J70" s="547">
        <f t="shared" si="8"/>
        <v>156230</v>
      </c>
      <c r="L70" s="475"/>
    </row>
    <row r="71" spans="5:12" ht="15" customHeight="1">
      <c r="E71" s="509">
        <f t="shared" si="2"/>
        <v>59</v>
      </c>
      <c r="F71" s="213"/>
      <c r="G71" s="216" t="s">
        <v>377</v>
      </c>
      <c r="H71" s="214" t="str">
        <f t="shared" si="7"/>
        <v>Pembesian 10 kg dengan besi polos atau besi ulir</v>
      </c>
      <c r="I71" s="215" t="s">
        <v>1616</v>
      </c>
      <c r="J71" s="547">
        <f t="shared" si="8"/>
        <v>176917</v>
      </c>
      <c r="L71" s="475"/>
    </row>
    <row r="72" spans="5:12" ht="15" customHeight="1">
      <c r="E72" s="509">
        <f t="shared" si="2"/>
        <v>60</v>
      </c>
      <c r="F72" s="213"/>
      <c r="G72" s="216" t="s">
        <v>381</v>
      </c>
      <c r="H72" s="214" t="str">
        <f t="shared" si="7"/>
        <v>Pemasangan 10 kg kabel presstressed polos/strands</v>
      </c>
      <c r="I72" s="215" t="s">
        <v>1616</v>
      </c>
      <c r="J72" s="547">
        <f t="shared" si="8"/>
        <v>168818</v>
      </c>
      <c r="L72" s="475"/>
    </row>
    <row r="73" spans="5:12" ht="15" customHeight="1">
      <c r="E73" s="509">
        <f t="shared" ref="E73:E136" si="9">E72+1</f>
        <v>61</v>
      </c>
      <c r="F73" s="213"/>
      <c r="G73" s="216" t="s">
        <v>383</v>
      </c>
      <c r="H73" s="214" t="str">
        <f t="shared" si="7"/>
        <v>Pemasangan 1 kg jaring kawat baja (wiremesh) M6-M8</v>
      </c>
      <c r="I73" s="215" t="s">
        <v>38</v>
      </c>
      <c r="J73" s="547">
        <f t="shared" si="8"/>
        <v>163236</v>
      </c>
      <c r="L73" s="475"/>
    </row>
    <row r="74" spans="5:12" ht="15" customHeight="1">
      <c r="E74" s="549">
        <f t="shared" si="9"/>
        <v>62</v>
      </c>
      <c r="F74" s="220"/>
      <c r="G74" s="221" t="s">
        <v>386</v>
      </c>
      <c r="H74" s="222" t="str">
        <f t="shared" si="7"/>
        <v>(K3) Pemasangan 1 m2 bekisting untuk pondasi telapak beton bangunan gedung</v>
      </c>
      <c r="I74" s="223" t="s">
        <v>23</v>
      </c>
      <c r="J74" s="550">
        <f t="shared" si="8"/>
        <v>332015</v>
      </c>
      <c r="L74" s="475"/>
    </row>
    <row r="75" spans="5:12" ht="15" customHeight="1">
      <c r="E75" s="509">
        <f t="shared" si="9"/>
        <v>63</v>
      </c>
      <c r="F75" s="213"/>
      <c r="G75" s="216" t="s">
        <v>391</v>
      </c>
      <c r="H75" s="214" t="str">
        <f t="shared" si="7"/>
        <v>(K3) Pemasangan 1 m2 bekisting untuk sloof beton bangunan gedung</v>
      </c>
      <c r="I75" s="223" t="s">
        <v>23</v>
      </c>
      <c r="J75" s="547">
        <f t="shared" si="8"/>
        <v>356765</v>
      </c>
      <c r="L75" s="475"/>
    </row>
    <row r="76" spans="5:12" ht="15" customHeight="1">
      <c r="E76" s="509">
        <f t="shared" si="9"/>
        <v>64</v>
      </c>
      <c r="F76" s="213"/>
      <c r="G76" s="216" t="s">
        <v>393</v>
      </c>
      <c r="H76" s="214" t="str">
        <f t="shared" si="7"/>
        <v>(K3) Pemasangan 1 m2 bekisting untuk kolom beton bangunan gedung</v>
      </c>
      <c r="I76" s="223" t="s">
        <v>23</v>
      </c>
      <c r="J76" s="547">
        <f t="shared" si="8"/>
        <v>562765</v>
      </c>
      <c r="L76" s="475"/>
    </row>
    <row r="77" spans="5:12" ht="15" customHeight="1">
      <c r="E77" s="509">
        <f t="shared" si="9"/>
        <v>65</v>
      </c>
      <c r="F77" s="213"/>
      <c r="G77" s="216" t="s">
        <v>398</v>
      </c>
      <c r="H77" s="214" t="str">
        <f t="shared" si="7"/>
        <v>(K3) Pemasangan 1 m2 bekisting untuk balok beton bangunan gedung</v>
      </c>
      <c r="I77" s="223" t="s">
        <v>23</v>
      </c>
      <c r="J77" s="547">
        <f t="shared" si="8"/>
        <v>577318</v>
      </c>
      <c r="L77" s="475"/>
    </row>
    <row r="78" spans="5:12" ht="15" customHeight="1">
      <c r="E78" s="509">
        <f t="shared" si="9"/>
        <v>66</v>
      </c>
      <c r="F78" s="213"/>
      <c r="G78" s="216" t="s">
        <v>400</v>
      </c>
      <c r="H78" s="214" t="str">
        <f t="shared" si="7"/>
        <v>(K3) Pemasangan 1 m2 bekisting untuk plat lantai beton bangunan gedung</v>
      </c>
      <c r="I78" s="223" t="s">
        <v>23</v>
      </c>
      <c r="J78" s="547">
        <f t="shared" si="8"/>
        <v>700265</v>
      </c>
      <c r="L78" s="475"/>
    </row>
    <row r="79" spans="5:12" ht="15" customHeight="1">
      <c r="E79" s="509">
        <f t="shared" si="9"/>
        <v>67</v>
      </c>
      <c r="F79" s="213"/>
      <c r="G79" s="216" t="s">
        <v>402</v>
      </c>
      <c r="H79" s="214" t="str">
        <f t="shared" si="7"/>
        <v>(K3) Pemasangan 1 m2 bekisting untuk dinding sheerwall</v>
      </c>
      <c r="I79" s="223" t="s">
        <v>23</v>
      </c>
      <c r="J79" s="547">
        <f t="shared" si="8"/>
        <v>681895</v>
      </c>
      <c r="L79" s="475"/>
    </row>
    <row r="80" spans="5:12" ht="15" customHeight="1">
      <c r="E80" s="509">
        <f t="shared" si="9"/>
        <v>68</v>
      </c>
      <c r="F80" s="213"/>
      <c r="G80" s="216" t="s">
        <v>406</v>
      </c>
      <c r="H80" s="214" t="str">
        <f t="shared" si="7"/>
        <v>(K3) Pemasangan 1 m2 bekisting untuk tangga</v>
      </c>
      <c r="I80" s="223" t="s">
        <v>23</v>
      </c>
      <c r="J80" s="547">
        <f t="shared" si="8"/>
        <v>512863</v>
      </c>
      <c r="L80" s="475"/>
    </row>
    <row r="81" spans="1:12" ht="15" customHeight="1">
      <c r="E81" s="509">
        <f t="shared" si="9"/>
        <v>69</v>
      </c>
      <c r="F81" s="213"/>
      <c r="G81" s="216" t="s">
        <v>408</v>
      </c>
      <c r="H81" s="214" t="str">
        <f t="shared" si="7"/>
        <v>Pemasangan 1 m2 jembatan untuk pengecoran beton</v>
      </c>
      <c r="I81" s="215" t="s">
        <v>23</v>
      </c>
      <c r="J81" s="547">
        <f t="shared" si="8"/>
        <v>197606</v>
      </c>
      <c r="L81" s="475"/>
    </row>
    <row r="82" spans="1:12" ht="15" customHeight="1">
      <c r="E82" s="509">
        <f t="shared" si="9"/>
        <v>70</v>
      </c>
      <c r="F82" s="213"/>
      <c r="G82" s="216" t="s">
        <v>411</v>
      </c>
      <c r="H82" s="214" t="str">
        <f t="shared" si="7"/>
        <v>Membuat 1 m3 pondasi beton bertulang (150 kg besi + bekisting)</v>
      </c>
      <c r="I82" s="215" t="s">
        <v>44</v>
      </c>
      <c r="J82" s="547">
        <f t="shared" si="8"/>
        <v>6041556</v>
      </c>
      <c r="L82" s="475"/>
    </row>
    <row r="83" spans="1:12" ht="15" customHeight="1">
      <c r="E83" s="509">
        <f t="shared" si="9"/>
        <v>71</v>
      </c>
      <c r="F83" s="213"/>
      <c r="G83" s="216" t="s">
        <v>416</v>
      </c>
      <c r="H83" s="214" t="str">
        <f t="shared" si="7"/>
        <v>Membuat 1 m3 sloof beton bertulang (200 kg besi + bekisting)</v>
      </c>
      <c r="I83" s="215" t="s">
        <v>44</v>
      </c>
      <c r="J83" s="547">
        <f t="shared" si="8"/>
        <v>7336880</v>
      </c>
      <c r="L83" s="475"/>
    </row>
    <row r="84" spans="1:12" ht="15" customHeight="1">
      <c r="E84" s="509">
        <f t="shared" si="9"/>
        <v>72</v>
      </c>
      <c r="F84" s="213"/>
      <c r="G84" s="216" t="s">
        <v>418</v>
      </c>
      <c r="H84" s="214" t="str">
        <f t="shared" si="7"/>
        <v>Membuat 1 m3 kolom beton bertulang (300 kg besi + bekisting)</v>
      </c>
      <c r="I84" s="215" t="s">
        <v>44</v>
      </c>
      <c r="J84" s="547">
        <f t="shared" si="8"/>
        <v>12055620</v>
      </c>
      <c r="L84" s="475"/>
    </row>
    <row r="85" spans="1:12" ht="15" customHeight="1">
      <c r="E85" s="509">
        <f t="shared" si="9"/>
        <v>73</v>
      </c>
      <c r="F85" s="213"/>
      <c r="G85" s="216" t="s">
        <v>421</v>
      </c>
      <c r="H85" s="214" t="str">
        <f t="shared" si="7"/>
        <v>Membuat 1 m3 balok beton bertulang (200 kg besi + bekisting)</v>
      </c>
      <c r="I85" s="215" t="s">
        <v>44</v>
      </c>
      <c r="J85" s="547">
        <f t="shared" si="8"/>
        <v>9561601</v>
      </c>
      <c r="L85" s="475"/>
    </row>
    <row r="86" spans="1:12" ht="15" customHeight="1">
      <c r="E86" s="509">
        <f t="shared" si="9"/>
        <v>74</v>
      </c>
      <c r="F86" s="213"/>
      <c r="G86" s="216" t="s">
        <v>424</v>
      </c>
      <c r="H86" s="214" t="str">
        <f t="shared" si="7"/>
        <v>Membuat 1 m3 kolom beton bertulang (150 kg besi + bekisting)</v>
      </c>
      <c r="I86" s="215" t="s">
        <v>44</v>
      </c>
      <c r="J86" s="547">
        <f t="shared" si="8"/>
        <v>8939854</v>
      </c>
      <c r="L86" s="475"/>
    </row>
    <row r="87" spans="1:12" ht="15" customHeight="1">
      <c r="E87" s="509">
        <f t="shared" si="9"/>
        <v>75</v>
      </c>
      <c r="F87" s="213"/>
      <c r="G87" s="216" t="s">
        <v>426</v>
      </c>
      <c r="H87" s="214" t="str">
        <f t="shared" si="7"/>
        <v>Membuat 1 m3 dinding beton bertulang (150 kg besi + bekisting)</v>
      </c>
      <c r="I87" s="215" t="s">
        <v>44</v>
      </c>
      <c r="J87" s="547">
        <f t="shared" si="8"/>
        <v>7854434</v>
      </c>
      <c r="L87" s="475"/>
    </row>
    <row r="88" spans="1:12" ht="15" customHeight="1">
      <c r="E88" s="509">
        <f t="shared" si="9"/>
        <v>76</v>
      </c>
      <c r="F88" s="213"/>
      <c r="G88" s="216" t="s">
        <v>428</v>
      </c>
      <c r="H88" s="214" t="str">
        <f t="shared" si="7"/>
        <v>Membuat 1 m3 dinding beton bertulang (200 kg besi + bekisting)</v>
      </c>
      <c r="I88" s="215" t="s">
        <v>44</v>
      </c>
      <c r="J88" s="547">
        <f t="shared" si="8"/>
        <v>8761221</v>
      </c>
      <c r="L88" s="475"/>
    </row>
    <row r="89" spans="1:12" ht="15" customHeight="1">
      <c r="E89" s="509">
        <f t="shared" si="9"/>
        <v>77</v>
      </c>
      <c r="F89" s="213"/>
      <c r="G89" s="216" t="s">
        <v>430</v>
      </c>
      <c r="H89" s="214" t="str">
        <f t="shared" si="7"/>
        <v>Membuat 1 m’  kolom praktis beton bertulang (11 x 11) cm</v>
      </c>
      <c r="I89" s="215" t="s">
        <v>33</v>
      </c>
      <c r="J89" s="547">
        <f t="shared" si="8"/>
        <v>129930</v>
      </c>
      <c r="L89" s="475"/>
    </row>
    <row r="90" spans="1:12" ht="15" customHeight="1">
      <c r="E90" s="509">
        <f t="shared" si="9"/>
        <v>78</v>
      </c>
      <c r="F90" s="213"/>
      <c r="G90" s="216" t="s">
        <v>432</v>
      </c>
      <c r="H90" s="214" t="str">
        <f t="shared" si="7"/>
        <v>Membuat 1 m’ ring balok beton bertulang (10 x 15) cm</v>
      </c>
      <c r="I90" s="215" t="s">
        <v>33</v>
      </c>
      <c r="J90" s="547">
        <f t="shared" si="8"/>
        <v>164308</v>
      </c>
      <c r="L90" s="475"/>
    </row>
    <row r="91" spans="1:12" ht="15" customHeight="1">
      <c r="E91" s="509"/>
      <c r="F91" s="213"/>
      <c r="G91" s="7"/>
      <c r="H91" s="216"/>
      <c r="I91" s="219"/>
      <c r="J91" s="547"/>
      <c r="L91" s="475"/>
    </row>
    <row r="92" spans="1:12" s="473" customFormat="1" ht="15" customHeight="1">
      <c r="A92" s="624"/>
      <c r="B92" s="624"/>
      <c r="C92" s="624"/>
      <c r="D92" s="667"/>
      <c r="E92" s="548"/>
      <c r="F92" s="492" t="s">
        <v>434</v>
      </c>
      <c r="G92" s="493" t="s">
        <v>435</v>
      </c>
      <c r="H92" s="471"/>
      <c r="I92" s="491"/>
      <c r="J92" s="546"/>
      <c r="L92" s="476"/>
    </row>
    <row r="93" spans="1:12" ht="15" customHeight="1">
      <c r="E93" s="549">
        <f>E90+1</f>
        <v>79</v>
      </c>
      <c r="F93" s="220"/>
      <c r="G93" s="221" t="s">
        <v>436</v>
      </c>
      <c r="H93" s="222" t="str">
        <f t="shared" ref="H93:H116" si="10">VLOOKUP(G93,AHSP,2,FALSE)</f>
        <v>(K3) Pembuatan 1 m2 lahan produksi tebal 8cm beton f’c 14,5 Mpa (K 175) slump (120 ± 20) mm</v>
      </c>
      <c r="I93" s="223" t="s">
        <v>23</v>
      </c>
      <c r="J93" s="550">
        <f t="shared" ref="J93:J116" si="11">VLOOKUP(G93,AHSP,9,FALSE)</f>
        <v>135769</v>
      </c>
      <c r="L93" s="475"/>
    </row>
    <row r="94" spans="1:12" ht="15" customHeight="1">
      <c r="E94" s="549">
        <f t="shared" si="9"/>
        <v>80</v>
      </c>
      <c r="F94" s="220"/>
      <c r="G94" s="224" t="s">
        <v>439</v>
      </c>
      <c r="H94" s="222" t="str">
        <f t="shared" si="10"/>
        <v>(K3) Pembuatan 1 m2 lahan produksi tebal 10 cm beton f’c 14,5 Mpa (K 175) slump (120 ± 20) mm</v>
      </c>
      <c r="I94" s="223" t="s">
        <v>23</v>
      </c>
      <c r="J94" s="550">
        <f t="shared" si="11"/>
        <v>169745</v>
      </c>
      <c r="L94" s="475"/>
    </row>
    <row r="95" spans="1:12" ht="15" customHeight="1">
      <c r="E95" s="549">
        <f t="shared" si="9"/>
        <v>81</v>
      </c>
      <c r="F95" s="220"/>
      <c r="G95" s="221" t="s">
        <v>441</v>
      </c>
      <c r="H95" s="222" t="str">
        <f t="shared" si="10"/>
        <v>(K3) Pembuatan 1 m2  lahan produksi tebal 12 cm beton f’c 14,5 Mpa (K 175) slump (120 ± 20) mm</v>
      </c>
      <c r="I95" s="223" t="s">
        <v>23</v>
      </c>
      <c r="J95" s="550">
        <f t="shared" si="11"/>
        <v>189085</v>
      </c>
      <c r="L95" s="475"/>
    </row>
    <row r="96" spans="1:12" ht="15" customHeight="1">
      <c r="E96" s="549">
        <f t="shared" si="9"/>
        <v>82</v>
      </c>
      <c r="F96" s="220"/>
      <c r="G96" s="224" t="s">
        <v>443</v>
      </c>
      <c r="H96" s="222" t="str">
        <f t="shared" si="10"/>
        <v>(K3) Pembuatan 1 m2  lahan produksi tebal 15 cm beton f’c 14,5 Mpa (K 175) slump (120 ± 20) mm</v>
      </c>
      <c r="I96" s="223" t="s">
        <v>23</v>
      </c>
      <c r="J96" s="550">
        <f t="shared" si="11"/>
        <v>254617</v>
      </c>
      <c r="L96" s="475"/>
    </row>
    <row r="97" spans="1:14" ht="15" customHeight="1">
      <c r="E97" s="509">
        <f t="shared" si="9"/>
        <v>83</v>
      </c>
      <c r="F97" s="213"/>
      <c r="G97" s="216" t="s">
        <v>445</v>
      </c>
      <c r="H97" s="214" t="str">
        <f t="shared" si="10"/>
        <v>Pembuatan 1 m2  bekisting untuk plat beton pracetak ( 5 kali pakai)</v>
      </c>
      <c r="I97" s="223" t="s">
        <v>23</v>
      </c>
      <c r="J97" s="547">
        <f t="shared" si="11"/>
        <v>582125</v>
      </c>
      <c r="L97" s="475"/>
    </row>
    <row r="98" spans="1:14" ht="15" customHeight="1">
      <c r="E98" s="509">
        <f t="shared" si="9"/>
        <v>84</v>
      </c>
      <c r="F98" s="213"/>
      <c r="G98" s="7" t="s">
        <v>452</v>
      </c>
      <c r="H98" s="214" t="str">
        <f t="shared" si="10"/>
        <v>Pembuatan 1 m2  bekisting untuk balok beton pracetak ( 10-12 kali pakai)</v>
      </c>
      <c r="I98" s="223" t="s">
        <v>23</v>
      </c>
      <c r="J98" s="547">
        <f t="shared" si="11"/>
        <v>54993</v>
      </c>
      <c r="L98" s="475"/>
    </row>
    <row r="99" spans="1:14" ht="15" customHeight="1">
      <c r="E99" s="509">
        <f t="shared" si="9"/>
        <v>85</v>
      </c>
      <c r="F99" s="213"/>
      <c r="G99" s="216" t="s">
        <v>454</v>
      </c>
      <c r="H99" s="214" t="str">
        <f t="shared" si="10"/>
        <v>Pembuatan 1 m2  bekisting untuk kolom beton pracetak (10-12 kali pakai)</v>
      </c>
      <c r="I99" s="223" t="s">
        <v>23</v>
      </c>
      <c r="J99" s="547">
        <f t="shared" si="11"/>
        <v>52999</v>
      </c>
      <c r="L99" s="475"/>
    </row>
    <row r="100" spans="1:14" ht="15" customHeight="1">
      <c r="E100" s="509">
        <f t="shared" si="9"/>
        <v>86</v>
      </c>
      <c r="F100" s="213"/>
      <c r="G100" s="7" t="s">
        <v>456</v>
      </c>
      <c r="H100" s="214" t="str">
        <f t="shared" si="10"/>
        <v>Pemasangan dan membuka bekisting 1 buah komponen plat beton pracetak</v>
      </c>
      <c r="I100" s="215" t="s">
        <v>36</v>
      </c>
      <c r="J100" s="547">
        <f t="shared" si="11"/>
        <v>11192</v>
      </c>
      <c r="L100" s="475"/>
    </row>
    <row r="101" spans="1:14" ht="15" customHeight="1">
      <c r="E101" s="549">
        <f t="shared" si="9"/>
        <v>87</v>
      </c>
      <c r="F101" s="220"/>
      <c r="G101" s="221" t="s">
        <v>458</v>
      </c>
      <c r="H101" s="222" t="str">
        <f t="shared" si="10"/>
        <v>Pemasangan dan membuka bekisting 1 buah komponen balok beton pracetak</v>
      </c>
      <c r="I101" s="215" t="s">
        <v>36</v>
      </c>
      <c r="J101" s="550">
        <f t="shared" si="11"/>
        <v>18122</v>
      </c>
      <c r="L101" s="475"/>
    </row>
    <row r="102" spans="1:14" ht="15" customHeight="1">
      <c r="E102" s="549">
        <f t="shared" si="9"/>
        <v>88</v>
      </c>
      <c r="F102" s="220"/>
      <c r="G102" s="224" t="s">
        <v>460</v>
      </c>
      <c r="H102" s="222" t="str">
        <f t="shared" si="10"/>
        <v>Pemasangan dan membuka bekisting 1 buah komponen Kolom beton pracetak</v>
      </c>
      <c r="I102" s="215" t="s">
        <v>36</v>
      </c>
      <c r="J102" s="550">
        <f t="shared" si="11"/>
        <v>14657</v>
      </c>
      <c r="L102" s="475"/>
    </row>
    <row r="103" spans="1:14" ht="15" customHeight="1">
      <c r="E103" s="509">
        <f t="shared" si="9"/>
        <v>89</v>
      </c>
      <c r="F103" s="213"/>
      <c r="G103" s="216" t="s">
        <v>462</v>
      </c>
      <c r="H103" s="214" t="str">
        <f t="shared" si="10"/>
        <v>Penuangan/menebar beton 1 m3 untuk pelat beton pracetak</v>
      </c>
      <c r="I103" s="215" t="s">
        <v>44</v>
      </c>
      <c r="J103" s="547">
        <f t="shared" si="11"/>
        <v>90002</v>
      </c>
      <c r="L103" s="475"/>
    </row>
    <row r="104" spans="1:14" ht="15" customHeight="1">
      <c r="E104" s="509">
        <f t="shared" si="9"/>
        <v>90</v>
      </c>
      <c r="F104" s="213"/>
      <c r="G104" s="7" t="s">
        <v>466</v>
      </c>
      <c r="H104" s="214" t="str">
        <f t="shared" si="10"/>
        <v>Penuangan/menebar beton 1 m3 untuk balok beton pracetak</v>
      </c>
      <c r="I104" s="215" t="s">
        <v>44</v>
      </c>
      <c r="J104" s="547">
        <f t="shared" si="11"/>
        <v>92554</v>
      </c>
      <c r="L104" s="475"/>
    </row>
    <row r="105" spans="1:14" ht="15" customHeight="1">
      <c r="E105" s="509">
        <f t="shared" si="9"/>
        <v>91</v>
      </c>
      <c r="F105" s="213"/>
      <c r="G105" s="216" t="s">
        <v>468</v>
      </c>
      <c r="H105" s="214" t="str">
        <f t="shared" si="10"/>
        <v>Penuangan/menebar beton untuk 1 m3 untuk kolom beton pracetak</v>
      </c>
      <c r="I105" s="215" t="s">
        <v>44</v>
      </c>
      <c r="J105" s="547">
        <f t="shared" si="11"/>
        <v>83303</v>
      </c>
      <c r="L105" s="475"/>
    </row>
    <row r="106" spans="1:14" s="474" customFormat="1" ht="15" customHeight="1">
      <c r="A106" s="625"/>
      <c r="B106" s="625"/>
      <c r="C106" s="625"/>
      <c r="D106" s="668"/>
      <c r="E106" s="549">
        <f t="shared" si="9"/>
        <v>92</v>
      </c>
      <c r="F106" s="220"/>
      <c r="G106" s="224" t="s">
        <v>470</v>
      </c>
      <c r="H106" s="222" t="str">
        <f t="shared" si="10"/>
        <v>Pemasangan 1 buah komponen pelat beton pracetak beserta indexks kenaikan lantai ereksi pelat hingga 24 lantai</v>
      </c>
      <c r="I106" s="223" t="s">
        <v>36</v>
      </c>
      <c r="J106" s="550">
        <f t="shared" si="11"/>
        <v>134334</v>
      </c>
      <c r="L106" s="478"/>
      <c r="M106" s="479"/>
      <c r="N106" s="480"/>
    </row>
    <row r="107" spans="1:14" s="474" customFormat="1" ht="15" customHeight="1">
      <c r="A107" s="625"/>
      <c r="B107" s="625"/>
      <c r="C107" s="625"/>
      <c r="D107" s="668"/>
      <c r="E107" s="549">
        <f t="shared" si="9"/>
        <v>93</v>
      </c>
      <c r="F107" s="220"/>
      <c r="G107" s="221" t="s">
        <v>483</v>
      </c>
      <c r="H107" s="222" t="str">
        <f t="shared" si="10"/>
        <v>Pemasangan 1 buah komponen balok beton pracetak beserta indexks kenaikan lantai ereksi pelat hingga 24 lantai</v>
      </c>
      <c r="I107" s="223" t="s">
        <v>36</v>
      </c>
      <c r="J107" s="550">
        <f t="shared" si="11"/>
        <v>706136</v>
      </c>
      <c r="L107" s="478"/>
      <c r="M107" s="479"/>
      <c r="N107" s="480"/>
    </row>
    <row r="108" spans="1:14" s="474" customFormat="1" ht="15" customHeight="1">
      <c r="A108" s="625"/>
      <c r="B108" s="625"/>
      <c r="C108" s="625"/>
      <c r="D108" s="668"/>
      <c r="E108" s="549">
        <f t="shared" si="9"/>
        <v>94</v>
      </c>
      <c r="F108" s="220"/>
      <c r="G108" s="224" t="s">
        <v>487</v>
      </c>
      <c r="H108" s="222" t="str">
        <f t="shared" si="10"/>
        <v>Pemasangan 1 buah komponen kolom beton pracetak beserta indexks kenaikan lantai ereksi pelat hingga 24 lantai</v>
      </c>
      <c r="I108" s="223" t="s">
        <v>36</v>
      </c>
      <c r="J108" s="550">
        <f t="shared" si="11"/>
        <v>1267350</v>
      </c>
      <c r="L108" s="478"/>
      <c r="M108" s="479"/>
      <c r="N108" s="480"/>
    </row>
    <row r="109" spans="1:14" ht="15" customHeight="1">
      <c r="E109" s="509">
        <f t="shared" si="9"/>
        <v>95</v>
      </c>
      <c r="F109" s="213"/>
      <c r="G109" s="216" t="s">
        <v>491</v>
      </c>
      <c r="H109" s="214" t="str">
        <f t="shared" si="10"/>
        <v>Pemindahan 1 buah komponen untuk pelat beton pracetak ( ± 20 m)</v>
      </c>
      <c r="I109" s="223" t="s">
        <v>36</v>
      </c>
      <c r="J109" s="547">
        <f t="shared" si="11"/>
        <v>69614</v>
      </c>
      <c r="L109" s="475"/>
    </row>
    <row r="110" spans="1:14" ht="15" customHeight="1">
      <c r="E110" s="509">
        <f t="shared" si="9"/>
        <v>96</v>
      </c>
      <c r="F110" s="213"/>
      <c r="G110" s="7" t="s">
        <v>497</v>
      </c>
      <c r="H110" s="214" t="str">
        <f t="shared" si="10"/>
        <v>Pemindahan 1 buah komponen untuk balok beton pracetak ( ± 20 m)</v>
      </c>
      <c r="I110" s="223" t="s">
        <v>36</v>
      </c>
      <c r="J110" s="547">
        <f t="shared" si="11"/>
        <v>69614</v>
      </c>
      <c r="L110" s="475"/>
    </row>
    <row r="111" spans="1:14" ht="15" customHeight="1">
      <c r="E111" s="509">
        <f t="shared" si="9"/>
        <v>97</v>
      </c>
      <c r="F111" s="213"/>
      <c r="G111" s="216" t="s">
        <v>499</v>
      </c>
      <c r="H111" s="214" t="str">
        <f t="shared" si="10"/>
        <v>Pemindahan 1 buah komponen untuk kolom beton pracetak ( ± 20 m)</v>
      </c>
      <c r="I111" s="223" t="s">
        <v>36</v>
      </c>
      <c r="J111" s="547">
        <f t="shared" si="11"/>
        <v>69614</v>
      </c>
      <c r="L111" s="475"/>
    </row>
    <row r="112" spans="1:14" ht="15" customHeight="1">
      <c r="E112" s="509">
        <f t="shared" si="9"/>
        <v>98</v>
      </c>
      <c r="F112" s="213"/>
      <c r="G112" s="7" t="s">
        <v>501</v>
      </c>
      <c r="H112" s="214" t="str">
        <f t="shared" si="10"/>
        <v>Bahan 1 m3 grouting campuran</v>
      </c>
      <c r="I112" s="215" t="s">
        <v>44</v>
      </c>
      <c r="J112" s="547">
        <f t="shared" si="11"/>
        <v>4744025</v>
      </c>
      <c r="L112" s="475"/>
    </row>
    <row r="113" spans="1:12" ht="15" customHeight="1">
      <c r="E113" s="509">
        <f t="shared" si="9"/>
        <v>99</v>
      </c>
      <c r="F113" s="213"/>
      <c r="G113" s="216" t="s">
        <v>505</v>
      </c>
      <c r="H113" s="214" t="str">
        <f t="shared" si="10"/>
        <v>Bahan 1 m3 grouting tidak campuran</v>
      </c>
      <c r="I113" s="215" t="s">
        <v>44</v>
      </c>
      <c r="J113" s="547">
        <f t="shared" si="11"/>
        <v>3940200</v>
      </c>
      <c r="L113" s="475"/>
    </row>
    <row r="114" spans="1:12" ht="15" customHeight="1">
      <c r="E114" s="509">
        <f t="shared" si="9"/>
        <v>100</v>
      </c>
      <c r="F114" s="213"/>
      <c r="G114" s="7" t="s">
        <v>507</v>
      </c>
      <c r="H114" s="214" t="str">
        <f t="shared" si="10"/>
        <v>Upah 1 titik pekerjaan grout paa joint beton pracetak</v>
      </c>
      <c r="I114" s="215" t="s">
        <v>1617</v>
      </c>
      <c r="J114" s="547">
        <f t="shared" si="11"/>
        <v>80905</v>
      </c>
      <c r="L114" s="475"/>
    </row>
    <row r="115" spans="1:12" ht="15" customHeight="1">
      <c r="E115" s="509">
        <f t="shared" si="9"/>
        <v>101</v>
      </c>
      <c r="F115" s="213"/>
      <c r="G115" s="216" t="s">
        <v>509</v>
      </c>
      <c r="H115" s="214" t="str">
        <f t="shared" si="10"/>
        <v>Pemasangan 1 titik bekisting joint pracetak</v>
      </c>
      <c r="I115" s="215" t="s">
        <v>1617</v>
      </c>
      <c r="J115" s="547">
        <f t="shared" si="11"/>
        <v>127967</v>
      </c>
      <c r="L115" s="475"/>
    </row>
    <row r="116" spans="1:12" ht="15" customHeight="1">
      <c r="E116" s="509">
        <f t="shared" si="9"/>
        <v>102</v>
      </c>
      <c r="F116" s="213"/>
      <c r="G116" s="7" t="s">
        <v>511</v>
      </c>
      <c r="H116" s="214" t="str">
        <f t="shared" si="10"/>
        <v>Upah  1 titik Join dengan Sling</v>
      </c>
      <c r="I116" s="215" t="s">
        <v>1617</v>
      </c>
      <c r="J116" s="547">
        <f t="shared" si="11"/>
        <v>104907</v>
      </c>
      <c r="L116" s="475"/>
    </row>
    <row r="117" spans="1:12" ht="15" customHeight="1">
      <c r="E117" s="509"/>
      <c r="F117" s="213"/>
      <c r="G117" s="216"/>
      <c r="H117" s="216"/>
      <c r="I117" s="219"/>
      <c r="J117" s="547"/>
      <c r="L117" s="475"/>
    </row>
    <row r="118" spans="1:12" s="473" customFormat="1" ht="15" customHeight="1">
      <c r="A118" s="624"/>
      <c r="B118" s="624"/>
      <c r="C118" s="624"/>
      <c r="D118" s="667"/>
      <c r="E118" s="548"/>
      <c r="F118" s="492" t="s">
        <v>513</v>
      </c>
      <c r="G118" s="493" t="s">
        <v>514</v>
      </c>
      <c r="H118" s="471"/>
      <c r="I118" s="491"/>
      <c r="J118" s="546"/>
      <c r="L118" s="476"/>
    </row>
    <row r="119" spans="1:12" ht="15" customHeight="1">
      <c r="E119" s="509">
        <f>E116+1</f>
        <v>103</v>
      </c>
      <c r="F119" s="213"/>
      <c r="G119" s="216" t="s">
        <v>515</v>
      </c>
      <c r="H119" s="214" t="str">
        <f t="shared" ref="H119:H143" si="12">VLOOKUP(G119,AHSP,2,FALSE)</f>
        <v>Pemasangan 1 kg besi profil</v>
      </c>
      <c r="I119" s="215" t="s">
        <v>38</v>
      </c>
      <c r="J119" s="547">
        <f t="shared" ref="J119:J143" si="13">VLOOKUP(G119,AHSP,9,FALSE)</f>
        <v>44277</v>
      </c>
      <c r="L119" s="475"/>
    </row>
    <row r="120" spans="1:12" ht="15" customHeight="1">
      <c r="E120" s="509">
        <f t="shared" si="9"/>
        <v>104</v>
      </c>
      <c r="F120" s="213"/>
      <c r="G120" s="216" t="s">
        <v>520</v>
      </c>
      <c r="H120" s="214" t="str">
        <f t="shared" si="12"/>
        <v>Pemasangan 1 kg rangka kuda-kuda baja IWF</v>
      </c>
      <c r="I120" s="215" t="s">
        <v>38</v>
      </c>
      <c r="J120" s="547">
        <f t="shared" si="13"/>
        <v>32133</v>
      </c>
      <c r="L120" s="475"/>
    </row>
    <row r="121" spans="1:12" ht="15" customHeight="1">
      <c r="E121" s="509">
        <f t="shared" si="9"/>
        <v>105</v>
      </c>
      <c r="F121" s="213"/>
      <c r="G121" s="216" t="s">
        <v>523</v>
      </c>
      <c r="H121" s="214" t="str">
        <f t="shared" si="12"/>
        <v>Pengerjaan 100 kg pekerjaan perakitan</v>
      </c>
      <c r="I121" s="215" t="s">
        <v>38</v>
      </c>
      <c r="J121" s="547">
        <f t="shared" si="13"/>
        <v>44324</v>
      </c>
      <c r="L121" s="475"/>
    </row>
    <row r="122" spans="1:12" ht="15" customHeight="1">
      <c r="E122" s="509">
        <f t="shared" si="9"/>
        <v>106</v>
      </c>
      <c r="F122" s="213"/>
      <c r="G122" s="216" t="s">
        <v>530</v>
      </c>
      <c r="H122" s="214" t="str">
        <f t="shared" si="12"/>
        <v>Pembuatan 1 m2 pintu besi plat baja tebal 2 mm rangkap, rangka baja siku</v>
      </c>
      <c r="I122" s="215" t="s">
        <v>23</v>
      </c>
      <c r="J122" s="547">
        <f t="shared" si="13"/>
        <v>1051403</v>
      </c>
      <c r="L122" s="475"/>
    </row>
    <row r="123" spans="1:12" ht="15" customHeight="1">
      <c r="E123" s="509">
        <f t="shared" si="9"/>
        <v>107</v>
      </c>
      <c r="F123" s="213"/>
      <c r="G123" s="216" t="s">
        <v>537</v>
      </c>
      <c r="H123" s="214" t="str">
        <f t="shared" si="12"/>
        <v>Pengerjaan 10 cm pengelasan dengan las listrik</v>
      </c>
      <c r="I123" s="215" t="s">
        <v>1618</v>
      </c>
      <c r="J123" s="547">
        <f t="shared" si="13"/>
        <v>65766</v>
      </c>
      <c r="L123" s="475"/>
    </row>
    <row r="124" spans="1:12" ht="15" customHeight="1">
      <c r="E124" s="509">
        <f t="shared" si="9"/>
        <v>108</v>
      </c>
      <c r="F124" s="213"/>
      <c r="G124" s="216" t="s">
        <v>541</v>
      </c>
      <c r="H124" s="214" t="str">
        <f t="shared" si="12"/>
        <v>Pembuatan 1 m2 rangka jendela besi scuare tube (25 x 5) cm</v>
      </c>
      <c r="I124" s="215" t="s">
        <v>23</v>
      </c>
      <c r="J124" s="547">
        <f t="shared" si="13"/>
        <v>1976831</v>
      </c>
      <c r="L124" s="475"/>
    </row>
    <row r="125" spans="1:12" ht="15" customHeight="1">
      <c r="E125" s="509">
        <f t="shared" si="9"/>
        <v>109</v>
      </c>
      <c r="F125" s="213"/>
      <c r="G125" s="216" t="s">
        <v>547</v>
      </c>
      <c r="H125" s="214" t="str">
        <f t="shared" si="12"/>
        <v>Pemasangan 1 m2 pintu rolling door besi</v>
      </c>
      <c r="I125" s="215" t="s">
        <v>23</v>
      </c>
      <c r="J125" s="547">
        <f t="shared" si="13"/>
        <v>1130052</v>
      </c>
      <c r="L125" s="475"/>
    </row>
    <row r="126" spans="1:12" ht="15" customHeight="1">
      <c r="E126" s="509">
        <f t="shared" si="9"/>
        <v>110</v>
      </c>
      <c r="F126" s="213"/>
      <c r="G126" s="216" t="s">
        <v>550</v>
      </c>
      <c r="H126" s="214" t="str">
        <f t="shared" si="12"/>
        <v>Pemasangan 1 m2 pintu lipat (folding door) bahan plastik/PVC</v>
      </c>
      <c r="I126" s="215" t="s">
        <v>23</v>
      </c>
      <c r="J126" s="547">
        <f t="shared" si="13"/>
        <v>838200</v>
      </c>
      <c r="L126" s="475"/>
    </row>
    <row r="127" spans="1:12" ht="15" customHeight="1">
      <c r="E127" s="509">
        <f t="shared" si="9"/>
        <v>111</v>
      </c>
      <c r="F127" s="213"/>
      <c r="G127" s="216" t="s">
        <v>553</v>
      </c>
      <c r="H127" s="214" t="str">
        <f t="shared" si="12"/>
        <v>Pemasangan 1 m2 sunscreen alluminium</v>
      </c>
      <c r="I127" s="215" t="s">
        <v>23</v>
      </c>
      <c r="J127" s="547">
        <f t="shared" si="13"/>
        <v>480018</v>
      </c>
      <c r="L127" s="475"/>
    </row>
    <row r="128" spans="1:12" ht="15" customHeight="1">
      <c r="E128" s="509">
        <f t="shared" si="9"/>
        <v>112</v>
      </c>
      <c r="F128" s="213"/>
      <c r="G128" s="216" t="s">
        <v>556</v>
      </c>
      <c r="H128" s="214" t="str">
        <f t="shared" si="12"/>
        <v>Pemasangan 1 m2 rolling door alluminium</v>
      </c>
      <c r="I128" s="215" t="s">
        <v>23</v>
      </c>
      <c r="J128" s="547">
        <f t="shared" si="13"/>
        <v>999240</v>
      </c>
      <c r="L128" s="475"/>
    </row>
    <row r="129" spans="1:14" ht="15" customHeight="1">
      <c r="E129" s="509">
        <f t="shared" si="9"/>
        <v>113</v>
      </c>
      <c r="F129" s="213"/>
      <c r="G129" s="216" t="s">
        <v>561</v>
      </c>
      <c r="H129" s="214" t="str">
        <f t="shared" si="12"/>
        <v>Pemasangan 1 m kusen pintu alluminium</v>
      </c>
      <c r="I129" s="215" t="s">
        <v>23</v>
      </c>
      <c r="J129" s="547">
        <f t="shared" si="13"/>
        <v>41790</v>
      </c>
      <c r="L129" s="475"/>
    </row>
    <row r="130" spans="1:14" ht="15" customHeight="1">
      <c r="E130" s="509">
        <f t="shared" si="9"/>
        <v>114</v>
      </c>
      <c r="F130" s="213"/>
      <c r="G130" s="216" t="s">
        <v>567</v>
      </c>
      <c r="H130" s="214" t="str">
        <f t="shared" si="12"/>
        <v>Pemasangan 1 m2   pintu alluminium strip lebar 8 cm</v>
      </c>
      <c r="I130" s="215" t="s">
        <v>23</v>
      </c>
      <c r="J130" s="547">
        <f t="shared" si="13"/>
        <v>589456</v>
      </c>
      <c r="L130" s="475"/>
    </row>
    <row r="131" spans="1:14" ht="15" customHeight="1">
      <c r="E131" s="509">
        <f t="shared" si="9"/>
        <v>115</v>
      </c>
      <c r="F131" s="213"/>
      <c r="G131" s="216" t="s">
        <v>570</v>
      </c>
      <c r="H131" s="214" t="str">
        <f t="shared" si="12"/>
        <v>Pemasangan 1 m2   pintu kaca rangka alluminium</v>
      </c>
      <c r="I131" s="215" t="s">
        <v>23</v>
      </c>
      <c r="J131" s="547">
        <f t="shared" si="13"/>
        <v>1746426</v>
      </c>
      <c r="L131" s="475"/>
    </row>
    <row r="132" spans="1:14" ht="15" customHeight="1">
      <c r="E132" s="509">
        <f t="shared" si="9"/>
        <v>116</v>
      </c>
      <c r="F132" s="213"/>
      <c r="G132" s="216" t="s">
        <v>574</v>
      </c>
      <c r="H132" s="214" t="str">
        <f t="shared" si="12"/>
        <v>Pemasangan 1 m2   venetions blinds dan Vertical blinds</v>
      </c>
      <c r="I132" s="215" t="s">
        <v>23</v>
      </c>
      <c r="J132" s="547">
        <f t="shared" si="13"/>
        <v>220368</v>
      </c>
      <c r="L132" s="475"/>
    </row>
    <row r="133" spans="1:14" ht="15" customHeight="1">
      <c r="E133" s="509">
        <f t="shared" si="9"/>
        <v>117</v>
      </c>
      <c r="F133" s="213"/>
      <c r="G133" s="216" t="s">
        <v>577</v>
      </c>
      <c r="H133" s="214" t="str">
        <f t="shared" si="12"/>
        <v>Pemasangan 1 m2   terali besi strip (2 x 3) mm</v>
      </c>
      <c r="I133" s="215" t="s">
        <v>23</v>
      </c>
      <c r="J133" s="547">
        <f t="shared" si="13"/>
        <v>2416905</v>
      </c>
      <c r="L133" s="475"/>
    </row>
    <row r="134" spans="1:14" ht="15" customHeight="1">
      <c r="E134" s="509">
        <f t="shared" si="9"/>
        <v>118</v>
      </c>
      <c r="F134" s="213"/>
      <c r="G134" s="216" t="s">
        <v>579</v>
      </c>
      <c r="H134" s="214" t="str">
        <f t="shared" si="12"/>
        <v>Pemasangan 1 m2   kawat nyamuk</v>
      </c>
      <c r="I134" s="215" t="s">
        <v>23</v>
      </c>
      <c r="J134" s="547">
        <f t="shared" si="13"/>
        <v>807692</v>
      </c>
      <c r="L134" s="475"/>
    </row>
    <row r="135" spans="1:14" ht="15" customHeight="1">
      <c r="E135" s="509">
        <f t="shared" si="9"/>
        <v>119</v>
      </c>
      <c r="F135" s="213"/>
      <c r="G135" s="216" t="s">
        <v>583</v>
      </c>
      <c r="H135" s="214" t="str">
        <f t="shared" si="12"/>
        <v>Pemasangan 1 m2   jendela nako &amp; tralis</v>
      </c>
      <c r="I135" s="215" t="s">
        <v>23</v>
      </c>
      <c r="J135" s="547">
        <f t="shared" si="13"/>
        <v>247670</v>
      </c>
      <c r="L135" s="475"/>
    </row>
    <row r="136" spans="1:14" ht="15" customHeight="1">
      <c r="E136" s="509">
        <f t="shared" si="9"/>
        <v>120</v>
      </c>
      <c r="F136" s="213"/>
      <c r="G136" s="216" t="s">
        <v>587</v>
      </c>
      <c r="H136" s="214" t="str">
        <f t="shared" si="12"/>
        <v>Pemasangan 1 m’ talang datar/ jurai seng bjls 28 lebar 90 cm</v>
      </c>
      <c r="I136" s="215" t="s">
        <v>33</v>
      </c>
      <c r="J136" s="547">
        <f t="shared" si="13"/>
        <v>192868</v>
      </c>
      <c r="L136" s="475"/>
    </row>
    <row r="137" spans="1:14" s="474" customFormat="1" ht="15" customHeight="1">
      <c r="A137" s="625"/>
      <c r="B137" s="625"/>
      <c r="C137" s="625"/>
      <c r="D137" s="668"/>
      <c r="E137" s="551">
        <f t="shared" ref="E137:E200" si="14">E136+1</f>
        <v>121</v>
      </c>
      <c r="F137" s="225"/>
      <c r="G137" s="226" t="s">
        <v>590</v>
      </c>
      <c r="H137" s="227" t="str">
        <f t="shared" si="12"/>
        <v>Pemasangan 1 m  talang ½ lingkaran  D-15 cm, seng plat bjls 30 lebar 45 cm</v>
      </c>
      <c r="I137" s="223" t="s">
        <v>33</v>
      </c>
      <c r="J137" s="552">
        <f t="shared" si="13"/>
        <v>122363</v>
      </c>
      <c r="L137" s="478"/>
    </row>
    <row r="138" spans="1:14" s="474" customFormat="1" ht="15" customHeight="1">
      <c r="A138" s="625"/>
      <c r="B138" s="625"/>
      <c r="C138" s="625"/>
      <c r="D138" s="668"/>
      <c r="E138" s="549">
        <f t="shared" si="14"/>
        <v>122</v>
      </c>
      <c r="F138" s="220"/>
      <c r="G138" s="221" t="s">
        <v>592</v>
      </c>
      <c r="H138" s="222" t="str">
        <f t="shared" si="12"/>
        <v>Pemasangan 1 m2 rangka besi hollow 1x40.40.2mm, modul 60 x 120 cm, dinding partisi</v>
      </c>
      <c r="I138" s="215" t="s">
        <v>23</v>
      </c>
      <c r="J138" s="550">
        <f t="shared" si="13"/>
        <v>358968</v>
      </c>
      <c r="L138" s="478"/>
    </row>
    <row r="139" spans="1:14" s="474" customFormat="1" ht="15" customHeight="1">
      <c r="A139" s="625"/>
      <c r="B139" s="625"/>
      <c r="C139" s="625"/>
      <c r="D139" s="668"/>
      <c r="E139" s="549">
        <f t="shared" si="14"/>
        <v>123</v>
      </c>
      <c r="F139" s="220"/>
      <c r="G139" s="221" t="s">
        <v>598</v>
      </c>
      <c r="H139" s="222" t="str">
        <f t="shared" si="12"/>
        <v>Pemasangan 1 m2  rangka besi hollow 1x40.40.2mm, modul 60 x 60 cm, plafon</v>
      </c>
      <c r="I139" s="215" t="s">
        <v>23</v>
      </c>
      <c r="J139" s="550">
        <f t="shared" si="13"/>
        <v>423593</v>
      </c>
      <c r="L139" s="478"/>
    </row>
    <row r="140" spans="1:14" s="474" customFormat="1" ht="15" customHeight="1">
      <c r="A140" s="625"/>
      <c r="B140" s="625"/>
      <c r="C140" s="625"/>
      <c r="D140" s="668"/>
      <c r="E140" s="549">
        <f t="shared" si="14"/>
        <v>124</v>
      </c>
      <c r="F140" s="220"/>
      <c r="G140" s="221" t="s">
        <v>600</v>
      </c>
      <c r="H140" s="222" t="str">
        <f t="shared" si="12"/>
        <v xml:space="preserve">(K3) Pemasangan 1 m2  atap pelana rangka atap baja canai dingin profil C75 </v>
      </c>
      <c r="I140" s="215" t="s">
        <v>23</v>
      </c>
      <c r="J140" s="550">
        <f t="shared" si="13"/>
        <v>434689</v>
      </c>
      <c r="L140" s="478"/>
    </row>
    <row r="141" spans="1:14" s="474" customFormat="1" ht="15" customHeight="1">
      <c r="A141" s="625"/>
      <c r="B141" s="625"/>
      <c r="C141" s="625"/>
      <c r="D141" s="668"/>
      <c r="E141" s="549">
        <f t="shared" si="14"/>
        <v>125</v>
      </c>
      <c r="F141" s="220"/>
      <c r="G141" s="221" t="s">
        <v>604</v>
      </c>
      <c r="H141" s="222" t="str">
        <f t="shared" si="12"/>
        <v xml:space="preserve">(K3) Pemasangan 1 m2  atap jurai rangka atap baja canai dingin profil C75 </v>
      </c>
      <c r="I141" s="215" t="s">
        <v>23</v>
      </c>
      <c r="J141" s="550">
        <f t="shared" si="13"/>
        <v>417619</v>
      </c>
      <c r="L141" s="478"/>
    </row>
    <row r="142" spans="1:14" s="474" customFormat="1" ht="15" customHeight="1">
      <c r="A142" s="625"/>
      <c r="B142" s="625"/>
      <c r="C142" s="625"/>
      <c r="D142" s="668"/>
      <c r="E142" s="549">
        <f t="shared" si="14"/>
        <v>126</v>
      </c>
      <c r="F142" s="220"/>
      <c r="G142" s="221" t="s">
        <v>606</v>
      </c>
      <c r="H142" s="222" t="str">
        <f t="shared" si="12"/>
        <v>Pemasangan 1 M2 pasang kuda-kuda baja ringan serta reng untuk atap genteng biasa/metal</v>
      </c>
      <c r="I142" s="215" t="s">
        <v>23</v>
      </c>
      <c r="J142" s="550">
        <f t="shared" si="13"/>
        <v>396201</v>
      </c>
      <c r="L142" s="478"/>
      <c r="M142" s="479"/>
      <c r="N142" s="480"/>
    </row>
    <row r="143" spans="1:14" ht="15" customHeight="1">
      <c r="E143" s="509">
        <f t="shared" si="14"/>
        <v>127</v>
      </c>
      <c r="F143" s="213"/>
      <c r="G143" s="216" t="s">
        <v>611</v>
      </c>
      <c r="H143" s="214" t="str">
        <f t="shared" si="12"/>
        <v>Pemasangan 1 m2 venetians blinds dan vertical blinds</v>
      </c>
      <c r="I143" s="215" t="s">
        <v>23</v>
      </c>
      <c r="J143" s="547">
        <f t="shared" si="13"/>
        <v>220368</v>
      </c>
      <c r="L143" s="475"/>
    </row>
    <row r="144" spans="1:14" ht="15" customHeight="1">
      <c r="E144" s="509"/>
      <c r="F144" s="213"/>
      <c r="G144" s="7"/>
      <c r="H144" s="216"/>
      <c r="I144" s="219"/>
      <c r="J144" s="547"/>
      <c r="L144" s="475"/>
    </row>
    <row r="145" spans="1:12" s="473" customFormat="1" ht="15" customHeight="1">
      <c r="A145" s="624"/>
      <c r="B145" s="624"/>
      <c r="C145" s="624"/>
      <c r="D145" s="667"/>
      <c r="E145" s="548"/>
      <c r="F145" s="492" t="s">
        <v>615</v>
      </c>
      <c r="G145" s="493" t="s">
        <v>616</v>
      </c>
      <c r="H145" s="471"/>
      <c r="I145" s="491"/>
      <c r="J145" s="546"/>
      <c r="L145" s="476"/>
    </row>
    <row r="146" spans="1:12" s="474" customFormat="1" ht="15" customHeight="1">
      <c r="A146" s="625"/>
      <c r="B146" s="625"/>
      <c r="C146" s="625"/>
      <c r="D146" s="668"/>
      <c r="E146" s="549">
        <f>E143+1</f>
        <v>128</v>
      </c>
      <c r="F146" s="220"/>
      <c r="G146" s="221" t="s">
        <v>617</v>
      </c>
      <c r="H146" s="222" t="str">
        <f t="shared" ref="H146:H171" si="15">VLOOKUP(G146,AHSP,2,FALSE)</f>
        <v>Pemasangan 1m2 dinding bata merah (5x11x22) cm tebal 1 batu dengan mortar tipe m, fc' 17,2 Mpa (setara campuran  1 SP : 2 PP)</v>
      </c>
      <c r="I146" s="215" t="s">
        <v>23</v>
      </c>
      <c r="J146" s="550">
        <f t="shared" ref="J146:J171" si="16">VLOOKUP(G146,AHSP,9,FALSE)</f>
        <v>397166</v>
      </c>
      <c r="L146" s="478"/>
    </row>
    <row r="147" spans="1:12" s="474" customFormat="1" ht="15" customHeight="1">
      <c r="A147" s="625"/>
      <c r="B147" s="625"/>
      <c r="C147" s="625"/>
      <c r="D147" s="668"/>
      <c r="E147" s="549">
        <f t="shared" si="14"/>
        <v>129</v>
      </c>
      <c r="F147" s="220"/>
      <c r="G147" s="221" t="s">
        <v>619</v>
      </c>
      <c r="H147" s="222" t="str">
        <f t="shared" si="15"/>
        <v>Pemasangan 1m2 dinding bata merah (5x11x22) cm tebal 1 batu dengan mortar tipe s, fc' 12,5 Mpa (setara campuran  1 SP : 3 PP)</v>
      </c>
      <c r="I147" s="215" t="s">
        <v>23</v>
      </c>
      <c r="J147" s="550">
        <f t="shared" si="16"/>
        <v>378416</v>
      </c>
      <c r="L147" s="478"/>
    </row>
    <row r="148" spans="1:12" s="474" customFormat="1" ht="15" customHeight="1">
      <c r="A148" s="625"/>
      <c r="B148" s="625"/>
      <c r="C148" s="625"/>
      <c r="D148" s="668"/>
      <c r="E148" s="549">
        <f t="shared" si="14"/>
        <v>130</v>
      </c>
      <c r="F148" s="220"/>
      <c r="G148" s="221" t="s">
        <v>621</v>
      </c>
      <c r="H148" s="222" t="str">
        <f t="shared" si="15"/>
        <v>Pemasangan 1m2 dinding bata merah (5x11x22) cm tebal 1 batu dengan mortar tipe n, fc' 5,2 Mpa (setara campuran  1 SP : 4 PP)</v>
      </c>
      <c r="I148" s="215" t="s">
        <v>23</v>
      </c>
      <c r="J148" s="550">
        <f t="shared" si="16"/>
        <v>365739</v>
      </c>
      <c r="L148" s="478"/>
    </row>
    <row r="149" spans="1:12" s="474" customFormat="1" ht="15" customHeight="1">
      <c r="A149" s="625"/>
      <c r="B149" s="625"/>
      <c r="C149" s="625"/>
      <c r="D149" s="668"/>
      <c r="E149" s="549">
        <f t="shared" si="14"/>
        <v>131</v>
      </c>
      <c r="F149" s="220"/>
      <c r="G149" s="221" t="s">
        <v>623</v>
      </c>
      <c r="H149" s="222" t="str">
        <f t="shared" si="15"/>
        <v>Pemasangan 1m2 dinding bata merah (5x11x22) cm tebal 1 batu dengan mortar tipe o, fc' 2,4 Mpa (setara campuran  1 SP : 5 PP)</v>
      </c>
      <c r="I149" s="215" t="s">
        <v>23</v>
      </c>
      <c r="J149" s="550">
        <f t="shared" si="16"/>
        <v>359253</v>
      </c>
      <c r="L149" s="478"/>
    </row>
    <row r="150" spans="1:12" s="474" customFormat="1" ht="15" customHeight="1">
      <c r="A150" s="625"/>
      <c r="B150" s="625"/>
      <c r="C150" s="625"/>
      <c r="D150" s="668"/>
      <c r="E150" s="549">
        <f t="shared" si="14"/>
        <v>132</v>
      </c>
      <c r="F150" s="220"/>
      <c r="G150" s="221" t="s">
        <v>625</v>
      </c>
      <c r="H150" s="222" t="str">
        <f t="shared" si="15"/>
        <v>Pemasangan 1m2 dinding bata merah (5x11x22) cm tebal 1 batu  campuran  1 SP : 6 PP</v>
      </c>
      <c r="I150" s="215" t="s">
        <v>23</v>
      </c>
      <c r="J150" s="550">
        <f t="shared" si="16"/>
        <v>357179</v>
      </c>
      <c r="L150" s="478"/>
    </row>
    <row r="151" spans="1:12" s="474" customFormat="1" ht="15" customHeight="1">
      <c r="A151" s="625"/>
      <c r="B151" s="625"/>
      <c r="C151" s="625"/>
      <c r="D151" s="668"/>
      <c r="E151" s="549">
        <f t="shared" si="14"/>
        <v>133</v>
      </c>
      <c r="F151" s="220"/>
      <c r="G151" s="221" t="s">
        <v>627</v>
      </c>
      <c r="H151" s="222" t="str">
        <f t="shared" si="15"/>
        <v>Pemasangan 1m2  dinding bata merah (5x11x22) cm tebal 1 batu campuran 1SP : 3KP : 10PP</v>
      </c>
      <c r="I151" s="215" t="s">
        <v>23</v>
      </c>
      <c r="J151" s="550">
        <f t="shared" si="16"/>
        <v>345120</v>
      </c>
      <c r="L151" s="478"/>
    </row>
    <row r="152" spans="1:12" s="474" customFormat="1" ht="15" customHeight="1">
      <c r="A152" s="625"/>
      <c r="B152" s="625"/>
      <c r="C152" s="625"/>
      <c r="D152" s="668"/>
      <c r="E152" s="549">
        <f t="shared" si="14"/>
        <v>134</v>
      </c>
      <c r="F152" s="220"/>
      <c r="G152" s="221" t="s">
        <v>629</v>
      </c>
      <c r="H152" s="222" t="str">
        <f t="shared" si="15"/>
        <v>Pemasangan 1m2 Dinding Bata Merah (5x11x22) cm Tebal ½ Batu dengan Mortar tipe m,fc’ 17,2 Mpa ( Setara Campuran 1SP : 2PP)</v>
      </c>
      <c r="I152" s="215" t="s">
        <v>23</v>
      </c>
      <c r="J152" s="550">
        <f t="shared" si="16"/>
        <v>192235</v>
      </c>
      <c r="L152" s="478"/>
    </row>
    <row r="153" spans="1:12" s="474" customFormat="1" ht="15" customHeight="1">
      <c r="A153" s="625"/>
      <c r="B153" s="625"/>
      <c r="C153" s="625"/>
      <c r="D153" s="668"/>
      <c r="E153" s="549">
        <f t="shared" si="14"/>
        <v>135</v>
      </c>
      <c r="F153" s="220"/>
      <c r="G153" s="221" t="s">
        <v>631</v>
      </c>
      <c r="H153" s="222" t="str">
        <f t="shared" si="15"/>
        <v>Pemasangan 1m2 Dinding Bata Merah (5x11x22) cm Tebal ½ Batu dengan Mortar tipe s,fc’ 12,5 Mpa (setara campuran  1 SP : 3 PP)</v>
      </c>
      <c r="I153" s="215" t="s">
        <v>23</v>
      </c>
      <c r="J153" s="550">
        <f t="shared" si="16"/>
        <v>183321</v>
      </c>
      <c r="L153" s="478"/>
    </row>
    <row r="154" spans="1:12" s="474" customFormat="1" ht="15" customHeight="1">
      <c r="A154" s="625"/>
      <c r="B154" s="625"/>
      <c r="C154" s="625"/>
      <c r="D154" s="668"/>
      <c r="E154" s="549">
        <f t="shared" si="14"/>
        <v>136</v>
      </c>
      <c r="F154" s="220"/>
      <c r="G154" s="221" t="s">
        <v>633</v>
      </c>
      <c r="H154" s="222" t="str">
        <f t="shared" si="15"/>
        <v>Pemasangan 1m2 Dinding Bata Merah (5x11x22) cm Tebal ½ Batu dengan Mortar tipe n,fc’ 5,2 Mpa (setara campuran  1 SP : 4 PP)</v>
      </c>
      <c r="I154" s="215" t="s">
        <v>23</v>
      </c>
      <c r="J154" s="550">
        <f t="shared" si="16"/>
        <v>178223</v>
      </c>
      <c r="L154" s="478"/>
    </row>
    <row r="155" spans="1:12" s="474" customFormat="1" ht="15" customHeight="1">
      <c r="A155" s="625"/>
      <c r="B155" s="625"/>
      <c r="C155" s="625"/>
      <c r="D155" s="668"/>
      <c r="E155" s="549">
        <f t="shared" si="14"/>
        <v>137</v>
      </c>
      <c r="F155" s="220"/>
      <c r="G155" s="221" t="s">
        <v>635</v>
      </c>
      <c r="H155" s="222" t="str">
        <f t="shared" si="15"/>
        <v>Pemasangan 1m2 Dinding Bata Merah (5x11x22) cm Tebal ½ Batu dengan Mortar tipe o,fc’ fc' 2,4 Mpa (setara campuran  1 SP : 5 PP)</v>
      </c>
      <c r="I155" s="215" t="s">
        <v>23</v>
      </c>
      <c r="J155" s="550">
        <f t="shared" si="16"/>
        <v>175016</v>
      </c>
      <c r="L155" s="478"/>
    </row>
    <row r="156" spans="1:12" s="474" customFormat="1" ht="15" customHeight="1">
      <c r="A156" s="625"/>
      <c r="B156" s="625"/>
      <c r="C156" s="625"/>
      <c r="D156" s="668"/>
      <c r="E156" s="549">
        <f t="shared" si="14"/>
        <v>138</v>
      </c>
      <c r="F156" s="220"/>
      <c r="G156" s="221" t="s">
        <v>637</v>
      </c>
      <c r="H156" s="222" t="str">
        <f t="shared" si="15"/>
        <v>Pemasangan 1m2 Dinding Bata Merah (5x11x22) cm Tebal ½ Batu campuran 1 SP : 6PP</v>
      </c>
      <c r="I156" s="215" t="s">
        <v>23</v>
      </c>
      <c r="J156" s="550">
        <f t="shared" si="16"/>
        <v>173319</v>
      </c>
      <c r="L156" s="478"/>
    </row>
    <row r="157" spans="1:12" s="474" customFormat="1" ht="15" customHeight="1">
      <c r="A157" s="625"/>
      <c r="B157" s="625"/>
      <c r="C157" s="625"/>
      <c r="D157" s="668"/>
      <c r="E157" s="549">
        <f t="shared" si="14"/>
        <v>139</v>
      </c>
      <c r="F157" s="220"/>
      <c r="G157" s="221" t="s">
        <v>639</v>
      </c>
      <c r="H157" s="222" t="str">
        <f t="shared" si="15"/>
        <v>Pemasangan 1m2 dinding bata merah (5x11x22)cm tebal ½ batu campuran  1SP : 8 PP</v>
      </c>
      <c r="I157" s="215" t="s">
        <v>23</v>
      </c>
      <c r="J157" s="550">
        <f t="shared" si="16"/>
        <v>169835</v>
      </c>
      <c r="L157" s="478"/>
    </row>
    <row r="158" spans="1:12" s="474" customFormat="1" ht="15" customHeight="1">
      <c r="A158" s="625"/>
      <c r="B158" s="625"/>
      <c r="C158" s="625"/>
      <c r="D158" s="668"/>
      <c r="E158" s="549">
        <f t="shared" si="14"/>
        <v>140</v>
      </c>
      <c r="F158" s="220"/>
      <c r="G158" s="221" t="s">
        <v>641</v>
      </c>
      <c r="H158" s="222" t="str">
        <f t="shared" si="15"/>
        <v>Pemasangan 1m2  dinding bata merah (5x11x22)cm tebal ½ batu campuran 1SP : 3KP :10PP</v>
      </c>
      <c r="I158" s="215" t="s">
        <v>23</v>
      </c>
      <c r="J158" s="550">
        <f t="shared" si="16"/>
        <v>173106</v>
      </c>
      <c r="L158" s="478"/>
    </row>
    <row r="159" spans="1:12" s="474" customFormat="1" ht="15" customHeight="1">
      <c r="A159" s="625"/>
      <c r="B159" s="625"/>
      <c r="C159" s="625"/>
      <c r="D159" s="668"/>
      <c r="E159" s="549">
        <f t="shared" si="14"/>
        <v>141</v>
      </c>
      <c r="F159" s="220"/>
      <c r="G159" s="221" t="s">
        <v>643</v>
      </c>
      <c r="H159" s="222" t="str">
        <f t="shared" si="15"/>
        <v>Pemasangan 1m2 dinding bata merah (5x11x22)cm tebal ½ batu campuran 1SM : 1KP :1PP</v>
      </c>
      <c r="I159" s="215" t="s">
        <v>23</v>
      </c>
      <c r="J159" s="550">
        <f t="shared" si="16"/>
        <v>156407</v>
      </c>
      <c r="L159" s="478"/>
    </row>
    <row r="160" spans="1:12" s="474" customFormat="1" ht="15" customHeight="1">
      <c r="A160" s="625"/>
      <c r="B160" s="625"/>
      <c r="C160" s="625"/>
      <c r="D160" s="668"/>
      <c r="E160" s="549">
        <f t="shared" si="14"/>
        <v>142</v>
      </c>
      <c r="F160" s="220"/>
      <c r="G160" s="221" t="s">
        <v>646</v>
      </c>
      <c r="H160" s="222" t="str">
        <f t="shared" si="15"/>
        <v>Pemasangan 1m2 dinding bata merah (5x11x22) cm tebal ½ batu campuran  1SM : 1KP :2PP</v>
      </c>
      <c r="I160" s="215" t="s">
        <v>23</v>
      </c>
      <c r="J160" s="550">
        <f t="shared" si="16"/>
        <v>157209</v>
      </c>
      <c r="L160" s="478"/>
    </row>
    <row r="161" spans="1:14" s="474" customFormat="1" ht="15" customHeight="1">
      <c r="A161" s="625"/>
      <c r="B161" s="625"/>
      <c r="C161" s="625"/>
      <c r="D161" s="668"/>
      <c r="E161" s="549">
        <f t="shared" si="14"/>
        <v>143</v>
      </c>
      <c r="F161" s="220"/>
      <c r="G161" s="221" t="s">
        <v>648</v>
      </c>
      <c r="H161" s="222" t="str">
        <f t="shared" si="15"/>
        <v>Pemasangan 1m2 dinding conblock HB20 dengan mortar tipe s, fc' 12,5 Mpa (setara campuran  1SP  : 3PP)</v>
      </c>
      <c r="I161" s="215" t="s">
        <v>23</v>
      </c>
      <c r="J161" s="550">
        <f t="shared" si="16"/>
        <v>515979</v>
      </c>
      <c r="L161" s="478"/>
    </row>
    <row r="162" spans="1:14" s="474" customFormat="1" ht="15" customHeight="1">
      <c r="A162" s="625"/>
      <c r="B162" s="625"/>
      <c r="C162" s="625"/>
      <c r="D162" s="668"/>
      <c r="E162" s="549">
        <f t="shared" si="14"/>
        <v>144</v>
      </c>
      <c r="F162" s="220"/>
      <c r="G162" s="221" t="s">
        <v>652</v>
      </c>
      <c r="H162" s="222" t="str">
        <f t="shared" si="15"/>
        <v>Pemasangan 1m2 dinding conblock HB20 dengan mortar tipe n, fc' 5,2 Mpa (setara campuran  1SP  : 4PP)</v>
      </c>
      <c r="I162" s="215" t="s">
        <v>23</v>
      </c>
      <c r="J162" s="550">
        <f t="shared" si="16"/>
        <v>515716</v>
      </c>
      <c r="L162" s="478"/>
    </row>
    <row r="163" spans="1:14" s="474" customFormat="1" ht="15" customHeight="1">
      <c r="A163" s="625"/>
      <c r="B163" s="625"/>
      <c r="C163" s="625"/>
      <c r="D163" s="668"/>
      <c r="E163" s="549">
        <f t="shared" si="14"/>
        <v>145</v>
      </c>
      <c r="F163" s="220"/>
      <c r="G163" s="221" t="s">
        <v>654</v>
      </c>
      <c r="H163" s="222" t="str">
        <f t="shared" si="15"/>
        <v>Pemasangan 1m2 dinding conblock HB15 dengan mortar tipe s, fc' 12,5 Mpa (setara campuran  1SP  : 3PP)</v>
      </c>
      <c r="I163" s="215" t="s">
        <v>23</v>
      </c>
      <c r="J163" s="550">
        <f t="shared" si="16"/>
        <v>387872</v>
      </c>
      <c r="L163" s="478"/>
    </row>
    <row r="164" spans="1:14" s="474" customFormat="1" ht="15" customHeight="1">
      <c r="A164" s="625"/>
      <c r="B164" s="625"/>
      <c r="C164" s="625"/>
      <c r="D164" s="668"/>
      <c r="E164" s="549">
        <f t="shared" si="14"/>
        <v>146</v>
      </c>
      <c r="F164" s="220"/>
      <c r="G164" s="221" t="s">
        <v>657</v>
      </c>
      <c r="H164" s="222" t="str">
        <f t="shared" si="15"/>
        <v>Pemasangan 1m2 dinding conblock HB15 dengan mortar tipe n, fc' 5,2 Mpa (setara campuran  1SP  : 4PP)</v>
      </c>
      <c r="I164" s="215" t="s">
        <v>23</v>
      </c>
      <c r="J164" s="550">
        <f t="shared" si="16"/>
        <v>387407</v>
      </c>
      <c r="L164" s="478"/>
    </row>
    <row r="165" spans="1:14" s="474" customFormat="1" ht="15" customHeight="1">
      <c r="A165" s="625"/>
      <c r="B165" s="625"/>
      <c r="C165" s="625"/>
      <c r="D165" s="668"/>
      <c r="E165" s="549">
        <f t="shared" si="14"/>
        <v>147</v>
      </c>
      <c r="F165" s="220"/>
      <c r="G165" s="221" t="s">
        <v>659</v>
      </c>
      <c r="H165" s="222" t="str">
        <f t="shared" si="15"/>
        <v>Pemasangan 1m2 dinding conblock HB10 dengan mortar tipe s, fc' 12,5 Mpa (setara campuran  1SP  : 3PP)</v>
      </c>
      <c r="I165" s="215" t="s">
        <v>23</v>
      </c>
      <c r="J165" s="550">
        <f t="shared" si="16"/>
        <v>302041</v>
      </c>
      <c r="L165" s="478"/>
    </row>
    <row r="166" spans="1:14" s="474" customFormat="1" ht="15" customHeight="1">
      <c r="A166" s="625"/>
      <c r="B166" s="625"/>
      <c r="C166" s="625"/>
      <c r="D166" s="668"/>
      <c r="E166" s="549">
        <f t="shared" si="14"/>
        <v>148</v>
      </c>
      <c r="F166" s="220"/>
      <c r="G166" s="221" t="s">
        <v>662</v>
      </c>
      <c r="H166" s="222" t="str">
        <f t="shared" si="15"/>
        <v>Pemasangan 1m2 dinding conblock HB10 dengan mortar tipe n, fc' 5,2 Mpa (setara campuran  1SP  : 4PP)</v>
      </c>
      <c r="I166" s="215" t="s">
        <v>23</v>
      </c>
      <c r="J166" s="550">
        <f t="shared" si="16"/>
        <v>302468</v>
      </c>
      <c r="L166" s="478"/>
    </row>
    <row r="167" spans="1:14" s="474" customFormat="1" ht="15" customHeight="1">
      <c r="A167" s="625"/>
      <c r="B167" s="625"/>
      <c r="C167" s="625"/>
      <c r="D167" s="668"/>
      <c r="E167" s="549">
        <f t="shared" si="14"/>
        <v>149</v>
      </c>
      <c r="F167" s="220"/>
      <c r="G167" s="221" t="s">
        <v>664</v>
      </c>
      <c r="H167" s="222" t="str">
        <f t="shared" si="15"/>
        <v>Pemasangan 1m2 dinding terawang (rooster) 12x11x24 dengan mortar tipe s, fc' 12,5 Mpa (setara campuran  1SP  : 3PP)</v>
      </c>
      <c r="I167" s="215" t="s">
        <v>23</v>
      </c>
      <c r="J167" s="550">
        <f t="shared" si="16"/>
        <v>123258</v>
      </c>
      <c r="L167" s="478"/>
    </row>
    <row r="168" spans="1:14" s="474" customFormat="1" ht="15" customHeight="1">
      <c r="A168" s="625"/>
      <c r="B168" s="625"/>
      <c r="C168" s="625"/>
      <c r="D168" s="668"/>
      <c r="E168" s="549">
        <f t="shared" si="14"/>
        <v>150</v>
      </c>
      <c r="F168" s="220"/>
      <c r="G168" s="221" t="s">
        <v>667</v>
      </c>
      <c r="H168" s="222" t="str">
        <f t="shared" si="15"/>
        <v>Pemasangan 1m2 dinding terawang (rooster) 12x11x24 dengan mortar tipe n, fc' 5,2 Mpa (setara campuran  1SP  : 4PP)</v>
      </c>
      <c r="I168" s="215" t="s">
        <v>23</v>
      </c>
      <c r="J168" s="550">
        <f t="shared" si="16"/>
        <v>154938</v>
      </c>
      <c r="L168" s="478"/>
    </row>
    <row r="169" spans="1:14" s="474" customFormat="1" ht="15" customHeight="1">
      <c r="A169" s="625"/>
      <c r="B169" s="625"/>
      <c r="C169" s="625"/>
      <c r="D169" s="668"/>
      <c r="E169" s="549">
        <f t="shared" si="14"/>
        <v>151</v>
      </c>
      <c r="F169" s="220"/>
      <c r="G169" s="221" t="s">
        <v>670</v>
      </c>
      <c r="H169" s="222" t="str">
        <f t="shared" si="15"/>
        <v>Pemasangan 1m2 dinding berongga ekspose 12x11x24 dengan mortar tipe s, fc' 12,5 Mpa (setara campuran  1SP  : 3PP)</v>
      </c>
      <c r="I169" s="215" t="s">
        <v>23</v>
      </c>
      <c r="J169" s="550">
        <f t="shared" si="16"/>
        <v>175623</v>
      </c>
      <c r="L169" s="478"/>
    </row>
    <row r="170" spans="1:14" s="474" customFormat="1" ht="15" customHeight="1">
      <c r="A170" s="625"/>
      <c r="B170" s="625"/>
      <c r="C170" s="625"/>
      <c r="D170" s="668"/>
      <c r="E170" s="549">
        <f t="shared" si="14"/>
        <v>152</v>
      </c>
      <c r="F170" s="220"/>
      <c r="G170" s="221" t="s">
        <v>672</v>
      </c>
      <c r="H170" s="222" t="str">
        <f t="shared" si="15"/>
        <v>Pemasangan 1m2 dinding berongga ekspose 12x11x24 dengan mortar tipe n, fc' 5,2 Mpa (setara campuran  1SP  : 4PP)</v>
      </c>
      <c r="I170" s="215" t="s">
        <v>23</v>
      </c>
      <c r="J170" s="550">
        <f t="shared" si="16"/>
        <v>118002</v>
      </c>
      <c r="L170" s="478"/>
      <c r="M170" s="479"/>
      <c r="N170" s="480"/>
    </row>
    <row r="171" spans="1:14" s="474" customFormat="1" ht="15" customHeight="1">
      <c r="A171" s="625"/>
      <c r="B171" s="625"/>
      <c r="C171" s="625"/>
      <c r="D171" s="668"/>
      <c r="E171" s="549">
        <f t="shared" si="14"/>
        <v>153</v>
      </c>
      <c r="F171" s="220"/>
      <c r="G171" s="221" t="s">
        <v>677</v>
      </c>
      <c r="H171" s="222" t="str">
        <f t="shared" si="15"/>
        <v>Pemasangan 1 m2 dinding bata ringan tebal 10 cm dengan mortar siap pakai</v>
      </c>
      <c r="I171" s="215" t="s">
        <v>23</v>
      </c>
      <c r="J171" s="550">
        <f t="shared" si="16"/>
        <v>144530</v>
      </c>
      <c r="L171" s="478"/>
      <c r="M171" s="479"/>
      <c r="N171" s="480"/>
    </row>
    <row r="172" spans="1:14" ht="15" customHeight="1">
      <c r="E172" s="509"/>
      <c r="F172" s="213"/>
      <c r="G172" s="7"/>
      <c r="H172" s="216"/>
      <c r="I172" s="219"/>
      <c r="J172" s="547"/>
      <c r="L172" s="475"/>
    </row>
    <row r="173" spans="1:14" s="473" customFormat="1" ht="15" customHeight="1">
      <c r="A173" s="624"/>
      <c r="B173" s="624"/>
      <c r="C173" s="624"/>
      <c r="D173" s="667"/>
      <c r="E173" s="548"/>
      <c r="F173" s="492" t="s">
        <v>679</v>
      </c>
      <c r="G173" s="493" t="s">
        <v>680</v>
      </c>
      <c r="H173" s="471"/>
      <c r="I173" s="491"/>
      <c r="J173" s="546"/>
      <c r="L173" s="476"/>
    </row>
    <row r="174" spans="1:14" ht="15" customHeight="1">
      <c r="E174" s="509">
        <f>E171+1</f>
        <v>154</v>
      </c>
      <c r="F174" s="213"/>
      <c r="G174" s="216" t="s">
        <v>681</v>
      </c>
      <c r="H174" s="214" t="str">
        <f t="shared" ref="H174:H202" si="17">VLOOKUP(G174,AHSP,2,FALSE)</f>
        <v>Pemasangan 1 m2 plesteran 1SP : 1PP tebal 15 mm.</v>
      </c>
      <c r="I174" s="215" t="s">
        <v>23</v>
      </c>
      <c r="J174" s="547">
        <f t="shared" ref="J174:J202" si="18">VLOOKUP(G174,AHSP,9,FALSE)</f>
        <v>108051</v>
      </c>
      <c r="L174" s="475"/>
    </row>
    <row r="175" spans="1:14" ht="15" customHeight="1">
      <c r="E175" s="509">
        <f t="shared" si="14"/>
        <v>155</v>
      </c>
      <c r="F175" s="213"/>
      <c r="G175" s="216" t="s">
        <v>683</v>
      </c>
      <c r="H175" s="214" t="str">
        <f t="shared" si="17"/>
        <v>Pemasangan 1 m2 plesteran 1SP : 2PP tebal 15 mm.</v>
      </c>
      <c r="I175" s="215" t="s">
        <v>23</v>
      </c>
      <c r="J175" s="547">
        <f t="shared" si="18"/>
        <v>98247</v>
      </c>
      <c r="L175" s="475"/>
    </row>
    <row r="176" spans="1:14" ht="15" customHeight="1">
      <c r="E176" s="509">
        <f t="shared" si="14"/>
        <v>156</v>
      </c>
      <c r="F176" s="213"/>
      <c r="G176" s="216" t="s">
        <v>685</v>
      </c>
      <c r="H176" s="214" t="str">
        <f t="shared" si="17"/>
        <v>Pemasangan 1 m2 plesteran 1SP : 3PP tebal 15mm.</v>
      </c>
      <c r="I176" s="215" t="s">
        <v>23</v>
      </c>
      <c r="J176" s="547">
        <f t="shared" si="18"/>
        <v>94022</v>
      </c>
      <c r="L176" s="475"/>
    </row>
    <row r="177" spans="5:12" ht="15" customHeight="1">
      <c r="E177" s="509">
        <f t="shared" si="14"/>
        <v>157</v>
      </c>
      <c r="F177" s="213"/>
      <c r="G177" s="216" t="s">
        <v>687</v>
      </c>
      <c r="H177" s="214" t="str">
        <f t="shared" si="17"/>
        <v>Pemasangan 1 m2 plesteran 1SP : 4PP tebal 15 mm</v>
      </c>
      <c r="I177" s="215" t="s">
        <v>23</v>
      </c>
      <c r="J177" s="547">
        <f t="shared" si="18"/>
        <v>91124</v>
      </c>
      <c r="L177" s="475"/>
    </row>
    <row r="178" spans="5:12" ht="15" customHeight="1">
      <c r="E178" s="509">
        <f t="shared" si="14"/>
        <v>158</v>
      </c>
      <c r="F178" s="213"/>
      <c r="G178" s="216" t="s">
        <v>689</v>
      </c>
      <c r="H178" s="214" t="str">
        <f t="shared" si="17"/>
        <v>Pemasangan 1 m2 plesteran 1SP : 5PP tebal 15 mm</v>
      </c>
      <c r="I178" s="215" t="s">
        <v>23</v>
      </c>
      <c r="J178" s="547">
        <f t="shared" si="18"/>
        <v>89498</v>
      </c>
      <c r="L178" s="475"/>
    </row>
    <row r="179" spans="5:12" ht="15" customHeight="1">
      <c r="E179" s="509">
        <f t="shared" si="14"/>
        <v>159</v>
      </c>
      <c r="F179" s="213"/>
      <c r="G179" s="216" t="s">
        <v>691</v>
      </c>
      <c r="H179" s="214" t="str">
        <f t="shared" si="17"/>
        <v>Pemasangan 1 m2 plesteran 1SP : 6PP tebal 15 mm.</v>
      </c>
      <c r="I179" s="215" t="s">
        <v>23</v>
      </c>
      <c r="J179" s="547">
        <f t="shared" si="18"/>
        <v>88189</v>
      </c>
      <c r="L179" s="475"/>
    </row>
    <row r="180" spans="5:12" ht="15" customHeight="1">
      <c r="E180" s="509">
        <f t="shared" si="14"/>
        <v>160</v>
      </c>
      <c r="F180" s="213"/>
      <c r="G180" s="216" t="s">
        <v>693</v>
      </c>
      <c r="H180" s="214" t="str">
        <f t="shared" si="17"/>
        <v>Pemasangan 1 m2 plesteran 1SP : 7PP tebal 15 mm</v>
      </c>
      <c r="I180" s="215" t="s">
        <v>23</v>
      </c>
      <c r="J180" s="547">
        <f t="shared" si="18"/>
        <v>87475</v>
      </c>
      <c r="L180" s="475"/>
    </row>
    <row r="181" spans="5:12" ht="15" customHeight="1">
      <c r="E181" s="509">
        <f t="shared" si="14"/>
        <v>161</v>
      </c>
      <c r="F181" s="213"/>
      <c r="G181" s="216" t="s">
        <v>695</v>
      </c>
      <c r="H181" s="214" t="str">
        <f t="shared" si="17"/>
        <v>Pemasangan 1 m2 plesteran 1SP : 8PP tebal 15 mm</v>
      </c>
      <c r="I181" s="215" t="s">
        <v>23</v>
      </c>
      <c r="J181" s="547">
        <f t="shared" si="18"/>
        <v>86761</v>
      </c>
      <c r="L181" s="475"/>
    </row>
    <row r="182" spans="5:12" ht="15" customHeight="1">
      <c r="E182" s="509">
        <f t="shared" si="14"/>
        <v>162</v>
      </c>
      <c r="F182" s="213"/>
      <c r="G182" s="216" t="s">
        <v>697</v>
      </c>
      <c r="H182" s="214" t="str">
        <f t="shared" si="17"/>
        <v>Pemasangan 1 m2 plesteran 1SP : 1/2KP : 3PP tebal 15 mm</v>
      </c>
      <c r="I182" s="215" t="s">
        <v>23</v>
      </c>
      <c r="J182" s="547">
        <f t="shared" si="18"/>
        <v>92127</v>
      </c>
      <c r="L182" s="475"/>
    </row>
    <row r="183" spans="5:12" ht="15" customHeight="1">
      <c r="E183" s="509">
        <f t="shared" si="14"/>
        <v>163</v>
      </c>
      <c r="F183" s="213"/>
      <c r="G183" s="216" t="s">
        <v>700</v>
      </c>
      <c r="H183" s="214" t="str">
        <f t="shared" si="17"/>
        <v>Pemasangan 1 m2 plesteran 1SP : 2KP : 8PP tebal 15 mm</v>
      </c>
      <c r="I183" s="215" t="s">
        <v>23</v>
      </c>
      <c r="J183" s="547">
        <f t="shared" si="18"/>
        <v>89535</v>
      </c>
      <c r="L183" s="475"/>
    </row>
    <row r="184" spans="5:12" ht="15" customHeight="1">
      <c r="E184" s="509">
        <f t="shared" si="14"/>
        <v>164</v>
      </c>
      <c r="F184" s="213"/>
      <c r="G184" s="216" t="s">
        <v>702</v>
      </c>
      <c r="H184" s="214" t="str">
        <f t="shared" si="17"/>
        <v>Pemasangan 1 m2 plesteran 1SM : 1KP : 1PP tebal 15 mm</v>
      </c>
      <c r="I184" s="215" t="s">
        <v>23</v>
      </c>
      <c r="J184" s="547">
        <f t="shared" si="18"/>
        <v>82611</v>
      </c>
      <c r="L184" s="475"/>
    </row>
    <row r="185" spans="5:12" ht="15" customHeight="1">
      <c r="E185" s="509">
        <f t="shared" si="14"/>
        <v>165</v>
      </c>
      <c r="F185" s="213"/>
      <c r="G185" s="216" t="s">
        <v>704</v>
      </c>
      <c r="H185" s="214" t="str">
        <f t="shared" si="17"/>
        <v>Pemasangan 1 m2 plesteran 1SM : 1KP : 2PP tebal 15 mm</v>
      </c>
      <c r="I185" s="215" t="s">
        <v>23</v>
      </c>
      <c r="J185" s="547">
        <f t="shared" si="18"/>
        <v>83116</v>
      </c>
      <c r="L185" s="475"/>
    </row>
    <row r="186" spans="5:12" ht="15" customHeight="1">
      <c r="E186" s="509">
        <f t="shared" si="14"/>
        <v>166</v>
      </c>
      <c r="F186" s="213"/>
      <c r="G186" s="216" t="s">
        <v>706</v>
      </c>
      <c r="H186" s="214" t="str">
        <f t="shared" si="17"/>
        <v>Pemasangan 1 m2 plesteran 1SP : 1PP tebal 20 mm</v>
      </c>
      <c r="I186" s="215" t="s">
        <v>23</v>
      </c>
      <c r="J186" s="547">
        <f t="shared" si="18"/>
        <v>131464</v>
      </c>
      <c r="L186" s="475"/>
    </row>
    <row r="187" spans="5:12" ht="15" customHeight="1">
      <c r="E187" s="509">
        <f t="shared" si="14"/>
        <v>167</v>
      </c>
      <c r="F187" s="213"/>
      <c r="G187" s="216" t="s">
        <v>708</v>
      </c>
      <c r="H187" s="214" t="str">
        <f t="shared" si="17"/>
        <v>Pemasangan 1 m2 plesteran 1SP : 3PP tebal 20 mm</v>
      </c>
      <c r="I187" s="215" t="s">
        <v>23</v>
      </c>
      <c r="J187" s="547">
        <f t="shared" si="18"/>
        <v>104896</v>
      </c>
      <c r="L187" s="475"/>
    </row>
    <row r="188" spans="5:12" ht="15" customHeight="1">
      <c r="E188" s="509">
        <f t="shared" si="14"/>
        <v>168</v>
      </c>
      <c r="F188" s="213"/>
      <c r="G188" s="216" t="s">
        <v>710</v>
      </c>
      <c r="H188" s="214" t="str">
        <f t="shared" si="17"/>
        <v>Pemasangan 1 m2 plesteran 1SP : 4PP tebal 20 mm.</v>
      </c>
      <c r="I188" s="215" t="s">
        <v>23</v>
      </c>
      <c r="J188" s="547">
        <f t="shared" si="18"/>
        <v>121873</v>
      </c>
      <c r="L188" s="475"/>
    </row>
    <row r="189" spans="5:12" ht="15" customHeight="1">
      <c r="E189" s="509">
        <f t="shared" si="14"/>
        <v>169</v>
      </c>
      <c r="F189" s="213"/>
      <c r="G189" s="216" t="s">
        <v>712</v>
      </c>
      <c r="H189" s="214" t="str">
        <f t="shared" si="17"/>
        <v>Pemasangan 1 m2 plesteran 1SP : 5PP tebal 20 mm</v>
      </c>
      <c r="I189" s="215" t="s">
        <v>23</v>
      </c>
      <c r="J189" s="547">
        <f t="shared" si="18"/>
        <v>119798</v>
      </c>
      <c r="L189" s="475"/>
    </row>
    <row r="190" spans="5:12" ht="15" customHeight="1">
      <c r="E190" s="509">
        <f t="shared" si="14"/>
        <v>170</v>
      </c>
      <c r="F190" s="213"/>
      <c r="G190" s="216" t="s">
        <v>714</v>
      </c>
      <c r="H190" s="214" t="str">
        <f t="shared" si="17"/>
        <v>Pemasangan 1 m2 plesteran 1SP : 6PP tebal 20 mm</v>
      </c>
      <c r="I190" s="215" t="s">
        <v>23</v>
      </c>
      <c r="J190" s="547">
        <f t="shared" si="18"/>
        <v>117959</v>
      </c>
      <c r="L190" s="475"/>
    </row>
    <row r="191" spans="5:12" ht="15" customHeight="1">
      <c r="E191" s="509">
        <f t="shared" si="14"/>
        <v>171</v>
      </c>
      <c r="F191" s="213"/>
      <c r="G191" s="216" t="s">
        <v>716</v>
      </c>
      <c r="H191" s="214" t="str">
        <f t="shared" si="17"/>
        <v>Pemasangan 1 m2 plesteran 1SM : 1KP : 2PP tebal 20 mm</v>
      </c>
      <c r="I191" s="215" t="s">
        <v>23</v>
      </c>
      <c r="J191" s="547">
        <f t="shared" si="18"/>
        <v>115184</v>
      </c>
      <c r="L191" s="475"/>
    </row>
    <row r="192" spans="5:12" ht="15" customHeight="1">
      <c r="E192" s="509">
        <f t="shared" si="14"/>
        <v>172</v>
      </c>
      <c r="F192" s="213"/>
      <c r="G192" s="216" t="s">
        <v>718</v>
      </c>
      <c r="H192" s="214" t="str">
        <f t="shared" si="17"/>
        <v>Pemasangan 1 m2 berapen 1SP : 5PP tebal 15 mm</v>
      </c>
      <c r="I192" s="215" t="s">
        <v>23</v>
      </c>
      <c r="J192" s="547">
        <f t="shared" si="18"/>
        <v>53918</v>
      </c>
      <c r="L192" s="475"/>
    </row>
    <row r="193" spans="1:14" ht="15" customHeight="1">
      <c r="E193" s="509">
        <f t="shared" si="14"/>
        <v>173</v>
      </c>
      <c r="F193" s="213"/>
      <c r="G193" s="216" t="s">
        <v>720</v>
      </c>
      <c r="H193" s="214" t="str">
        <f t="shared" si="17"/>
        <v>Pemasangan 1 m’ plesteran skoning 1SP : 3PP lebar 10 cm</v>
      </c>
      <c r="I193" s="215" t="s">
        <v>23</v>
      </c>
      <c r="J193" s="547">
        <f t="shared" si="18"/>
        <v>89667</v>
      </c>
      <c r="L193" s="475"/>
    </row>
    <row r="194" spans="1:14" ht="15" customHeight="1">
      <c r="E194" s="509">
        <f t="shared" si="14"/>
        <v>174</v>
      </c>
      <c r="F194" s="213"/>
      <c r="G194" s="216" t="s">
        <v>722</v>
      </c>
      <c r="H194" s="214" t="str">
        <f t="shared" si="17"/>
        <v>Pemasangan 1 m2 plesteran granit  1SP : 2 granit tebal 1cm</v>
      </c>
      <c r="I194" s="215" t="s">
        <v>23</v>
      </c>
      <c r="J194" s="547">
        <f t="shared" si="18"/>
        <v>437530</v>
      </c>
      <c r="L194" s="475"/>
    </row>
    <row r="195" spans="1:14" ht="15" customHeight="1">
      <c r="E195" s="509">
        <f t="shared" si="14"/>
        <v>175</v>
      </c>
      <c r="F195" s="213"/>
      <c r="G195" s="216" t="s">
        <v>725</v>
      </c>
      <c r="H195" s="214" t="str">
        <f t="shared" si="17"/>
        <v>Pemasangan 1 m2 plesteran traso  1SP : 2 traso tebal 1cm</v>
      </c>
      <c r="I195" s="215" t="s">
        <v>23</v>
      </c>
      <c r="J195" s="547">
        <f t="shared" si="18"/>
        <v>176170</v>
      </c>
      <c r="L195" s="475"/>
    </row>
    <row r="196" spans="1:14" ht="15" customHeight="1">
      <c r="E196" s="509">
        <f t="shared" si="14"/>
        <v>176</v>
      </c>
      <c r="F196" s="213"/>
      <c r="G196" s="216" t="s">
        <v>728</v>
      </c>
      <c r="H196" s="214" t="str">
        <f t="shared" si="17"/>
        <v>Pemasangan 1 m2 plesteran ciprat  1SP : 2PP</v>
      </c>
      <c r="I196" s="215" t="s">
        <v>23</v>
      </c>
      <c r="J196" s="547">
        <f t="shared" si="18"/>
        <v>72976</v>
      </c>
      <c r="L196" s="475"/>
    </row>
    <row r="197" spans="1:14" ht="15" customHeight="1">
      <c r="E197" s="509">
        <f t="shared" si="14"/>
        <v>177</v>
      </c>
      <c r="F197" s="213"/>
      <c r="G197" s="216" t="s">
        <v>730</v>
      </c>
      <c r="H197" s="214" t="str">
        <f t="shared" si="17"/>
        <v>Pemasangan 1 m2 finishing siar pasangan bata merah</v>
      </c>
      <c r="I197" s="215" t="s">
        <v>23</v>
      </c>
      <c r="J197" s="547">
        <f t="shared" si="18"/>
        <v>42375</v>
      </c>
      <c r="L197" s="475"/>
    </row>
    <row r="198" spans="1:14" ht="15" customHeight="1">
      <c r="E198" s="509">
        <f t="shared" si="14"/>
        <v>178</v>
      </c>
      <c r="F198" s="213"/>
      <c r="G198" s="216" t="s">
        <v>732</v>
      </c>
      <c r="H198" s="214" t="str">
        <f t="shared" si="17"/>
        <v>Pemasangan 1 m2 finishing siar pasangan conblock ekspose</v>
      </c>
      <c r="I198" s="215" t="s">
        <v>23</v>
      </c>
      <c r="J198" s="547">
        <f t="shared" si="18"/>
        <v>20182</v>
      </c>
      <c r="L198" s="475"/>
    </row>
    <row r="199" spans="1:14" ht="15" customHeight="1">
      <c r="E199" s="509">
        <f t="shared" si="14"/>
        <v>179</v>
      </c>
      <c r="F199" s="213"/>
      <c r="G199" s="216" t="s">
        <v>734</v>
      </c>
      <c r="H199" s="214" t="str">
        <f t="shared" si="17"/>
        <v>Pemasangan 1 m2 finishing siar pasangan batu kali, campuran 1SP : 2PP.</v>
      </c>
      <c r="I199" s="215" t="s">
        <v>23</v>
      </c>
      <c r="J199" s="547">
        <f t="shared" si="18"/>
        <v>87984</v>
      </c>
      <c r="L199" s="475"/>
    </row>
    <row r="200" spans="1:14" ht="15" customHeight="1">
      <c r="E200" s="509">
        <f t="shared" si="14"/>
        <v>180</v>
      </c>
      <c r="F200" s="213"/>
      <c r="G200" s="216" t="s">
        <v>736</v>
      </c>
      <c r="H200" s="214" t="str">
        <f t="shared" si="17"/>
        <v>Pemasangan 1 m2 acian.</v>
      </c>
      <c r="I200" s="215" t="s">
        <v>23</v>
      </c>
      <c r="J200" s="547">
        <f t="shared" si="18"/>
        <v>54406</v>
      </c>
      <c r="L200" s="475"/>
    </row>
    <row r="201" spans="1:14" ht="15" customHeight="1">
      <c r="E201" s="509">
        <f>E200+1</f>
        <v>181</v>
      </c>
      <c r="F201" s="213"/>
      <c r="G201" s="216" t="s">
        <v>738</v>
      </c>
      <c r="H201" s="214" t="str">
        <f t="shared" si="17"/>
        <v xml:space="preserve">Pemasangan 1 m2 plesteran dengan mortar siap pakai (MSP) </v>
      </c>
      <c r="I201" s="215" t="s">
        <v>23</v>
      </c>
      <c r="J201" s="547">
        <f t="shared" si="18"/>
        <v>112535</v>
      </c>
      <c r="L201" s="475"/>
      <c r="M201" s="481"/>
      <c r="N201" s="482"/>
    </row>
    <row r="202" spans="1:14" ht="15" customHeight="1">
      <c r="E202" s="509">
        <f>E201+1</f>
        <v>182</v>
      </c>
      <c r="F202" s="213"/>
      <c r="G202" s="216" t="s">
        <v>741</v>
      </c>
      <c r="H202" s="214" t="str">
        <f t="shared" si="17"/>
        <v xml:space="preserve">Pemasangan 1 m2 Acian dengan mortar siap pakai (MSP) </v>
      </c>
      <c r="I202" s="215" t="s">
        <v>23</v>
      </c>
      <c r="J202" s="547">
        <f t="shared" si="18"/>
        <v>56911</v>
      </c>
      <c r="L202" s="475"/>
      <c r="M202" s="481"/>
      <c r="N202" s="482"/>
    </row>
    <row r="203" spans="1:14" ht="15" customHeight="1">
      <c r="E203" s="509"/>
      <c r="F203" s="213"/>
      <c r="G203" s="7"/>
      <c r="H203" s="216"/>
      <c r="I203" s="219"/>
      <c r="J203" s="553"/>
      <c r="L203" s="475"/>
      <c r="M203" s="481"/>
      <c r="N203" s="482"/>
    </row>
    <row r="204" spans="1:14" s="473" customFormat="1" ht="15" customHeight="1">
      <c r="A204" s="624"/>
      <c r="B204" s="624"/>
      <c r="C204" s="624"/>
      <c r="D204" s="667"/>
      <c r="E204" s="548"/>
      <c r="F204" s="492" t="s">
        <v>744</v>
      </c>
      <c r="G204" s="493" t="s">
        <v>745</v>
      </c>
      <c r="H204" s="471"/>
      <c r="I204" s="491"/>
      <c r="J204" s="546"/>
      <c r="L204" s="476"/>
    </row>
    <row r="205" spans="1:14" ht="15" customHeight="1">
      <c r="E205" s="509">
        <f>E202+1</f>
        <v>183</v>
      </c>
      <c r="F205" s="213"/>
      <c r="G205" s="216" t="s">
        <v>746</v>
      </c>
      <c r="H205" s="214" t="str">
        <f>VLOOKUP(G205,AHSP,2,FALSE)</f>
        <v>Pemasangan 1m2 lantai ubin PC abu-abu ukuran 40cm x40cm</v>
      </c>
      <c r="I205" s="215" t="s">
        <v>23</v>
      </c>
      <c r="J205" s="547">
        <f>VLOOKUP(G205,AHSP,9,FALSE)</f>
        <v>146427</v>
      </c>
      <c r="L205" s="475"/>
    </row>
    <row r="206" spans="1:14" ht="15" customHeight="1">
      <c r="E206" s="509">
        <f t="shared" ref="E206:E269" si="19">E205+1</f>
        <v>184</v>
      </c>
      <c r="F206" s="213"/>
      <c r="G206" s="216" t="s">
        <v>749</v>
      </c>
      <c r="H206" s="214" t="str">
        <f t="shared" ref="H206:H269" si="20">VLOOKUP(G206,AHSP,2,FALSE)</f>
        <v>Pemasangan 1m2 lantai ubin PC abu-abu ukuran 30cm x30 cm</v>
      </c>
      <c r="I206" s="215" t="s">
        <v>23</v>
      </c>
      <c r="J206" s="547">
        <f t="shared" ref="J206:J269" si="21">VLOOKUP(G206,AHSP,9,FALSE)</f>
        <v>160654</v>
      </c>
      <c r="L206" s="475"/>
    </row>
    <row r="207" spans="1:14" ht="15" customHeight="1">
      <c r="E207" s="509">
        <f t="shared" si="19"/>
        <v>185</v>
      </c>
      <c r="F207" s="213"/>
      <c r="G207" s="216" t="s">
        <v>752</v>
      </c>
      <c r="H207" s="214" t="str">
        <f t="shared" si="20"/>
        <v>Pemasangan 1m2 lantai ubin PC abu-abu ukuran 20cm x20 cm</v>
      </c>
      <c r="I207" s="215" t="s">
        <v>23</v>
      </c>
      <c r="J207" s="547">
        <f t="shared" si="21"/>
        <v>204429</v>
      </c>
      <c r="L207" s="475"/>
    </row>
    <row r="208" spans="1:14" ht="15" customHeight="1">
      <c r="E208" s="509">
        <f t="shared" si="19"/>
        <v>186</v>
      </c>
      <c r="F208" s="213"/>
      <c r="G208" s="216" t="s">
        <v>755</v>
      </c>
      <c r="H208" s="214" t="str">
        <f t="shared" si="20"/>
        <v>Pemasangan 1m2 lantai ubin warna  ukuran 40cm x40 cm</v>
      </c>
      <c r="I208" s="215" t="s">
        <v>23</v>
      </c>
      <c r="J208" s="547">
        <f t="shared" si="21"/>
        <v>227251</v>
      </c>
      <c r="L208" s="475"/>
    </row>
    <row r="209" spans="5:12" ht="15" customHeight="1">
      <c r="E209" s="509">
        <f t="shared" si="19"/>
        <v>187</v>
      </c>
      <c r="F209" s="213"/>
      <c r="G209" s="216" t="s">
        <v>759</v>
      </c>
      <c r="H209" s="214" t="str">
        <f t="shared" si="20"/>
        <v>Pemasangan 1m2 lantai ubin warna  ukuran 30cm x30cm</v>
      </c>
      <c r="I209" s="215" t="s">
        <v>23</v>
      </c>
      <c r="J209" s="547">
        <f t="shared" si="21"/>
        <v>304925</v>
      </c>
      <c r="L209" s="475"/>
    </row>
    <row r="210" spans="5:12" ht="15" customHeight="1">
      <c r="E210" s="509">
        <f t="shared" si="19"/>
        <v>188</v>
      </c>
      <c r="F210" s="213"/>
      <c r="G210" s="216" t="s">
        <v>762</v>
      </c>
      <c r="H210" s="214" t="str">
        <f t="shared" si="20"/>
        <v>Pemasangan 1m2 lantai ubin warna  ukuran 20cm x20cm</v>
      </c>
      <c r="I210" s="215" t="s">
        <v>23</v>
      </c>
      <c r="J210" s="547">
        <f t="shared" si="21"/>
        <v>518677</v>
      </c>
      <c r="L210" s="475"/>
    </row>
    <row r="211" spans="5:12" ht="15" customHeight="1">
      <c r="E211" s="509">
        <f t="shared" si="19"/>
        <v>189</v>
      </c>
      <c r="F211" s="213"/>
      <c r="G211" s="216" t="s">
        <v>765</v>
      </c>
      <c r="H211" s="214" t="str">
        <f t="shared" si="20"/>
        <v>Pemasangan 1m2 lantai ubin teraso  ukuran 40cm x40cm</v>
      </c>
      <c r="I211" s="215" t="s">
        <v>23</v>
      </c>
      <c r="J211" s="547">
        <f t="shared" si="21"/>
        <v>237461</v>
      </c>
      <c r="L211" s="475"/>
    </row>
    <row r="212" spans="5:12" ht="15" customHeight="1">
      <c r="E212" s="509">
        <f t="shared" si="19"/>
        <v>190</v>
      </c>
      <c r="F212" s="213"/>
      <c r="G212" s="216" t="s">
        <v>768</v>
      </c>
      <c r="H212" s="214" t="str">
        <f t="shared" si="20"/>
        <v>Pemasangan 1m2 lantai ubin teraso  ukuran 30cm x30cm</v>
      </c>
      <c r="I212" s="215" t="s">
        <v>23</v>
      </c>
      <c r="J212" s="547">
        <f t="shared" si="21"/>
        <v>310801</v>
      </c>
      <c r="L212" s="475"/>
    </row>
    <row r="213" spans="5:12" ht="15" customHeight="1">
      <c r="E213" s="509">
        <f t="shared" si="19"/>
        <v>191</v>
      </c>
      <c r="F213" s="213"/>
      <c r="G213" s="216" t="s">
        <v>771</v>
      </c>
      <c r="H213" s="214" t="str">
        <f t="shared" si="20"/>
        <v>Pemasangan 1m2 lantai ubin granit  ukuran 40cm x40cm</v>
      </c>
      <c r="I213" s="215" t="s">
        <v>23</v>
      </c>
      <c r="J213" s="547">
        <f t="shared" si="21"/>
        <v>275531</v>
      </c>
      <c r="L213" s="475"/>
    </row>
    <row r="214" spans="5:12" ht="15" customHeight="1">
      <c r="E214" s="509">
        <f t="shared" si="19"/>
        <v>192</v>
      </c>
      <c r="F214" s="213"/>
      <c r="G214" s="216" t="s">
        <v>774</v>
      </c>
      <c r="H214" s="214" t="str">
        <f t="shared" si="20"/>
        <v>Pemasangan 1m2 lantai ubin granit  ukuran 30cm x30cm</v>
      </c>
      <c r="I214" s="215" t="s">
        <v>23</v>
      </c>
      <c r="J214" s="547">
        <f t="shared" si="21"/>
        <v>358329</v>
      </c>
      <c r="L214" s="475"/>
    </row>
    <row r="215" spans="5:12" ht="15" customHeight="1">
      <c r="E215" s="509">
        <f t="shared" si="19"/>
        <v>193</v>
      </c>
      <c r="F215" s="213"/>
      <c r="G215" s="216" t="s">
        <v>777</v>
      </c>
      <c r="H215" s="214" t="str">
        <f t="shared" si="20"/>
        <v>Pemasangan 1m2 lantai ubin teralux  marmer ukuran 40cm x40cm</v>
      </c>
      <c r="I215" s="215" t="s">
        <v>23</v>
      </c>
      <c r="J215" s="547">
        <f t="shared" si="21"/>
        <v>196766</v>
      </c>
      <c r="L215" s="475"/>
    </row>
    <row r="216" spans="5:12" ht="15" customHeight="1">
      <c r="E216" s="509">
        <f t="shared" si="19"/>
        <v>194</v>
      </c>
      <c r="F216" s="213"/>
      <c r="G216" s="216" t="s">
        <v>780</v>
      </c>
      <c r="H216" s="214" t="str">
        <f t="shared" si="20"/>
        <v>Pemasangan 1m2 lantai ubin teralux  ukuran 30cm x30cm</v>
      </c>
      <c r="I216" s="215" t="s">
        <v>23</v>
      </c>
      <c r="J216" s="547">
        <f t="shared" si="21"/>
        <v>325947</v>
      </c>
      <c r="L216" s="475"/>
    </row>
    <row r="217" spans="5:12" ht="15" customHeight="1">
      <c r="E217" s="509">
        <f t="shared" si="19"/>
        <v>195</v>
      </c>
      <c r="F217" s="213"/>
      <c r="G217" s="216" t="s">
        <v>783</v>
      </c>
      <c r="H217" s="214" t="str">
        <f t="shared" si="20"/>
        <v>Pemasangan 1m2 lantai ubin teralux marmer ukuran 60cm x60cm</v>
      </c>
      <c r="I217" s="215" t="s">
        <v>23</v>
      </c>
      <c r="J217" s="547">
        <f t="shared" si="21"/>
        <v>283960</v>
      </c>
      <c r="L217" s="475"/>
    </row>
    <row r="218" spans="5:12" ht="15" customHeight="1">
      <c r="E218" s="509">
        <f t="shared" si="19"/>
        <v>196</v>
      </c>
      <c r="F218" s="213"/>
      <c r="G218" s="216" t="s">
        <v>786</v>
      </c>
      <c r="H218" s="214" t="str">
        <f t="shared" si="20"/>
        <v>Pemasangan 1m2 lantai ubin teralux marmer ukuran 40cm x40cm</v>
      </c>
      <c r="I218" s="215" t="s">
        <v>23</v>
      </c>
      <c r="J218" s="547">
        <f t="shared" si="21"/>
        <v>395428</v>
      </c>
      <c r="L218" s="475"/>
    </row>
    <row r="219" spans="5:12" ht="15" customHeight="1">
      <c r="E219" s="509">
        <f t="shared" si="19"/>
        <v>197</v>
      </c>
      <c r="F219" s="213"/>
      <c r="G219" s="216" t="s">
        <v>789</v>
      </c>
      <c r="H219" s="214" t="str">
        <f t="shared" si="20"/>
        <v>Pemasangan 1m2 lantai ubin teralux marmer ukuran 30cm x30cm</v>
      </c>
      <c r="I219" s="215" t="s">
        <v>23</v>
      </c>
      <c r="J219" s="547">
        <f t="shared" si="21"/>
        <v>618685</v>
      </c>
      <c r="L219" s="475"/>
    </row>
    <row r="220" spans="5:12" ht="15" customHeight="1">
      <c r="E220" s="509">
        <f t="shared" si="19"/>
        <v>198</v>
      </c>
      <c r="F220" s="213"/>
      <c r="G220" s="216" t="s">
        <v>792</v>
      </c>
      <c r="H220" s="214" t="str">
        <f t="shared" si="20"/>
        <v>Pemasangan 1 m’ plint ubin Pc abu-abu ukuran 15cm x 20cm</v>
      </c>
      <c r="I220" s="215" t="s">
        <v>23</v>
      </c>
      <c r="J220" s="547">
        <f t="shared" si="21"/>
        <v>78279</v>
      </c>
      <c r="L220" s="475"/>
    </row>
    <row r="221" spans="5:12" ht="15" customHeight="1">
      <c r="E221" s="509">
        <f t="shared" si="19"/>
        <v>199</v>
      </c>
      <c r="F221" s="213"/>
      <c r="G221" s="216" t="s">
        <v>795</v>
      </c>
      <c r="H221" s="214" t="str">
        <f t="shared" si="20"/>
        <v>Pemasangan 1 m’ plint ubin Pc abu-abu ukuran 10cm x 30cm</v>
      </c>
      <c r="I221" s="215" t="s">
        <v>23</v>
      </c>
      <c r="J221" s="547">
        <f t="shared" si="21"/>
        <v>57657</v>
      </c>
      <c r="L221" s="475"/>
    </row>
    <row r="222" spans="5:12" ht="15" customHeight="1">
      <c r="E222" s="509">
        <f t="shared" si="19"/>
        <v>200</v>
      </c>
      <c r="F222" s="213"/>
      <c r="G222" s="216" t="s">
        <v>798</v>
      </c>
      <c r="H222" s="214" t="str">
        <f t="shared" si="20"/>
        <v>Pemasangan 1 m’ plint ubin Pc abu-abu ukuran 10cm x 40cm</v>
      </c>
      <c r="I222" s="215" t="s">
        <v>23</v>
      </c>
      <c r="J222" s="547">
        <f t="shared" si="21"/>
        <v>53832</v>
      </c>
      <c r="L222" s="475"/>
    </row>
    <row r="223" spans="5:12" ht="15" customHeight="1">
      <c r="E223" s="509">
        <f t="shared" si="19"/>
        <v>201</v>
      </c>
      <c r="F223" s="213"/>
      <c r="G223" s="216" t="s">
        <v>801</v>
      </c>
      <c r="H223" s="214" t="str">
        <f t="shared" si="20"/>
        <v>Pemasangan 1 m’ plint ubin warna ukuran 10cm x 20cm</v>
      </c>
      <c r="I223" s="215" t="s">
        <v>23</v>
      </c>
      <c r="J223" s="547">
        <f t="shared" si="21"/>
        <v>48095</v>
      </c>
      <c r="L223" s="475"/>
    </row>
    <row r="224" spans="5:12" ht="15" customHeight="1">
      <c r="E224" s="509">
        <f t="shared" si="19"/>
        <v>202</v>
      </c>
      <c r="F224" s="213"/>
      <c r="G224" s="216" t="s">
        <v>804</v>
      </c>
      <c r="H224" s="214" t="str">
        <f t="shared" si="20"/>
        <v>Pemasangan 1 m’ plint ubin warna ukuran 10cm x 30cm</v>
      </c>
      <c r="I224" s="215" t="s">
        <v>23</v>
      </c>
      <c r="J224" s="547">
        <f t="shared" si="21"/>
        <v>55391</v>
      </c>
      <c r="L224" s="475"/>
    </row>
    <row r="225" spans="5:12" ht="15" customHeight="1">
      <c r="E225" s="509">
        <f t="shared" si="19"/>
        <v>203</v>
      </c>
      <c r="F225" s="213"/>
      <c r="G225" s="216" t="s">
        <v>807</v>
      </c>
      <c r="H225" s="214" t="str">
        <f t="shared" si="20"/>
        <v>Pemasangan 1 m’ plint ubin warna ukuran 10cm x 40cm</v>
      </c>
      <c r="I225" s="215" t="s">
        <v>23</v>
      </c>
      <c r="J225" s="547">
        <f t="shared" si="21"/>
        <v>56199</v>
      </c>
      <c r="L225" s="475"/>
    </row>
    <row r="226" spans="5:12" ht="15" customHeight="1">
      <c r="E226" s="509">
        <f t="shared" si="19"/>
        <v>204</v>
      </c>
      <c r="F226" s="213"/>
      <c r="G226" s="216" t="s">
        <v>810</v>
      </c>
      <c r="H226" s="214" t="str">
        <f t="shared" si="20"/>
        <v>Pemasangan 1 m’ plint ubin teraso ukuran 10cm x 30cm</v>
      </c>
      <c r="I226" s="215" t="s">
        <v>23</v>
      </c>
      <c r="J226" s="547">
        <f t="shared" si="21"/>
        <v>56362</v>
      </c>
      <c r="L226" s="475"/>
    </row>
    <row r="227" spans="5:12" ht="15" customHeight="1">
      <c r="E227" s="509">
        <f t="shared" si="19"/>
        <v>205</v>
      </c>
      <c r="F227" s="213"/>
      <c r="G227" s="216" t="s">
        <v>813</v>
      </c>
      <c r="H227" s="214" t="str">
        <f t="shared" si="20"/>
        <v>Pemasangan 1 m’ plint ubin teraso ukuran 10cm x 40cm</v>
      </c>
      <c r="I227" s="215" t="s">
        <v>23</v>
      </c>
      <c r="J227" s="547">
        <f t="shared" si="21"/>
        <v>57744</v>
      </c>
      <c r="L227" s="475"/>
    </row>
    <row r="228" spans="5:12" ht="15" customHeight="1">
      <c r="E228" s="509">
        <f t="shared" si="19"/>
        <v>206</v>
      </c>
      <c r="F228" s="213"/>
      <c r="G228" s="216" t="s">
        <v>816</v>
      </c>
      <c r="H228" s="214" t="str">
        <f t="shared" si="20"/>
        <v>Pemasangan 1 m’ plint ubin granit ukuran 10cm x 40cm</v>
      </c>
      <c r="I228" s="215" t="s">
        <v>23</v>
      </c>
      <c r="J228" s="547">
        <f t="shared" si="21"/>
        <v>85086</v>
      </c>
      <c r="L228" s="475"/>
    </row>
    <row r="229" spans="5:12" ht="15" customHeight="1">
      <c r="E229" s="509">
        <f t="shared" si="19"/>
        <v>207</v>
      </c>
      <c r="F229" s="213"/>
      <c r="G229" s="216" t="s">
        <v>819</v>
      </c>
      <c r="H229" s="214" t="str">
        <f t="shared" si="20"/>
        <v>Pemasangan 1 m’ plint ubin granit ukuran 10cm x 30cm</v>
      </c>
      <c r="I229" s="215" t="s">
        <v>23</v>
      </c>
      <c r="J229" s="547">
        <f t="shared" si="21"/>
        <v>94337</v>
      </c>
      <c r="L229" s="475"/>
    </row>
    <row r="230" spans="5:12" ht="15" customHeight="1">
      <c r="E230" s="509">
        <f t="shared" si="19"/>
        <v>208</v>
      </c>
      <c r="F230" s="213"/>
      <c r="G230" s="216" t="s">
        <v>822</v>
      </c>
      <c r="H230" s="214" t="str">
        <f t="shared" si="20"/>
        <v>Pemasangan 1 m’ plint ubin teralux kerang ukuran 10cm x 40cm</v>
      </c>
      <c r="I230" s="215" t="s">
        <v>23</v>
      </c>
      <c r="J230" s="547">
        <f t="shared" si="21"/>
        <v>56749</v>
      </c>
      <c r="L230" s="475"/>
    </row>
    <row r="231" spans="5:12" ht="15" customHeight="1">
      <c r="E231" s="509">
        <f t="shared" si="19"/>
        <v>209</v>
      </c>
      <c r="F231" s="213"/>
      <c r="G231" s="216" t="s">
        <v>825</v>
      </c>
      <c r="H231" s="214" t="str">
        <f t="shared" si="20"/>
        <v>Pemasangan 1 m’ plint ubin teralux kerang ukuran 10cm x 30cm</v>
      </c>
      <c r="I231" s="215" t="s">
        <v>23</v>
      </c>
      <c r="J231" s="547">
        <f t="shared" si="21"/>
        <v>60594</v>
      </c>
      <c r="L231" s="475"/>
    </row>
    <row r="232" spans="5:12" ht="15" customHeight="1">
      <c r="E232" s="509">
        <f t="shared" si="19"/>
        <v>210</v>
      </c>
      <c r="F232" s="213"/>
      <c r="G232" s="216" t="s">
        <v>828</v>
      </c>
      <c r="H232" s="214" t="str">
        <f t="shared" si="20"/>
        <v>Pemasangan 1 m’ plint ubin teralux marmer ukuran 10cm x 60cm</v>
      </c>
      <c r="I232" s="215" t="s">
        <v>23</v>
      </c>
      <c r="J232" s="547">
        <f t="shared" si="21"/>
        <v>68863</v>
      </c>
      <c r="L232" s="475"/>
    </row>
    <row r="233" spans="5:12" ht="15" customHeight="1">
      <c r="E233" s="509">
        <f t="shared" si="19"/>
        <v>211</v>
      </c>
      <c r="F233" s="213"/>
      <c r="G233" s="216" t="s">
        <v>831</v>
      </c>
      <c r="H233" s="214" t="str">
        <f t="shared" si="20"/>
        <v>Pemasangan 1 m’ plint ubin teralux marmer ukuran 10cm x 40cm</v>
      </c>
      <c r="I233" s="215" t="s">
        <v>23</v>
      </c>
      <c r="J233" s="547">
        <f t="shared" si="21"/>
        <v>85728</v>
      </c>
      <c r="L233" s="475"/>
    </row>
    <row r="234" spans="5:12" ht="15" customHeight="1">
      <c r="E234" s="509">
        <f t="shared" si="19"/>
        <v>212</v>
      </c>
      <c r="F234" s="213"/>
      <c r="G234" s="216" t="s">
        <v>834</v>
      </c>
      <c r="H234" s="214" t="str">
        <f t="shared" si="20"/>
        <v>Pemasangan 1 m’ plint ubin teralux marmer ukuran 10cm x 30cm</v>
      </c>
      <c r="I234" s="215" t="s">
        <v>23</v>
      </c>
      <c r="J234" s="547">
        <f t="shared" si="21"/>
        <v>101210</v>
      </c>
      <c r="L234" s="475"/>
    </row>
    <row r="235" spans="5:12" ht="15" customHeight="1">
      <c r="E235" s="509">
        <f t="shared" si="19"/>
        <v>213</v>
      </c>
      <c r="F235" s="213"/>
      <c r="G235" s="216" t="s">
        <v>837</v>
      </c>
      <c r="H235" s="214" t="str">
        <f t="shared" si="20"/>
        <v>Pemasangan 1m2 lantai teraso cor di tempat, tebal 3cm</v>
      </c>
      <c r="I235" s="215" t="s">
        <v>23</v>
      </c>
      <c r="J235" s="547">
        <f t="shared" si="21"/>
        <v>86317</v>
      </c>
      <c r="L235" s="475"/>
    </row>
    <row r="236" spans="5:12" ht="15" customHeight="1">
      <c r="E236" s="509">
        <f t="shared" si="19"/>
        <v>214</v>
      </c>
      <c r="F236" s="213"/>
      <c r="G236" s="216" t="s">
        <v>841</v>
      </c>
      <c r="H236" s="214" t="str">
        <f t="shared" si="20"/>
        <v>Pemasangan 1m2 lantai keramik artistik 10cm x 20cm</v>
      </c>
      <c r="I236" s="215" t="s">
        <v>23</v>
      </c>
      <c r="J236" s="547">
        <f t="shared" si="21"/>
        <v>314594</v>
      </c>
      <c r="L236" s="475"/>
    </row>
    <row r="237" spans="5:12" ht="15" customHeight="1">
      <c r="E237" s="509">
        <f t="shared" si="19"/>
        <v>215</v>
      </c>
      <c r="F237" s="213"/>
      <c r="G237" s="216" t="s">
        <v>844</v>
      </c>
      <c r="H237" s="214" t="str">
        <f t="shared" si="20"/>
        <v>Pemasangan 1m2 lantai keramik artistik 10cm x 10cm atau 5cm x 20cm</v>
      </c>
      <c r="I237" s="215" t="s">
        <v>23</v>
      </c>
      <c r="J237" s="547">
        <f t="shared" si="21"/>
        <v>426582</v>
      </c>
      <c r="L237" s="475"/>
    </row>
    <row r="238" spans="5:12" ht="15" customHeight="1">
      <c r="E238" s="509">
        <f t="shared" si="19"/>
        <v>216</v>
      </c>
      <c r="F238" s="213"/>
      <c r="G238" s="216" t="s">
        <v>847</v>
      </c>
      <c r="H238" s="214" t="str">
        <f t="shared" si="20"/>
        <v>Pemasangan 1m2 lantai keramik ukuran 33cm x 33cm</v>
      </c>
      <c r="I238" s="215" t="s">
        <v>23</v>
      </c>
      <c r="J238" s="547">
        <f t="shared" si="21"/>
        <v>299766</v>
      </c>
      <c r="L238" s="475"/>
    </row>
    <row r="239" spans="5:12" ht="15" customHeight="1">
      <c r="E239" s="509">
        <f t="shared" si="19"/>
        <v>217</v>
      </c>
      <c r="F239" s="213"/>
      <c r="G239" s="216" t="s">
        <v>850</v>
      </c>
      <c r="H239" s="214" t="str">
        <f t="shared" si="20"/>
        <v>Pemasangan 1m2 lantai keramik ukuran 30cm x 30cm</v>
      </c>
      <c r="I239" s="215" t="s">
        <v>23</v>
      </c>
      <c r="J239" s="547">
        <f t="shared" si="21"/>
        <v>302112</v>
      </c>
      <c r="L239" s="475"/>
    </row>
    <row r="240" spans="5:12" ht="15" customHeight="1">
      <c r="E240" s="509">
        <f t="shared" si="19"/>
        <v>218</v>
      </c>
      <c r="F240" s="213"/>
      <c r="G240" s="216" t="s">
        <v>853</v>
      </c>
      <c r="H240" s="214" t="str">
        <f t="shared" si="20"/>
        <v>Pemasangan 1m2 lantai keramik ukuran 20cm x 20cm</v>
      </c>
      <c r="I240" s="215" t="s">
        <v>23</v>
      </c>
      <c r="J240" s="547">
        <f t="shared" si="21"/>
        <v>351087</v>
      </c>
      <c r="L240" s="475"/>
    </row>
    <row r="241" spans="5:12" ht="15" customHeight="1">
      <c r="E241" s="509">
        <f t="shared" si="19"/>
        <v>219</v>
      </c>
      <c r="F241" s="213"/>
      <c r="G241" s="216" t="s">
        <v>856</v>
      </c>
      <c r="H241" s="214" t="str">
        <f t="shared" si="20"/>
        <v>keramik ukuran 10cm x 33cm untuk variasi/border</v>
      </c>
      <c r="I241" s="215" t="s">
        <v>23</v>
      </c>
      <c r="J241" s="547">
        <f t="shared" si="21"/>
        <v>937680</v>
      </c>
      <c r="L241" s="475"/>
    </row>
    <row r="242" spans="5:12" ht="15" customHeight="1">
      <c r="E242" s="509">
        <f t="shared" si="19"/>
        <v>220</v>
      </c>
      <c r="F242" s="213"/>
      <c r="G242" s="216" t="s">
        <v>859</v>
      </c>
      <c r="H242" s="214" t="str">
        <f t="shared" si="20"/>
        <v>Pemasangan 1m2 lantai keramik mozaik ukuran 30cm x 30cm</v>
      </c>
      <c r="I242" s="215" t="s">
        <v>23</v>
      </c>
      <c r="J242" s="547">
        <f t="shared" si="21"/>
        <v>389500</v>
      </c>
      <c r="L242" s="475"/>
    </row>
    <row r="243" spans="5:12" ht="15" customHeight="1">
      <c r="E243" s="509">
        <f t="shared" si="19"/>
        <v>221</v>
      </c>
      <c r="F243" s="213"/>
      <c r="G243" s="216" t="s">
        <v>862</v>
      </c>
      <c r="H243" s="214" t="str">
        <f t="shared" si="20"/>
        <v>Pemasangan 1 m’ plint keramik ukuran 10cm x 20cm</v>
      </c>
      <c r="I243" s="215" t="s">
        <v>23</v>
      </c>
      <c r="J243" s="547">
        <f t="shared" si="21"/>
        <v>85172</v>
      </c>
      <c r="L243" s="475"/>
    </row>
    <row r="244" spans="5:12" ht="15" customHeight="1">
      <c r="E244" s="509">
        <f t="shared" si="19"/>
        <v>222</v>
      </c>
      <c r="F244" s="213"/>
      <c r="G244" s="216" t="s">
        <v>865</v>
      </c>
      <c r="H244" s="214" t="str">
        <f t="shared" si="20"/>
        <v>Pemasangan 1 m’ plint keramik ukuran 10cm x 10cm</v>
      </c>
      <c r="I244" s="215" t="s">
        <v>23</v>
      </c>
      <c r="J244" s="547">
        <f t="shared" si="21"/>
        <v>112932</v>
      </c>
      <c r="L244" s="475"/>
    </row>
    <row r="245" spans="5:12" ht="15" customHeight="1">
      <c r="E245" s="509">
        <f t="shared" si="19"/>
        <v>223</v>
      </c>
      <c r="F245" s="213"/>
      <c r="G245" s="216" t="s">
        <v>868</v>
      </c>
      <c r="H245" s="214" t="str">
        <f t="shared" si="20"/>
        <v>Pemasangan 1 m’ plint keramik ukuran 5cm x 20cm</v>
      </c>
      <c r="I245" s="215" t="s">
        <v>23</v>
      </c>
      <c r="J245" s="547">
        <f t="shared" si="21"/>
        <v>68967</v>
      </c>
      <c r="L245" s="475"/>
    </row>
    <row r="246" spans="5:12" ht="15" customHeight="1">
      <c r="E246" s="509">
        <f t="shared" si="19"/>
        <v>224</v>
      </c>
      <c r="F246" s="213"/>
      <c r="G246" s="216" t="s">
        <v>871</v>
      </c>
      <c r="H246" s="214" t="str">
        <f t="shared" si="20"/>
        <v>Pemasangan 1 m’ plint internal cove artistik 5cm x 5cm x 20cm</v>
      </c>
      <c r="I246" s="215" t="s">
        <v>23</v>
      </c>
      <c r="J246" s="547">
        <f t="shared" si="21"/>
        <v>282307</v>
      </c>
      <c r="L246" s="475"/>
    </row>
    <row r="247" spans="5:12" ht="15" customHeight="1">
      <c r="E247" s="509">
        <f t="shared" si="19"/>
        <v>225</v>
      </c>
      <c r="F247" s="213"/>
      <c r="G247" s="216" t="s">
        <v>874</v>
      </c>
      <c r="H247" s="214" t="str">
        <f t="shared" si="20"/>
        <v>Pemasangan 1 m2 lantai marmer ukuran 100cm x 100cm</v>
      </c>
      <c r="I247" s="215" t="s">
        <v>23</v>
      </c>
      <c r="J247" s="547">
        <f t="shared" si="21"/>
        <v>278619</v>
      </c>
      <c r="L247" s="475"/>
    </row>
    <row r="248" spans="5:12" ht="15" customHeight="1">
      <c r="E248" s="509">
        <f t="shared" si="19"/>
        <v>226</v>
      </c>
      <c r="F248" s="213"/>
      <c r="G248" s="216" t="s">
        <v>877</v>
      </c>
      <c r="H248" s="214" t="str">
        <f t="shared" si="20"/>
        <v>Pemasangan 1 m2 lantai karpet</v>
      </c>
      <c r="I248" s="215" t="s">
        <v>23</v>
      </c>
      <c r="J248" s="547">
        <f t="shared" si="21"/>
        <v>639549</v>
      </c>
      <c r="L248" s="475"/>
    </row>
    <row r="249" spans="5:12" ht="15" customHeight="1">
      <c r="E249" s="509">
        <f t="shared" si="19"/>
        <v>227</v>
      </c>
      <c r="F249" s="213"/>
      <c r="G249" s="216" t="s">
        <v>881</v>
      </c>
      <c r="H249" s="214" t="str">
        <f t="shared" si="20"/>
        <v>Pemasangan 1 m2 underlayer (pelapis bawah karpet)</v>
      </c>
      <c r="I249" s="215" t="s">
        <v>23</v>
      </c>
      <c r="J249" s="547">
        <f t="shared" si="21"/>
        <v>85950</v>
      </c>
      <c r="L249" s="475"/>
    </row>
    <row r="250" spans="5:12" ht="15" customHeight="1">
      <c r="E250" s="509">
        <f t="shared" si="19"/>
        <v>228</v>
      </c>
      <c r="F250" s="213"/>
      <c r="G250" s="216" t="s">
        <v>884</v>
      </c>
      <c r="H250" s="214" t="str">
        <f t="shared" si="20"/>
        <v>Pemasangan 1 m2 lantai parquet kayu</v>
      </c>
      <c r="I250" s="215" t="s">
        <v>23</v>
      </c>
      <c r="J250" s="547">
        <f t="shared" si="21"/>
        <v>196178</v>
      </c>
      <c r="L250" s="475"/>
    </row>
    <row r="251" spans="5:12" ht="15" customHeight="1">
      <c r="E251" s="509">
        <f t="shared" si="19"/>
        <v>229</v>
      </c>
      <c r="F251" s="213"/>
      <c r="G251" s="216" t="s">
        <v>887</v>
      </c>
      <c r="H251" s="214" t="str">
        <f t="shared" si="20"/>
        <v>Pemasangan 1 m2 lantai  kayu gymfloor</v>
      </c>
      <c r="I251" s="215" t="s">
        <v>23</v>
      </c>
      <c r="J251" s="547">
        <f t="shared" si="21"/>
        <v>598973</v>
      </c>
      <c r="L251" s="475"/>
    </row>
    <row r="252" spans="5:12" ht="15" customHeight="1">
      <c r="E252" s="509">
        <f t="shared" si="19"/>
        <v>230</v>
      </c>
      <c r="F252" s="213"/>
      <c r="G252" s="216" t="s">
        <v>890</v>
      </c>
      <c r="H252" s="214" t="str">
        <f t="shared" si="20"/>
        <v>Pemasangan 1 m2 dinding porslen 11cm x 11cm</v>
      </c>
      <c r="I252" s="215" t="s">
        <v>23</v>
      </c>
      <c r="J252" s="547">
        <f t="shared" si="21"/>
        <v>947855</v>
      </c>
      <c r="L252" s="475"/>
    </row>
    <row r="253" spans="5:12" ht="15" customHeight="1">
      <c r="E253" s="509">
        <f t="shared" si="19"/>
        <v>231</v>
      </c>
      <c r="F253" s="213"/>
      <c r="G253" s="216" t="s">
        <v>893</v>
      </c>
      <c r="H253" s="214" t="str">
        <f t="shared" si="20"/>
        <v>Pemasangan 1 m2 dinding porslen 10cm x 20cm</v>
      </c>
      <c r="I253" s="215" t="s">
        <v>23</v>
      </c>
      <c r="J253" s="547">
        <f t="shared" si="21"/>
        <v>590245</v>
      </c>
      <c r="L253" s="475"/>
    </row>
    <row r="254" spans="5:12" ht="15" customHeight="1">
      <c r="E254" s="509">
        <f t="shared" si="19"/>
        <v>232</v>
      </c>
      <c r="F254" s="213"/>
      <c r="G254" s="216" t="s">
        <v>896</v>
      </c>
      <c r="H254" s="214" t="str">
        <f t="shared" si="20"/>
        <v>Pemasangan 1 m2 dinding porslen 20cm x 20cm</v>
      </c>
      <c r="I254" s="215" t="s">
        <v>23</v>
      </c>
      <c r="J254" s="547">
        <f t="shared" si="21"/>
        <v>494334</v>
      </c>
      <c r="L254" s="475"/>
    </row>
    <row r="255" spans="5:12" ht="15" customHeight="1">
      <c r="E255" s="509">
        <f t="shared" si="19"/>
        <v>233</v>
      </c>
      <c r="F255" s="213"/>
      <c r="G255" s="216" t="s">
        <v>899</v>
      </c>
      <c r="H255" s="214" t="str">
        <f t="shared" si="20"/>
        <v>Pemasangan 1 m2 dinding keramik artistik  10cm x 20cm</v>
      </c>
      <c r="I255" s="215" t="s">
        <v>23</v>
      </c>
      <c r="J255" s="547">
        <f t="shared" si="21"/>
        <v>357045</v>
      </c>
      <c r="L255" s="475"/>
    </row>
    <row r="256" spans="5:12" ht="15" customHeight="1">
      <c r="E256" s="509">
        <f t="shared" si="19"/>
        <v>234</v>
      </c>
      <c r="F256" s="213"/>
      <c r="G256" s="216" t="s">
        <v>902</v>
      </c>
      <c r="H256" s="214" t="str">
        <f t="shared" si="20"/>
        <v>Pemasangan 1 m2 dinding keramik artistik  5cm x 20cm</v>
      </c>
      <c r="I256" s="215" t="s">
        <v>23</v>
      </c>
      <c r="J256" s="547">
        <f t="shared" si="21"/>
        <v>503201</v>
      </c>
      <c r="L256" s="475"/>
    </row>
    <row r="257" spans="5:12" ht="15" customHeight="1">
      <c r="E257" s="509">
        <f t="shared" si="19"/>
        <v>235</v>
      </c>
      <c r="F257" s="213"/>
      <c r="G257" s="216" t="s">
        <v>905</v>
      </c>
      <c r="H257" s="214" t="str">
        <f t="shared" si="20"/>
        <v>Pemasangan 1 m2 dinding keramik 10cm x 20cm</v>
      </c>
      <c r="I257" s="215" t="s">
        <v>23</v>
      </c>
      <c r="J257" s="547">
        <f t="shared" si="21"/>
        <v>374535</v>
      </c>
      <c r="L257" s="483"/>
    </row>
    <row r="258" spans="5:12" ht="15" customHeight="1">
      <c r="E258" s="509">
        <f t="shared" si="19"/>
        <v>236</v>
      </c>
      <c r="F258" s="213"/>
      <c r="G258" s="216" t="s">
        <v>908</v>
      </c>
      <c r="H258" s="214" t="str">
        <f t="shared" si="20"/>
        <v>Pemasangan 1 m2 dinding keramik  20cm x 20cm</v>
      </c>
      <c r="I258" s="215" t="s">
        <v>23</v>
      </c>
      <c r="J258" s="547">
        <f t="shared" si="21"/>
        <v>366514</v>
      </c>
      <c r="L258" s="475"/>
    </row>
    <row r="259" spans="5:12" ht="15" customHeight="1">
      <c r="E259" s="509">
        <f t="shared" si="19"/>
        <v>237</v>
      </c>
      <c r="F259" s="213"/>
      <c r="G259" s="216" t="s">
        <v>911</v>
      </c>
      <c r="H259" s="214" t="str">
        <f t="shared" si="20"/>
        <v>Pemasangan 1 m2 dinding marmer 100cm x 100cm</v>
      </c>
      <c r="I259" s="215" t="s">
        <v>23</v>
      </c>
      <c r="J259" s="547">
        <f t="shared" si="21"/>
        <v>605666</v>
      </c>
      <c r="L259" s="475"/>
    </row>
    <row r="260" spans="5:12" ht="15" customHeight="1">
      <c r="E260" s="509">
        <f t="shared" si="19"/>
        <v>238</v>
      </c>
      <c r="F260" s="213"/>
      <c r="G260" s="216" t="s">
        <v>914</v>
      </c>
      <c r="H260" s="214" t="str">
        <f t="shared" si="20"/>
        <v>Pemasangan 1 m2 dinding bata pelapis 3cm x 7cm x 24cm</v>
      </c>
      <c r="I260" s="215" t="s">
        <v>23</v>
      </c>
      <c r="J260" s="547">
        <f t="shared" si="21"/>
        <v>336775</v>
      </c>
      <c r="L260" s="475"/>
    </row>
    <row r="261" spans="5:12" ht="15" customHeight="1">
      <c r="E261" s="509">
        <f t="shared" si="19"/>
        <v>239</v>
      </c>
      <c r="F261" s="213"/>
      <c r="G261" s="216" t="s">
        <v>917</v>
      </c>
      <c r="H261" s="214" t="str">
        <f t="shared" si="20"/>
        <v>Pemasangan 1 m2 dinding batu paras</v>
      </c>
      <c r="I261" s="215" t="s">
        <v>23</v>
      </c>
      <c r="J261" s="547">
        <f t="shared" si="21"/>
        <v>314212</v>
      </c>
      <c r="L261" s="475"/>
    </row>
    <row r="262" spans="5:12" ht="15" customHeight="1">
      <c r="E262" s="509">
        <f t="shared" si="19"/>
        <v>240</v>
      </c>
      <c r="F262" s="213"/>
      <c r="G262" s="216" t="s">
        <v>920</v>
      </c>
      <c r="H262" s="214" t="str">
        <f t="shared" si="20"/>
        <v>Pemasangan 1 m2 dinding batu tempel hitam</v>
      </c>
      <c r="I262" s="215" t="s">
        <v>23</v>
      </c>
      <c r="J262" s="547">
        <f t="shared" si="21"/>
        <v>220921</v>
      </c>
      <c r="L262" s="475"/>
    </row>
    <row r="263" spans="5:12" ht="15" customHeight="1">
      <c r="E263" s="509">
        <f t="shared" si="19"/>
        <v>241</v>
      </c>
      <c r="F263" s="213"/>
      <c r="G263" s="216" t="s">
        <v>923</v>
      </c>
      <c r="H263" s="214" t="str">
        <f t="shared" si="20"/>
        <v>Pemasangan 1 m2 lantai vynil ukuran 30cm x 30cm</v>
      </c>
      <c r="I263" s="215" t="s">
        <v>23</v>
      </c>
      <c r="J263" s="547">
        <f t="shared" si="21"/>
        <v>324031</v>
      </c>
      <c r="L263" s="475"/>
    </row>
    <row r="264" spans="5:12" ht="15" customHeight="1">
      <c r="E264" s="509">
        <f t="shared" si="19"/>
        <v>242</v>
      </c>
      <c r="F264" s="213"/>
      <c r="G264" s="216" t="s">
        <v>926</v>
      </c>
      <c r="H264" s="214" t="str">
        <f t="shared" si="20"/>
        <v>Pemasangan 1 m2 wallpaper lebar 50 cm</v>
      </c>
      <c r="I264" s="215" t="s">
        <v>23</v>
      </c>
      <c r="J264" s="547">
        <f t="shared" si="21"/>
        <v>146198</v>
      </c>
      <c r="L264" s="475"/>
    </row>
    <row r="265" spans="5:12" ht="15" customHeight="1">
      <c r="E265" s="509">
        <f t="shared" si="19"/>
        <v>243</v>
      </c>
      <c r="F265" s="213"/>
      <c r="G265" s="216" t="s">
        <v>930</v>
      </c>
      <c r="H265" s="214" t="str">
        <f t="shared" si="20"/>
        <v>Pemasangan 1m2 floor harderner</v>
      </c>
      <c r="I265" s="215" t="s">
        <v>23</v>
      </c>
      <c r="J265" s="547">
        <f t="shared" si="21"/>
        <v>63360</v>
      </c>
      <c r="L265" s="475"/>
    </row>
    <row r="266" spans="5:12" ht="15" customHeight="1">
      <c r="E266" s="509">
        <f t="shared" si="19"/>
        <v>244</v>
      </c>
      <c r="F266" s="213"/>
      <c r="G266" s="216" t="s">
        <v>933</v>
      </c>
      <c r="H266" s="214" t="str">
        <f t="shared" si="20"/>
        <v>Pemasangan 1 m’ plint vynil 15cm x 30cm</v>
      </c>
      <c r="I266" s="215" t="s">
        <v>23</v>
      </c>
      <c r="J266" s="547">
        <f t="shared" si="21"/>
        <v>83398</v>
      </c>
      <c r="L266" s="475"/>
    </row>
    <row r="267" spans="5:12" ht="15" customHeight="1">
      <c r="E267" s="509">
        <f t="shared" si="19"/>
        <v>245</v>
      </c>
      <c r="F267" s="213"/>
      <c r="G267" s="216" t="s">
        <v>936</v>
      </c>
      <c r="H267" s="214" t="str">
        <f t="shared" si="20"/>
        <v>Pemasangan 1 m’ plint kayu tebal 2 cm lebar 10 cm</v>
      </c>
      <c r="I267" s="215" t="s">
        <v>23</v>
      </c>
      <c r="J267" s="547">
        <f t="shared" si="21"/>
        <v>64091</v>
      </c>
      <c r="L267" s="475"/>
    </row>
    <row r="268" spans="5:12" ht="15" customHeight="1">
      <c r="E268" s="509">
        <f t="shared" si="19"/>
        <v>246</v>
      </c>
      <c r="F268" s="213"/>
      <c r="G268" s="216" t="s">
        <v>939</v>
      </c>
      <c r="H268" s="214" t="str">
        <f t="shared" si="20"/>
        <v xml:space="preserve">Pemasangan 1 m2 paving block natural tebal 6 cm </v>
      </c>
      <c r="I268" s="215" t="s">
        <v>23</v>
      </c>
      <c r="J268" s="547">
        <f t="shared" si="21"/>
        <v>291536</v>
      </c>
      <c r="L268" s="475"/>
    </row>
    <row r="269" spans="5:12" ht="15" customHeight="1">
      <c r="E269" s="509">
        <f t="shared" si="19"/>
        <v>247</v>
      </c>
      <c r="F269" s="213"/>
      <c r="G269" s="216" t="s">
        <v>944</v>
      </c>
      <c r="H269" s="214" t="str">
        <f t="shared" si="20"/>
        <v xml:space="preserve">Pemasangan 1 m2 paving block natural tebal 8 cm </v>
      </c>
      <c r="I269" s="215" t="s">
        <v>23</v>
      </c>
      <c r="J269" s="547">
        <f t="shared" si="21"/>
        <v>115041</v>
      </c>
      <c r="L269" s="475"/>
    </row>
    <row r="270" spans="5:12" ht="15" customHeight="1">
      <c r="E270" s="509">
        <f t="shared" ref="E270:E332" si="22">E269+1</f>
        <v>248</v>
      </c>
      <c r="F270" s="213"/>
      <c r="G270" s="216" t="s">
        <v>947</v>
      </c>
      <c r="H270" s="214" t="str">
        <f>VLOOKUP(G270,AHSP,2,FALSE)</f>
        <v>Pemasangan 1 m2 paving block berwarna tebal 6 cm</v>
      </c>
      <c r="I270" s="215" t="s">
        <v>23</v>
      </c>
      <c r="J270" s="547">
        <f>VLOOKUP(G270,AHSP,9,FALSE)</f>
        <v>303573</v>
      </c>
      <c r="L270" s="475"/>
    </row>
    <row r="271" spans="5:12" ht="15" customHeight="1">
      <c r="E271" s="509">
        <f t="shared" si="22"/>
        <v>249</v>
      </c>
      <c r="F271" s="213"/>
      <c r="G271" s="216" t="s">
        <v>950</v>
      </c>
      <c r="H271" s="214" t="str">
        <f>VLOOKUP(G271,AHSP,2,FALSE)</f>
        <v xml:space="preserve">Pemasangan 1 m2 paving block berwarna tebal 8 cm </v>
      </c>
      <c r="I271" s="215" t="s">
        <v>23</v>
      </c>
      <c r="J271" s="547">
        <f>VLOOKUP(G271,AHSP,9,FALSE)</f>
        <v>281002</v>
      </c>
      <c r="L271" s="475"/>
    </row>
    <row r="272" spans="5:12" ht="15" customHeight="1">
      <c r="E272" s="509">
        <f t="shared" si="22"/>
        <v>250</v>
      </c>
      <c r="F272" s="213"/>
      <c r="G272" s="216" t="s">
        <v>953</v>
      </c>
      <c r="H272" s="214" t="str">
        <f>VLOOKUP(G272,AHSP,2,FALSE)</f>
        <v>Pemasangan 1 M2 Aluminium Composite Panel</v>
      </c>
      <c r="I272" s="215" t="s">
        <v>23</v>
      </c>
      <c r="J272" s="547">
        <f>VLOOKUP(G272,AHSP,9,FALSE)</f>
        <v>203649</v>
      </c>
      <c r="L272" s="475"/>
    </row>
    <row r="273" spans="1:12" ht="15" customHeight="1">
      <c r="E273" s="509"/>
      <c r="F273" s="213"/>
      <c r="G273" s="7"/>
      <c r="H273" s="7"/>
      <c r="I273" s="217"/>
      <c r="J273" s="553"/>
      <c r="L273" s="475"/>
    </row>
    <row r="274" spans="1:12" s="473" customFormat="1" ht="15" customHeight="1">
      <c r="A274" s="624"/>
      <c r="B274" s="624"/>
      <c r="C274" s="624"/>
      <c r="D274" s="667"/>
      <c r="E274" s="548"/>
      <c r="F274" s="492" t="s">
        <v>957</v>
      </c>
      <c r="G274" s="493" t="s">
        <v>958</v>
      </c>
      <c r="H274" s="471"/>
      <c r="I274" s="491"/>
      <c r="J274" s="546"/>
      <c r="L274" s="476"/>
    </row>
    <row r="275" spans="1:12" ht="15" customHeight="1">
      <c r="E275" s="509">
        <f>E272+1</f>
        <v>251</v>
      </c>
      <c r="F275" s="213"/>
      <c r="G275" s="7" t="s">
        <v>959</v>
      </c>
      <c r="H275" s="214" t="str">
        <f t="shared" ref="H275:H284" si="23">VLOOKUP(G275,AHSP,2,FALSE)</f>
        <v>Pemasangan 1 m2 langit-langit asbes semen, tebal  4 mm, 5 mm, dan 6 mm</v>
      </c>
      <c r="I275" s="215" t="s">
        <v>23</v>
      </c>
      <c r="J275" s="547">
        <f t="shared" ref="J275:J284" si="24">VLOOKUP(G275,AHSP,9,FALSE)</f>
        <v>126353</v>
      </c>
      <c r="L275" s="475"/>
    </row>
    <row r="276" spans="1:12" ht="15" customHeight="1">
      <c r="E276" s="509">
        <f t="shared" si="22"/>
        <v>252</v>
      </c>
      <c r="F276" s="213"/>
      <c r="G276" s="216" t="s">
        <v>963</v>
      </c>
      <c r="H276" s="214" t="str">
        <f t="shared" si="23"/>
        <v>Pemasangan 1 m2 langit-langit akustik  ukuran (30 x 30) cm</v>
      </c>
      <c r="I276" s="215" t="s">
        <v>23</v>
      </c>
      <c r="J276" s="547">
        <f t="shared" si="24"/>
        <v>604457</v>
      </c>
      <c r="L276" s="475"/>
    </row>
    <row r="277" spans="1:12" ht="15" customHeight="1">
      <c r="E277" s="509">
        <f t="shared" si="22"/>
        <v>253</v>
      </c>
      <c r="F277" s="213"/>
      <c r="G277" s="7" t="s">
        <v>966</v>
      </c>
      <c r="H277" s="214" t="str">
        <f t="shared" si="23"/>
        <v>Pemasangan 1 m2 langit-langit akustik  ukuran (30 x 60) cm</v>
      </c>
      <c r="I277" s="215" t="s">
        <v>23</v>
      </c>
      <c r="J277" s="547">
        <f t="shared" si="24"/>
        <v>458388</v>
      </c>
      <c r="L277" s="475"/>
    </row>
    <row r="278" spans="1:12" ht="15" customHeight="1">
      <c r="E278" s="509">
        <f t="shared" si="22"/>
        <v>254</v>
      </c>
      <c r="F278" s="213"/>
      <c r="G278" s="216" t="s">
        <v>969</v>
      </c>
      <c r="H278" s="214" t="str">
        <f t="shared" si="23"/>
        <v>Pemasangan 1 m2 langit-langit akustik  ukuran (60 x 120) cm</v>
      </c>
      <c r="I278" s="215" t="s">
        <v>23</v>
      </c>
      <c r="J278" s="547">
        <f t="shared" si="24"/>
        <v>293993</v>
      </c>
      <c r="L278" s="475"/>
    </row>
    <row r="279" spans="1:12" ht="15" customHeight="1">
      <c r="E279" s="549">
        <f t="shared" si="22"/>
        <v>255</v>
      </c>
      <c r="F279" s="220"/>
      <c r="G279" s="224" t="s">
        <v>972</v>
      </c>
      <c r="H279" s="222" t="str">
        <f t="shared" si="23"/>
        <v>Pemasangan 1 m2  langit-langit tripleks ukuran (120 x 240) cm, tebal 3 mm, 4 mm &amp; 6</v>
      </c>
      <c r="I279" s="215" t="s">
        <v>23</v>
      </c>
      <c r="J279" s="550">
        <f t="shared" si="24"/>
        <v>53113</v>
      </c>
      <c r="L279" s="475"/>
    </row>
    <row r="280" spans="1:12" ht="15" customHeight="1">
      <c r="E280" s="509">
        <f t="shared" si="22"/>
        <v>256</v>
      </c>
      <c r="F280" s="213"/>
      <c r="G280" s="216" t="s">
        <v>975</v>
      </c>
      <c r="H280" s="214" t="str">
        <f t="shared" si="23"/>
        <v>Pemasangan 1 m2 langit-langit lambrisering kayu, tebal 9 mm</v>
      </c>
      <c r="I280" s="215" t="s">
        <v>23</v>
      </c>
      <c r="J280" s="547">
        <f t="shared" si="24"/>
        <v>338493</v>
      </c>
      <c r="L280" s="475"/>
    </row>
    <row r="281" spans="1:12" s="474" customFormat="1" ht="15" customHeight="1">
      <c r="A281" s="625"/>
      <c r="B281" s="625"/>
      <c r="C281" s="625"/>
      <c r="D281" s="668"/>
      <c r="E281" s="549">
        <f t="shared" si="22"/>
        <v>257</v>
      </c>
      <c r="F281" s="220"/>
      <c r="G281" s="224" t="s">
        <v>978</v>
      </c>
      <c r="H281" s="222" t="str">
        <f t="shared" si="23"/>
        <v>Pemasangan 1 m2 langit-langit gypsum board ukuran (120x240x9) mm, tebal 9 mm</v>
      </c>
      <c r="I281" s="215" t="s">
        <v>23</v>
      </c>
      <c r="J281" s="550">
        <f t="shared" si="24"/>
        <v>64700</v>
      </c>
      <c r="L281" s="478"/>
    </row>
    <row r="282" spans="1:12" s="474" customFormat="1" ht="15" customHeight="1">
      <c r="A282" s="625"/>
      <c r="B282" s="625"/>
      <c r="C282" s="625"/>
      <c r="D282" s="668"/>
      <c r="E282" s="549">
        <f t="shared" si="22"/>
        <v>258</v>
      </c>
      <c r="F282" s="220"/>
      <c r="G282" s="221" t="s">
        <v>981</v>
      </c>
      <c r="H282" s="222" t="str">
        <f t="shared" si="23"/>
        <v>Pemasangan list langit-langit gypsum</v>
      </c>
      <c r="I282" s="215" t="s">
        <v>23</v>
      </c>
      <c r="J282" s="550">
        <f t="shared" si="24"/>
        <v>41910</v>
      </c>
      <c r="L282" s="484"/>
    </row>
    <row r="283" spans="1:12" ht="15" customHeight="1">
      <c r="E283" s="509">
        <f t="shared" si="22"/>
        <v>259</v>
      </c>
      <c r="F283" s="213"/>
      <c r="G283" s="7" t="s">
        <v>986</v>
      </c>
      <c r="H283" s="214" t="str">
        <f t="shared" si="23"/>
        <v>Pemasangan 1  m2   langit-langit  akustik  ukuran (60  x 120)  cm berikut  rangka alluminium</v>
      </c>
      <c r="I283" s="215" t="s">
        <v>33</v>
      </c>
      <c r="J283" s="547">
        <f t="shared" si="24"/>
        <v>486771</v>
      </c>
      <c r="L283" s="475"/>
    </row>
    <row r="284" spans="1:12" ht="15" customHeight="1">
      <c r="E284" s="509">
        <f t="shared" si="22"/>
        <v>260</v>
      </c>
      <c r="F284" s="213"/>
      <c r="G284" s="216" t="s">
        <v>989</v>
      </c>
      <c r="H284" s="214" t="str">
        <f t="shared" si="23"/>
        <v>Pemasangan 1 m’ list langit-langit kayu profil</v>
      </c>
      <c r="I284" s="215" t="s">
        <v>23</v>
      </c>
      <c r="J284" s="547">
        <f t="shared" si="24"/>
        <v>20955</v>
      </c>
      <c r="L284" s="475"/>
    </row>
    <row r="285" spans="1:12" ht="15" customHeight="1">
      <c r="E285" s="509">
        <f t="shared" si="22"/>
        <v>261</v>
      </c>
      <c r="F285" s="213"/>
      <c r="G285" s="7" t="s">
        <v>1673</v>
      </c>
      <c r="H285" s="214" t="str">
        <f>VLOOKUP(G285,AHSP,2,FALSE)</f>
        <v>Pemasangan 1 m2  rangka besi hollow 1x40.40.2mm, modul 60 x 60 cm, plafon</v>
      </c>
      <c r="I285" s="215" t="s">
        <v>23</v>
      </c>
      <c r="J285" s="547">
        <f>VLOOKUP(G285,AHSP,9,FALSE)</f>
        <v>423593</v>
      </c>
      <c r="L285" s="475"/>
    </row>
    <row r="286" spans="1:12" ht="15" customHeight="1">
      <c r="E286" s="509">
        <f t="shared" si="22"/>
        <v>262</v>
      </c>
      <c r="F286" s="213"/>
      <c r="G286" s="216" t="s">
        <v>1674</v>
      </c>
      <c r="H286" s="214" t="str">
        <f>VLOOKUP(G286,AHSP,2,FALSE)</f>
        <v>Pemasangan 1 m2 Langit-langit Akustik Ukuran 60 cm x 120 cm Berikut Rangka Aluminium Hollow 40.40</v>
      </c>
      <c r="I286" s="215" t="s">
        <v>23</v>
      </c>
      <c r="J286" s="547">
        <f>VLOOKUP(G286,AHSP,9,FALSE)</f>
        <v>508472</v>
      </c>
      <c r="L286" s="475"/>
    </row>
    <row r="287" spans="1:12" ht="15" customHeight="1">
      <c r="E287" s="509">
        <f t="shared" si="22"/>
        <v>263</v>
      </c>
      <c r="F287" s="213"/>
      <c r="G287" s="7" t="s">
        <v>1675</v>
      </c>
      <c r="H287" s="214" t="str">
        <f>VLOOKUP(G287,AHSP,2,FALSE)</f>
        <v>Pemasangan 1 m2 Plafond PVC</v>
      </c>
      <c r="I287" s="215" t="s">
        <v>23</v>
      </c>
      <c r="J287" s="547">
        <f>VLOOKUP(G287,AHSP,9,FALSE)</f>
        <v>244650</v>
      </c>
      <c r="L287" s="475"/>
    </row>
    <row r="288" spans="1:12" ht="15" customHeight="1">
      <c r="E288" s="509"/>
      <c r="F288" s="213"/>
      <c r="G288" s="7"/>
      <c r="H288" s="7"/>
      <c r="I288" s="217"/>
      <c r="J288" s="553"/>
      <c r="L288" s="475"/>
    </row>
    <row r="289" spans="1:12" s="473" customFormat="1" ht="15" customHeight="1">
      <c r="A289" s="624"/>
      <c r="B289" s="624"/>
      <c r="C289" s="624"/>
      <c r="D289" s="667"/>
      <c r="E289" s="548"/>
      <c r="F289" s="492" t="s">
        <v>992</v>
      </c>
      <c r="G289" s="493" t="s">
        <v>993</v>
      </c>
      <c r="H289" s="471"/>
      <c r="I289" s="491"/>
      <c r="J289" s="546"/>
      <c r="L289" s="476"/>
    </row>
    <row r="290" spans="1:12" ht="15" customHeight="1">
      <c r="E290" s="509">
        <f>E287+1</f>
        <v>264</v>
      </c>
      <c r="F290" s="213"/>
      <c r="G290" s="216" t="s">
        <v>994</v>
      </c>
      <c r="H290" s="214" t="str">
        <f t="shared" ref="H290:H332" si="25">VLOOKUP(G290,AHSP,2,FALSE)</f>
        <v>Pemasangan 1 m2 atap genteng palentong kecil</v>
      </c>
      <c r="I290" s="215" t="s">
        <v>23</v>
      </c>
      <c r="J290" s="547">
        <f t="shared" ref="J290:J332" si="26">VLOOKUP(G290,AHSP,9,FALSE)</f>
        <v>115607</v>
      </c>
      <c r="L290" s="475"/>
    </row>
    <row r="291" spans="1:12" ht="15" customHeight="1">
      <c r="E291" s="509">
        <f t="shared" si="22"/>
        <v>265</v>
      </c>
      <c r="F291" s="213"/>
      <c r="G291" s="216" t="s">
        <v>997</v>
      </c>
      <c r="H291" s="214" t="str">
        <f t="shared" si="25"/>
        <v>Pemasangan 1 m2 atap genteng kodok glazuur</v>
      </c>
      <c r="I291" s="215" t="s">
        <v>23</v>
      </c>
      <c r="J291" s="547">
        <f t="shared" si="26"/>
        <v>85173</v>
      </c>
      <c r="L291" s="475"/>
    </row>
    <row r="292" spans="1:12" ht="15" customHeight="1">
      <c r="E292" s="509">
        <f t="shared" si="22"/>
        <v>266</v>
      </c>
      <c r="F292" s="213"/>
      <c r="G292" s="216" t="s">
        <v>1000</v>
      </c>
      <c r="H292" s="214" t="str">
        <f t="shared" si="25"/>
        <v>Pemasangan 1 m2 atap genteng palentong besar/super</v>
      </c>
      <c r="I292" s="215" t="s">
        <v>23</v>
      </c>
      <c r="J292" s="547">
        <f t="shared" si="26"/>
        <v>59576</v>
      </c>
      <c r="L292" s="475"/>
    </row>
    <row r="293" spans="1:12" ht="15" customHeight="1">
      <c r="E293" s="509">
        <f t="shared" si="22"/>
        <v>267</v>
      </c>
      <c r="F293" s="213"/>
      <c r="G293" s="216" t="s">
        <v>1002</v>
      </c>
      <c r="H293" s="214" t="str">
        <f t="shared" si="25"/>
        <v>Pemasangan 1 m’ bubung genteng  palentong</v>
      </c>
      <c r="I293" s="215"/>
      <c r="J293" s="547">
        <f t="shared" si="26"/>
        <v>151296</v>
      </c>
      <c r="L293" s="475"/>
    </row>
    <row r="294" spans="1:12" ht="15" customHeight="1">
      <c r="E294" s="509">
        <f t="shared" si="22"/>
        <v>268</v>
      </c>
      <c r="F294" s="213"/>
      <c r="G294" s="216" t="s">
        <v>1005</v>
      </c>
      <c r="H294" s="214" t="str">
        <f t="shared" si="25"/>
        <v>Pemasangan 1 m’  bubung genteng kodok glazuur</v>
      </c>
      <c r="I294" s="215"/>
      <c r="J294" s="547">
        <f t="shared" si="26"/>
        <v>151296</v>
      </c>
      <c r="L294" s="475"/>
    </row>
    <row r="295" spans="1:12" ht="15" customHeight="1">
      <c r="E295" s="509">
        <f t="shared" si="22"/>
        <v>269</v>
      </c>
      <c r="F295" s="213"/>
      <c r="G295" s="216" t="s">
        <v>1007</v>
      </c>
      <c r="H295" s="214" t="str">
        <f t="shared" si="25"/>
        <v>Pemasangan 1 m’  bubung genteng palentong besar</v>
      </c>
      <c r="I295" s="215"/>
      <c r="J295" s="547">
        <f t="shared" si="26"/>
        <v>144531</v>
      </c>
      <c r="L295" s="475"/>
    </row>
    <row r="296" spans="1:12" ht="15" customHeight="1">
      <c r="E296" s="509">
        <f t="shared" si="22"/>
        <v>270</v>
      </c>
      <c r="F296" s="213"/>
      <c r="G296" s="216" t="s">
        <v>1009</v>
      </c>
      <c r="H296" s="214" t="str">
        <f t="shared" si="25"/>
        <v>Pemasangan 1 m2  roof light fibreglass 90x180</v>
      </c>
      <c r="I296" s="215" t="s">
        <v>23</v>
      </c>
      <c r="J296" s="547">
        <f t="shared" si="26"/>
        <v>129462</v>
      </c>
      <c r="L296" s="475"/>
    </row>
    <row r="297" spans="1:12" ht="15" customHeight="1">
      <c r="E297" s="509">
        <f t="shared" si="22"/>
        <v>271</v>
      </c>
      <c r="F297" s="213"/>
      <c r="G297" s="216" t="s">
        <v>1012</v>
      </c>
      <c r="H297" s="214" t="str">
        <f t="shared" si="25"/>
        <v>Pemasangan 1 m2  atap asbes gelombang  0,92mx2,5m x 5mm</v>
      </c>
      <c r="I297" s="215" t="s">
        <v>23</v>
      </c>
      <c r="J297" s="547">
        <f t="shared" si="26"/>
        <v>108906</v>
      </c>
      <c r="L297" s="475"/>
    </row>
    <row r="298" spans="1:12" ht="15" customHeight="1">
      <c r="E298" s="509">
        <f t="shared" si="22"/>
        <v>272</v>
      </c>
      <c r="F298" s="213"/>
      <c r="G298" s="216" t="s">
        <v>1016</v>
      </c>
      <c r="H298" s="214" t="str">
        <f t="shared" si="25"/>
        <v>Pemasangan 1 m2  atap asbes gelombang  0,92mx2,25m x 5mm</v>
      </c>
      <c r="I298" s="215" t="s">
        <v>23</v>
      </c>
      <c r="J298" s="547">
        <f t="shared" si="26"/>
        <v>123383</v>
      </c>
      <c r="L298" s="475"/>
    </row>
    <row r="299" spans="1:12" ht="15" customHeight="1">
      <c r="E299" s="509">
        <f t="shared" si="22"/>
        <v>273</v>
      </c>
      <c r="F299" s="213"/>
      <c r="G299" s="216" t="s">
        <v>1018</v>
      </c>
      <c r="H299" s="214" t="str">
        <f t="shared" si="25"/>
        <v>Pemasangan 1 m2  atap asbes gelombang  0,92mx2,00m x 5mm</v>
      </c>
      <c r="I299" s="215" t="s">
        <v>23</v>
      </c>
      <c r="J299" s="547">
        <f t="shared" si="26"/>
        <v>122190</v>
      </c>
      <c r="L299" s="475"/>
    </row>
    <row r="300" spans="1:12" ht="15" customHeight="1">
      <c r="E300" s="509">
        <f t="shared" si="22"/>
        <v>274</v>
      </c>
      <c r="F300" s="213"/>
      <c r="G300" s="216" t="s">
        <v>1020</v>
      </c>
      <c r="H300" s="214" t="str">
        <f t="shared" si="25"/>
        <v>Pemasangan 1 m2  atap asbes gelombang  0,92mx1.80m x 5mm</v>
      </c>
      <c r="I300" s="215" t="s">
        <v>23</v>
      </c>
      <c r="J300" s="547">
        <f t="shared" si="26"/>
        <v>143906</v>
      </c>
      <c r="L300" s="475"/>
    </row>
    <row r="301" spans="1:12" ht="15" customHeight="1">
      <c r="E301" s="509">
        <f t="shared" si="22"/>
        <v>275</v>
      </c>
      <c r="F301" s="213"/>
      <c r="G301" s="216" t="s">
        <v>1022</v>
      </c>
      <c r="H301" s="214" t="str">
        <f t="shared" si="25"/>
        <v>Pemasangan 1 m2  atap asbes gelombang  1.05mx3.00m x 4mm</v>
      </c>
      <c r="I301" s="215" t="s">
        <v>23</v>
      </c>
      <c r="J301" s="547">
        <f t="shared" si="26"/>
        <v>85997</v>
      </c>
      <c r="L301" s="475"/>
    </row>
    <row r="302" spans="1:12" ht="15" customHeight="1">
      <c r="E302" s="509">
        <f t="shared" si="22"/>
        <v>276</v>
      </c>
      <c r="F302" s="213"/>
      <c r="G302" s="216" t="s">
        <v>1024</v>
      </c>
      <c r="H302" s="214" t="str">
        <f t="shared" si="25"/>
        <v>Pemasangan 1 m2  atap asbes gelombang  1.05mx2.70m x 4mm</v>
      </c>
      <c r="I302" s="215" t="s">
        <v>23</v>
      </c>
      <c r="J302" s="547">
        <f t="shared" si="26"/>
        <v>96131</v>
      </c>
      <c r="L302" s="475"/>
    </row>
    <row r="303" spans="1:12" ht="15" customHeight="1">
      <c r="E303" s="509">
        <f t="shared" si="22"/>
        <v>277</v>
      </c>
      <c r="F303" s="213"/>
      <c r="G303" s="216" t="s">
        <v>1026</v>
      </c>
      <c r="H303" s="214" t="str">
        <f t="shared" si="25"/>
        <v>Pemasangan 1 m2  atap asbes gelombang  1.05mx2.40m x 4mm</v>
      </c>
      <c r="I303" s="215" t="s">
        <v>23</v>
      </c>
      <c r="J303" s="547">
        <f t="shared" si="26"/>
        <v>99027</v>
      </c>
      <c r="L303" s="475"/>
    </row>
    <row r="304" spans="1:12" ht="15" customHeight="1">
      <c r="E304" s="509">
        <f t="shared" si="22"/>
        <v>278</v>
      </c>
      <c r="F304" s="213"/>
      <c r="G304" s="216" t="s">
        <v>1028</v>
      </c>
      <c r="H304" s="214" t="str">
        <f t="shared" si="25"/>
        <v>Pemasangan 1 m2  atap asbes gelombang  1.05mx2.10m x 4mm</v>
      </c>
      <c r="I304" s="215" t="s">
        <v>23</v>
      </c>
      <c r="J304" s="547">
        <f t="shared" si="26"/>
        <v>109161</v>
      </c>
      <c r="L304" s="475"/>
    </row>
    <row r="305" spans="5:12" ht="15" customHeight="1">
      <c r="E305" s="509">
        <f t="shared" si="22"/>
        <v>279</v>
      </c>
      <c r="F305" s="213"/>
      <c r="G305" s="216" t="s">
        <v>1030</v>
      </c>
      <c r="H305" s="214" t="str">
        <f t="shared" si="25"/>
        <v>Pemasangan 1 m2   atap asbes gelombang  1.05mx1.50m x 4mm</v>
      </c>
      <c r="I305" s="215" t="s">
        <v>23</v>
      </c>
      <c r="J305" s="547">
        <f t="shared" si="26"/>
        <v>151144</v>
      </c>
      <c r="L305" s="475"/>
    </row>
    <row r="306" spans="5:12" ht="15" customHeight="1">
      <c r="E306" s="509">
        <f t="shared" si="22"/>
        <v>280</v>
      </c>
      <c r="F306" s="213"/>
      <c r="G306" s="216" t="s">
        <v>1032</v>
      </c>
      <c r="H306" s="214" t="str">
        <f t="shared" si="25"/>
        <v>Pemasangan 1 m2   atap asbes gelombang  1.08mx3.00m x 6mm</v>
      </c>
      <c r="I306" s="215" t="s">
        <v>23</v>
      </c>
      <c r="J306" s="547">
        <f t="shared" si="26"/>
        <v>88893</v>
      </c>
      <c r="L306" s="475"/>
    </row>
    <row r="307" spans="5:12" ht="15" customHeight="1">
      <c r="E307" s="509">
        <f t="shared" si="22"/>
        <v>281</v>
      </c>
      <c r="F307" s="213"/>
      <c r="G307" s="216" t="s">
        <v>1034</v>
      </c>
      <c r="H307" s="214" t="str">
        <f t="shared" si="25"/>
        <v>Pemasangan 1 m2   atap asbes gelombang  1.08mx2.70m x 6mm</v>
      </c>
      <c r="I307" s="215" t="s">
        <v>23</v>
      </c>
      <c r="J307" s="547">
        <f t="shared" si="26"/>
        <v>90340</v>
      </c>
      <c r="L307" s="475"/>
    </row>
    <row r="308" spans="5:12" ht="15" customHeight="1">
      <c r="E308" s="509">
        <f t="shared" si="22"/>
        <v>282</v>
      </c>
      <c r="F308" s="213"/>
      <c r="G308" s="216" t="s">
        <v>1036</v>
      </c>
      <c r="H308" s="214" t="str">
        <f t="shared" si="25"/>
        <v>Pemasangan 1 m2   atap asbes gelombang  1.08mx2.40m x 6mm</v>
      </c>
      <c r="I308" s="215" t="s">
        <v>23</v>
      </c>
      <c r="J308" s="547">
        <f t="shared" si="26"/>
        <v>101922</v>
      </c>
      <c r="L308" s="475"/>
    </row>
    <row r="309" spans="5:12" ht="15" customHeight="1">
      <c r="E309" s="509">
        <f t="shared" si="22"/>
        <v>283</v>
      </c>
      <c r="F309" s="213"/>
      <c r="G309" s="216" t="s">
        <v>1038</v>
      </c>
      <c r="H309" s="214" t="str">
        <f t="shared" si="25"/>
        <v>Pemasangan 1 m2   atap asbes gelombang  1.08mx2.10m x 6mm</v>
      </c>
      <c r="I309" s="215" t="s">
        <v>23</v>
      </c>
      <c r="J309" s="547">
        <f t="shared" si="26"/>
        <v>106265</v>
      </c>
      <c r="L309" s="475"/>
    </row>
    <row r="310" spans="5:12" ht="15" customHeight="1">
      <c r="E310" s="509">
        <f t="shared" si="22"/>
        <v>284</v>
      </c>
      <c r="F310" s="213"/>
      <c r="G310" s="216" t="s">
        <v>1040</v>
      </c>
      <c r="H310" s="214" t="str">
        <f t="shared" si="25"/>
        <v>Pemasangan 1 m2   atap asbes gelombang  1.08mx1.80m x 6mm</v>
      </c>
      <c r="I310" s="215" t="s">
        <v>23</v>
      </c>
      <c r="J310" s="547">
        <f t="shared" si="26"/>
        <v>117847</v>
      </c>
      <c r="L310" s="475"/>
    </row>
    <row r="311" spans="5:12" ht="15" customHeight="1">
      <c r="E311" s="509">
        <f t="shared" si="22"/>
        <v>285</v>
      </c>
      <c r="F311" s="213"/>
      <c r="G311" s="216" t="s">
        <v>1042</v>
      </c>
      <c r="H311" s="214" t="str">
        <f t="shared" si="25"/>
        <v>Pemasangan 1 m’  bubung stel  gelombang  0,92m</v>
      </c>
      <c r="I311" s="215" t="s">
        <v>33</v>
      </c>
      <c r="J311" s="547">
        <f t="shared" si="26"/>
        <v>92359</v>
      </c>
      <c r="L311" s="475"/>
    </row>
    <row r="312" spans="5:12" ht="15" customHeight="1">
      <c r="E312" s="509">
        <f t="shared" si="22"/>
        <v>286</v>
      </c>
      <c r="F312" s="213"/>
      <c r="G312" s="216" t="s">
        <v>1045</v>
      </c>
      <c r="H312" s="214" t="str">
        <f t="shared" si="25"/>
        <v>Pemasangan 1 m’  bubung stel  gelombang  1,05m</v>
      </c>
      <c r="I312" s="215" t="s">
        <v>33</v>
      </c>
      <c r="J312" s="547">
        <f t="shared" si="26"/>
        <v>85917</v>
      </c>
      <c r="L312" s="475"/>
    </row>
    <row r="313" spans="5:12" ht="15" customHeight="1">
      <c r="E313" s="509">
        <f t="shared" si="22"/>
        <v>287</v>
      </c>
      <c r="F313" s="213"/>
      <c r="G313" s="216" t="s">
        <v>1047</v>
      </c>
      <c r="H313" s="214" t="str">
        <f t="shared" si="25"/>
        <v>Pemasangan 1 m’  bubung stel  gelombang  1,08m</v>
      </c>
      <c r="I313" s="215" t="s">
        <v>33</v>
      </c>
      <c r="J313" s="547">
        <f t="shared" si="26"/>
        <v>84844</v>
      </c>
      <c r="L313" s="475"/>
    </row>
    <row r="314" spans="5:12" ht="15" customHeight="1">
      <c r="E314" s="509">
        <f t="shared" si="22"/>
        <v>288</v>
      </c>
      <c r="F314" s="213"/>
      <c r="G314" s="216" t="s">
        <v>1049</v>
      </c>
      <c r="H314" s="214" t="str">
        <f t="shared" si="25"/>
        <v>Pemasangan 1 m’ nok paten 0,92m</v>
      </c>
      <c r="I314" s="215" t="s">
        <v>33</v>
      </c>
      <c r="J314" s="547">
        <f t="shared" si="26"/>
        <v>102180</v>
      </c>
      <c r="L314" s="475"/>
    </row>
    <row r="315" spans="5:12" ht="15" customHeight="1">
      <c r="E315" s="509">
        <f t="shared" si="22"/>
        <v>289</v>
      </c>
      <c r="F315" s="213"/>
      <c r="G315" s="216" t="s">
        <v>1052</v>
      </c>
      <c r="H315" s="214" t="str">
        <f t="shared" si="25"/>
        <v>Pemasangan 1 m’ nok paten 1,05m</v>
      </c>
      <c r="I315" s="215" t="s">
        <v>33</v>
      </c>
      <c r="J315" s="547">
        <f t="shared" si="26"/>
        <v>102180</v>
      </c>
      <c r="L315" s="475"/>
    </row>
    <row r="316" spans="5:12" ht="15" customHeight="1">
      <c r="E316" s="509">
        <f t="shared" si="22"/>
        <v>290</v>
      </c>
      <c r="F316" s="213"/>
      <c r="G316" s="216" t="s">
        <v>1054</v>
      </c>
      <c r="H316" s="214" t="str">
        <f t="shared" si="25"/>
        <v>Pemasangan 1 m’ nok paten 1,08m</v>
      </c>
      <c r="I316" s="215" t="s">
        <v>33</v>
      </c>
      <c r="J316" s="547">
        <f t="shared" si="26"/>
        <v>102180</v>
      </c>
      <c r="L316" s="475"/>
    </row>
    <row r="317" spans="5:12" ht="15" customHeight="1">
      <c r="E317" s="509">
        <f t="shared" si="22"/>
        <v>291</v>
      </c>
      <c r="F317" s="213"/>
      <c r="G317" s="216" t="s">
        <v>1056</v>
      </c>
      <c r="H317" s="214" t="str">
        <f t="shared" si="25"/>
        <v>Pemasangan 1 m’ nok stel rata 0,92m</v>
      </c>
      <c r="I317" s="215" t="s">
        <v>33</v>
      </c>
      <c r="J317" s="547">
        <f t="shared" si="26"/>
        <v>103392</v>
      </c>
      <c r="L317" s="475"/>
    </row>
    <row r="318" spans="5:12" ht="15" customHeight="1">
      <c r="E318" s="509">
        <f t="shared" si="22"/>
        <v>292</v>
      </c>
      <c r="F318" s="213"/>
      <c r="G318" s="216" t="s">
        <v>1058</v>
      </c>
      <c r="H318" s="214" t="str">
        <f t="shared" si="25"/>
        <v>Pemasangan 1 m’ nok stel rata 1,05m</v>
      </c>
      <c r="I318" s="215" t="s">
        <v>33</v>
      </c>
      <c r="J318" s="547">
        <f t="shared" si="26"/>
        <v>97067</v>
      </c>
      <c r="L318" s="475"/>
    </row>
    <row r="319" spans="5:12" ht="15" customHeight="1">
      <c r="E319" s="509">
        <f t="shared" si="22"/>
        <v>293</v>
      </c>
      <c r="F319" s="213"/>
      <c r="G319" s="216" t="s">
        <v>1060</v>
      </c>
      <c r="H319" s="214" t="str">
        <f t="shared" si="25"/>
        <v>Pemasangan 1 m2 genteng beton</v>
      </c>
      <c r="I319" s="215" t="s">
        <v>23</v>
      </c>
      <c r="J319" s="547">
        <f t="shared" si="26"/>
        <v>83940</v>
      </c>
      <c r="L319" s="475"/>
    </row>
    <row r="320" spans="5:12" ht="15" customHeight="1">
      <c r="E320" s="509">
        <f t="shared" si="22"/>
        <v>294</v>
      </c>
      <c r="F320" s="213"/>
      <c r="G320" s="216" t="s">
        <v>1063</v>
      </c>
      <c r="H320" s="214" t="str">
        <f t="shared" si="25"/>
        <v>Pemasangan 1 m2 genteng aspal</v>
      </c>
      <c r="I320" s="215" t="s">
        <v>23</v>
      </c>
      <c r="J320" s="547">
        <f t="shared" si="26"/>
        <v>160927</v>
      </c>
      <c r="L320" s="475"/>
    </row>
    <row r="321" spans="1:12" ht="15" customHeight="1">
      <c r="E321" s="509">
        <f t="shared" si="22"/>
        <v>295</v>
      </c>
      <c r="F321" s="213"/>
      <c r="G321" s="216" t="s">
        <v>1068</v>
      </c>
      <c r="H321" s="214" t="str">
        <f t="shared" si="25"/>
        <v xml:space="preserve">Pemasangan 1 m2 genteng metal ukuran 80 x 100 atap pelana </v>
      </c>
      <c r="I321" s="215" t="s">
        <v>23</v>
      </c>
      <c r="J321" s="547">
        <f t="shared" si="26"/>
        <v>114665</v>
      </c>
      <c r="L321" s="475"/>
    </row>
    <row r="322" spans="1:12" ht="15" customHeight="1">
      <c r="E322" s="509">
        <f t="shared" si="22"/>
        <v>296</v>
      </c>
      <c r="F322" s="213"/>
      <c r="G322" s="216" t="s">
        <v>1072</v>
      </c>
      <c r="H322" s="214" t="str">
        <f t="shared" si="25"/>
        <v>Pemasangan 1 m2 genteng metal ukuran 80 x 100 atap Jurai</v>
      </c>
      <c r="I322" s="215" t="s">
        <v>23</v>
      </c>
      <c r="J322" s="547">
        <f t="shared" si="26"/>
        <v>148352</v>
      </c>
      <c r="L322" s="475"/>
    </row>
    <row r="323" spans="1:12" ht="15" customHeight="1">
      <c r="E323" s="509">
        <f t="shared" si="22"/>
        <v>297</v>
      </c>
      <c r="F323" s="213"/>
      <c r="G323" s="216" t="s">
        <v>1074</v>
      </c>
      <c r="H323" s="214" t="str">
        <f t="shared" si="25"/>
        <v>Pemasangan 1 m2 atap sirap kayu</v>
      </c>
      <c r="I323" s="215" t="s">
        <v>23</v>
      </c>
      <c r="J323" s="547">
        <f t="shared" si="26"/>
        <v>472261</v>
      </c>
      <c r="L323" s="475"/>
    </row>
    <row r="324" spans="1:12" ht="15" customHeight="1">
      <c r="E324" s="509">
        <f t="shared" si="22"/>
        <v>298</v>
      </c>
      <c r="F324" s="213"/>
      <c r="G324" s="216" t="s">
        <v>1077</v>
      </c>
      <c r="H324" s="214" t="str">
        <f t="shared" si="25"/>
        <v>Pemasangan 1 m’ nok genteng beton</v>
      </c>
      <c r="I324" s="215" t="s">
        <v>33</v>
      </c>
      <c r="J324" s="547">
        <f t="shared" si="26"/>
        <v>203059</v>
      </c>
      <c r="L324" s="475"/>
    </row>
    <row r="325" spans="1:12" ht="15" customHeight="1">
      <c r="E325" s="509">
        <f t="shared" si="22"/>
        <v>299</v>
      </c>
      <c r="F325" s="213"/>
      <c r="G325" s="216" t="s">
        <v>1080</v>
      </c>
      <c r="H325" s="214" t="str">
        <f t="shared" si="25"/>
        <v>Pemasangan 1 m’ nok genteng aspal</v>
      </c>
      <c r="I325" s="215" t="s">
        <v>33</v>
      </c>
      <c r="J325" s="547">
        <f t="shared" si="26"/>
        <v>149579</v>
      </c>
      <c r="L325" s="475"/>
    </row>
    <row r="326" spans="1:12" ht="15" customHeight="1">
      <c r="E326" s="509">
        <f t="shared" si="22"/>
        <v>300</v>
      </c>
      <c r="F326" s="213"/>
      <c r="G326" s="216" t="s">
        <v>1084</v>
      </c>
      <c r="H326" s="214" t="str">
        <f t="shared" si="25"/>
        <v>Pemasangan 1 m’ nok genteng metal</v>
      </c>
      <c r="I326" s="215" t="s">
        <v>33</v>
      </c>
      <c r="J326" s="547">
        <f t="shared" si="26"/>
        <v>177294</v>
      </c>
      <c r="L326" s="475"/>
    </row>
    <row r="327" spans="1:12" ht="15" customHeight="1">
      <c r="E327" s="509">
        <f t="shared" si="22"/>
        <v>301</v>
      </c>
      <c r="F327" s="213"/>
      <c r="G327" s="216" t="s">
        <v>1087</v>
      </c>
      <c r="H327" s="214" t="str">
        <f t="shared" si="25"/>
        <v>Pemasangan 1 m’ nok sirap</v>
      </c>
      <c r="I327" s="215" t="s">
        <v>33</v>
      </c>
      <c r="J327" s="547">
        <f t="shared" si="26"/>
        <v>81693</v>
      </c>
      <c r="L327" s="475"/>
    </row>
    <row r="328" spans="1:12" ht="15" customHeight="1">
      <c r="E328" s="509">
        <f t="shared" si="22"/>
        <v>302</v>
      </c>
      <c r="F328" s="213"/>
      <c r="G328" s="216" t="s">
        <v>1089</v>
      </c>
      <c r="H328" s="214" t="str">
        <f t="shared" si="25"/>
        <v>Pemasangan 1 m2 atap seng gelombang</v>
      </c>
      <c r="I328" s="215" t="s">
        <v>23</v>
      </c>
      <c r="J328" s="547">
        <f t="shared" si="26"/>
        <v>78121</v>
      </c>
      <c r="L328" s="475"/>
    </row>
    <row r="329" spans="1:12" ht="15" customHeight="1">
      <c r="E329" s="509">
        <f t="shared" si="22"/>
        <v>303</v>
      </c>
      <c r="F329" s="213"/>
      <c r="G329" s="216" t="s">
        <v>1091</v>
      </c>
      <c r="H329" s="214" t="str">
        <f t="shared" si="25"/>
        <v>Pemasangan 1 m’nok atap seng</v>
      </c>
      <c r="I329" s="215" t="s">
        <v>33</v>
      </c>
      <c r="J329" s="547">
        <f t="shared" si="26"/>
        <v>46688</v>
      </c>
      <c r="L329" s="475"/>
    </row>
    <row r="330" spans="1:12" ht="15" customHeight="1">
      <c r="E330" s="509">
        <f t="shared" si="22"/>
        <v>304</v>
      </c>
      <c r="F330" s="213"/>
      <c r="G330" s="216" t="s">
        <v>1093</v>
      </c>
      <c r="H330" s="214" t="str">
        <f t="shared" si="25"/>
        <v>Pemasangan 1 m2 atap alumunium</v>
      </c>
      <c r="I330" s="215" t="s">
        <v>23</v>
      </c>
      <c r="J330" s="547">
        <f t="shared" si="26"/>
        <v>357942</v>
      </c>
      <c r="L330" s="475"/>
    </row>
    <row r="331" spans="1:12" ht="15" customHeight="1">
      <c r="E331" s="509">
        <f t="shared" si="22"/>
        <v>305</v>
      </c>
      <c r="F331" s="213"/>
      <c r="G331" s="216" t="s">
        <v>1097</v>
      </c>
      <c r="H331" s="214" t="str">
        <f t="shared" si="25"/>
        <v>Pemasangan 1 m’ nok alumunium</v>
      </c>
      <c r="I331" s="215" t="s">
        <v>33</v>
      </c>
      <c r="J331" s="547">
        <f t="shared" si="26"/>
        <v>215571</v>
      </c>
      <c r="L331" s="475"/>
    </row>
    <row r="332" spans="1:12" ht="15" customHeight="1">
      <c r="E332" s="509">
        <f t="shared" si="22"/>
        <v>306</v>
      </c>
      <c r="F332" s="213"/>
      <c r="G332" s="216" t="s">
        <v>1100</v>
      </c>
      <c r="H332" s="214" t="str">
        <f t="shared" si="25"/>
        <v>Pemasangan 1 m2 alumunium foil/sisalation</v>
      </c>
      <c r="I332" s="215" t="s">
        <v>23</v>
      </c>
      <c r="J332" s="547">
        <f t="shared" si="26"/>
        <v>69266</v>
      </c>
      <c r="K332" s="477"/>
      <c r="L332" s="475"/>
    </row>
    <row r="333" spans="1:12" ht="15" customHeight="1">
      <c r="E333" s="509"/>
      <c r="F333" s="213"/>
      <c r="G333" s="7"/>
      <c r="H333" s="216"/>
      <c r="I333" s="219"/>
      <c r="J333" s="553"/>
      <c r="L333" s="475"/>
    </row>
    <row r="334" spans="1:12" s="473" customFormat="1" ht="15" customHeight="1">
      <c r="A334" s="624"/>
      <c r="B334" s="624"/>
      <c r="C334" s="624"/>
      <c r="D334" s="667"/>
      <c r="E334" s="548"/>
      <c r="F334" s="492" t="s">
        <v>1103</v>
      </c>
      <c r="G334" s="493" t="s">
        <v>1104</v>
      </c>
      <c r="H334" s="471"/>
      <c r="I334" s="491"/>
      <c r="J334" s="546"/>
      <c r="L334" s="476"/>
    </row>
    <row r="335" spans="1:12" ht="15" customHeight="1">
      <c r="E335" s="509">
        <f>E332+1</f>
        <v>307</v>
      </c>
      <c r="F335" s="213"/>
      <c r="G335" s="216" t="s">
        <v>1105</v>
      </c>
      <c r="H335" s="214" t="str">
        <f t="shared" ref="H335:H362" si="27">VLOOKUP(G335,AHSP,2,FALSE)</f>
        <v>Pembuatan dan pemasangan 1 m3 kusen pintu dan kusen jendela, kayu kelas I</v>
      </c>
      <c r="I335" s="215" t="s">
        <v>44</v>
      </c>
      <c r="J335" s="547">
        <f t="shared" ref="J335:J362" si="28">VLOOKUP(G335,AHSP,9,FALSE)</f>
        <v>12794289</v>
      </c>
      <c r="L335" s="475"/>
    </row>
    <row r="336" spans="1:12" ht="15" customHeight="1">
      <c r="E336" s="509">
        <f t="shared" ref="E336:E399" si="29">E335+1</f>
        <v>308</v>
      </c>
      <c r="F336" s="213"/>
      <c r="G336" s="216" t="s">
        <v>1107</v>
      </c>
      <c r="H336" s="214" t="str">
        <f t="shared" si="27"/>
        <v>Pembuatan dan pemasangan 1 m3 kusen pintu dan kusen jendela, kayu kelas II atau III</v>
      </c>
      <c r="I336" s="215" t="s">
        <v>44</v>
      </c>
      <c r="J336" s="547">
        <f t="shared" si="28"/>
        <v>10054189</v>
      </c>
      <c r="L336" s="475"/>
    </row>
    <row r="337" spans="5:12" ht="15" customHeight="1">
      <c r="E337" s="509">
        <f t="shared" si="29"/>
        <v>309</v>
      </c>
      <c r="F337" s="213"/>
      <c r="G337" s="216" t="s">
        <v>1109</v>
      </c>
      <c r="H337" s="214" t="str">
        <f t="shared" si="27"/>
        <v>Pembuatan dan pemasangan 1 m2 pintu klamp standar, kayu kelas II</v>
      </c>
      <c r="I337" s="215" t="s">
        <v>23</v>
      </c>
      <c r="J337" s="547">
        <f t="shared" si="28"/>
        <v>443336</v>
      </c>
      <c r="L337" s="475"/>
    </row>
    <row r="338" spans="5:12" ht="15" customHeight="1">
      <c r="E338" s="509">
        <f t="shared" si="29"/>
        <v>310</v>
      </c>
      <c r="F338" s="213"/>
      <c r="G338" s="216" t="s">
        <v>1112</v>
      </c>
      <c r="H338" s="214" t="str">
        <f t="shared" si="27"/>
        <v>Pembuatan dan pemasangan 1 m2 pintu klamp sederhana, kayu kelas III</v>
      </c>
      <c r="I338" s="215" t="s">
        <v>23</v>
      </c>
      <c r="J338" s="547">
        <f t="shared" si="28"/>
        <v>443336</v>
      </c>
      <c r="L338" s="475"/>
    </row>
    <row r="339" spans="5:12" ht="15" customHeight="1">
      <c r="E339" s="509">
        <f t="shared" si="29"/>
        <v>311</v>
      </c>
      <c r="F339" s="213"/>
      <c r="G339" s="216" t="s">
        <v>1114</v>
      </c>
      <c r="H339" s="214" t="str">
        <f t="shared" si="27"/>
        <v>Pembuatan dan pemasangan 1 m2 daun pintu panel, kayu kelas I atau II</v>
      </c>
      <c r="I339" s="215" t="s">
        <v>23</v>
      </c>
      <c r="J339" s="547">
        <f t="shared" si="28"/>
        <v>902665</v>
      </c>
      <c r="L339" s="475"/>
    </row>
    <row r="340" spans="5:12" ht="15" customHeight="1">
      <c r="E340" s="509">
        <f t="shared" si="29"/>
        <v>312</v>
      </c>
      <c r="F340" s="213"/>
      <c r="G340" s="216" t="s">
        <v>1116</v>
      </c>
      <c r="H340" s="214" t="str">
        <f t="shared" si="27"/>
        <v>Pembuatan dan pemasangan 1 m2 pintu  dan jendela kaca, kayu kelas I atau II</v>
      </c>
      <c r="I340" s="215" t="s">
        <v>23</v>
      </c>
      <c r="J340" s="547">
        <f t="shared" si="28"/>
        <v>680859</v>
      </c>
      <c r="L340" s="475"/>
    </row>
    <row r="341" spans="5:12" ht="15" customHeight="1">
      <c r="E341" s="509">
        <f t="shared" si="29"/>
        <v>313</v>
      </c>
      <c r="F341" s="213"/>
      <c r="G341" s="216" t="s">
        <v>1118</v>
      </c>
      <c r="H341" s="214" t="str">
        <f t="shared" si="27"/>
        <v>Pembuatan dan pemasangan 1 m2 pintu dan jendela jalusi kayu kelas I atau II</v>
      </c>
      <c r="I341" s="215" t="s">
        <v>23</v>
      </c>
      <c r="J341" s="547">
        <f t="shared" si="28"/>
        <v>1021465</v>
      </c>
      <c r="L341" s="475"/>
    </row>
    <row r="342" spans="5:12" ht="15" customHeight="1">
      <c r="E342" s="509">
        <f t="shared" si="29"/>
        <v>314</v>
      </c>
      <c r="F342" s="213"/>
      <c r="G342" s="216" t="s">
        <v>1120</v>
      </c>
      <c r="H342" s="214" t="str">
        <f t="shared" si="27"/>
        <v>Pembuatan 1 m2 daun pintu plywood  rangkap, rangka kayu kelas II tertutup</v>
      </c>
      <c r="I342" s="215" t="s">
        <v>23</v>
      </c>
      <c r="J342" s="547">
        <f t="shared" si="28"/>
        <v>706248</v>
      </c>
      <c r="L342" s="475"/>
    </row>
    <row r="343" spans="5:12" ht="15" customHeight="1">
      <c r="E343" s="509">
        <f t="shared" si="29"/>
        <v>315</v>
      </c>
      <c r="F343" s="213"/>
      <c r="G343" s="216" t="s">
        <v>1122</v>
      </c>
      <c r="H343" s="214" t="str">
        <f t="shared" si="27"/>
        <v>Pembuatan 1 m2 pintu plywood  rangkap, rangka expose kayu kelas I atau II</v>
      </c>
      <c r="I343" s="215" t="s">
        <v>23</v>
      </c>
      <c r="J343" s="547">
        <f t="shared" si="28"/>
        <v>778848</v>
      </c>
      <c r="L343" s="475"/>
    </row>
    <row r="344" spans="5:12" ht="15" customHeight="1">
      <c r="E344" s="509">
        <f t="shared" si="29"/>
        <v>316</v>
      </c>
      <c r="F344" s="213"/>
      <c r="G344" s="216" t="s">
        <v>1124</v>
      </c>
      <c r="H344" s="214" t="str">
        <f t="shared" si="27"/>
        <v>Pemasangan 1 m2 jalusi kusen, kayu kelas I atau II</v>
      </c>
      <c r="I344" s="215" t="s">
        <v>23</v>
      </c>
      <c r="J344" s="547">
        <f t="shared" si="28"/>
        <v>822685</v>
      </c>
      <c r="L344" s="475"/>
    </row>
    <row r="345" spans="5:12" ht="15" customHeight="1">
      <c r="E345" s="509">
        <f t="shared" si="29"/>
        <v>317</v>
      </c>
      <c r="F345" s="213"/>
      <c r="G345" s="216" t="s">
        <v>1127</v>
      </c>
      <c r="H345" s="214" t="str">
        <f t="shared" si="27"/>
        <v>Pemasangan 1 m2 teakwood rangkap, rangka expose kayu kelas I</v>
      </c>
      <c r="I345" s="215" t="s">
        <v>23</v>
      </c>
      <c r="J345" s="547">
        <f t="shared" si="28"/>
        <v>767120</v>
      </c>
      <c r="L345" s="475"/>
    </row>
    <row r="346" spans="5:12" ht="15" customHeight="1">
      <c r="E346" s="509">
        <f t="shared" si="29"/>
        <v>318</v>
      </c>
      <c r="F346" s="213"/>
      <c r="G346" s="216" t="s">
        <v>1130</v>
      </c>
      <c r="H346" s="214" t="str">
        <f t="shared" si="27"/>
        <v>Pemasangan 1 m2 teakwood rangkap lapis formika, rangka expose kayu kelas II</v>
      </c>
      <c r="I346" s="215" t="s">
        <v>23</v>
      </c>
      <c r="J346" s="547">
        <f t="shared" si="28"/>
        <v>867319</v>
      </c>
      <c r="L346" s="475"/>
    </row>
    <row r="347" spans="5:12" ht="15" customHeight="1">
      <c r="E347" s="549">
        <f t="shared" si="29"/>
        <v>319</v>
      </c>
      <c r="F347" s="220"/>
      <c r="G347" s="221" t="s">
        <v>1133</v>
      </c>
      <c r="H347" s="222" t="str">
        <f t="shared" si="27"/>
        <v>Pemasangan 1 m3 konstruksi kuda-kuda konvensional, kayu kelas I, II dan III bentang 6 meter</v>
      </c>
      <c r="I347" s="223" t="s">
        <v>44</v>
      </c>
      <c r="J347" s="550">
        <f t="shared" si="28"/>
        <v>8499845</v>
      </c>
      <c r="L347" s="475"/>
    </row>
    <row r="348" spans="5:12" ht="15" customHeight="1">
      <c r="E348" s="509">
        <f t="shared" si="29"/>
        <v>320</v>
      </c>
      <c r="F348" s="213"/>
      <c r="G348" s="216" t="s">
        <v>1135</v>
      </c>
      <c r="H348" s="214" t="str">
        <f t="shared" si="27"/>
        <v>Pemasangan 1 m3 konstruksi kuda-kuda expose, kayu kelas I</v>
      </c>
      <c r="I348" s="223" t="s">
        <v>44</v>
      </c>
      <c r="J348" s="547">
        <f t="shared" si="28"/>
        <v>13623755</v>
      </c>
      <c r="L348" s="475"/>
    </row>
    <row r="349" spans="5:12" ht="15" customHeight="1">
      <c r="E349" s="509">
        <f t="shared" si="29"/>
        <v>321</v>
      </c>
      <c r="F349" s="213"/>
      <c r="G349" s="216" t="s">
        <v>1137</v>
      </c>
      <c r="H349" s="214" t="str">
        <f t="shared" si="27"/>
        <v>Pemasangan 1 m3 konstruksi gordeng, kayu kelas II</v>
      </c>
      <c r="I349" s="223" t="s">
        <v>44</v>
      </c>
      <c r="J349" s="547" t="e">
        <f>VLOOKUP(G349,AHSP,9,FALSE)</f>
        <v>#VALUE!</v>
      </c>
      <c r="L349" s="475"/>
    </row>
    <row r="350" spans="5:12" ht="15" customHeight="1">
      <c r="E350" s="509">
        <f t="shared" si="29"/>
        <v>322</v>
      </c>
      <c r="F350" s="213"/>
      <c r="G350" s="216" t="s">
        <v>1139</v>
      </c>
      <c r="H350" s="214" t="str">
        <f t="shared" si="27"/>
        <v>Pemasangan 1 m2 rangka atap genteng keramik, kayu kelas II</v>
      </c>
      <c r="I350" s="215" t="s">
        <v>23</v>
      </c>
      <c r="J350" s="547">
        <f t="shared" si="28"/>
        <v>281730</v>
      </c>
      <c r="L350" s="475"/>
    </row>
    <row r="351" spans="5:12" ht="15" customHeight="1">
      <c r="E351" s="509">
        <f t="shared" si="29"/>
        <v>323</v>
      </c>
      <c r="F351" s="213"/>
      <c r="G351" s="216" t="s">
        <v>1142</v>
      </c>
      <c r="H351" s="214" t="str">
        <f t="shared" si="27"/>
        <v>Pemasangan 1 m2 rangka atap genteng beton, kayu kelas II</v>
      </c>
      <c r="I351" s="215" t="s">
        <v>23</v>
      </c>
      <c r="J351" s="547">
        <f t="shared" si="28"/>
        <v>427022</v>
      </c>
      <c r="L351" s="475"/>
    </row>
    <row r="352" spans="5:12" ht="15" customHeight="1">
      <c r="E352" s="509">
        <f t="shared" si="29"/>
        <v>324</v>
      </c>
      <c r="F352" s="213"/>
      <c r="G352" s="216" t="s">
        <v>1145</v>
      </c>
      <c r="H352" s="214" t="str">
        <f t="shared" si="27"/>
        <v>Pemasangan 1 m2 rangka atap sirap,  kayu  kelas II</v>
      </c>
      <c r="I352" s="215" t="s">
        <v>23</v>
      </c>
      <c r="J352" s="547">
        <f t="shared" si="28"/>
        <v>126053</v>
      </c>
      <c r="L352" s="475"/>
    </row>
    <row r="353" spans="1:12" ht="15" customHeight="1">
      <c r="E353" s="509">
        <f t="shared" si="29"/>
        <v>325</v>
      </c>
      <c r="F353" s="213"/>
      <c r="G353" s="216" t="s">
        <v>1148</v>
      </c>
      <c r="H353" s="214" t="str">
        <f t="shared" si="27"/>
        <v xml:space="preserve">Pemasangan 1 m2 rangka langit-langit (50 x 100) cm,  kayu  kelas II atau III </v>
      </c>
      <c r="I353" s="215" t="s">
        <v>23</v>
      </c>
      <c r="J353" s="547">
        <f t="shared" si="28"/>
        <v>210347</v>
      </c>
      <c r="L353" s="475"/>
    </row>
    <row r="354" spans="1:12" ht="15" customHeight="1">
      <c r="E354" s="509">
        <f t="shared" si="29"/>
        <v>326</v>
      </c>
      <c r="F354" s="213"/>
      <c r="G354" s="216" t="s">
        <v>1150</v>
      </c>
      <c r="H354" s="214" t="str">
        <f t="shared" si="27"/>
        <v xml:space="preserve">Pemasangan 1 m2 rangka langit-langit (60 x 60) cm,  kayu  kelas II  atau III </v>
      </c>
      <c r="I354" s="215" t="s">
        <v>23</v>
      </c>
      <c r="J354" s="547">
        <f t="shared" si="28"/>
        <v>213303</v>
      </c>
      <c r="L354" s="475"/>
    </row>
    <row r="355" spans="1:12" ht="15" customHeight="1">
      <c r="E355" s="509">
        <f t="shared" si="29"/>
        <v>327</v>
      </c>
      <c r="F355" s="213"/>
      <c r="G355" s="216" t="s">
        <v>1152</v>
      </c>
      <c r="H355" s="214" t="str">
        <f t="shared" si="27"/>
        <v>Pemasangan 1 m’  lisplank ukuran (3 x 20) cm, kayu kelas I atau kelas II</v>
      </c>
      <c r="I355" s="215" t="s">
        <v>33</v>
      </c>
      <c r="J355" s="547">
        <f t="shared" si="28"/>
        <v>107851</v>
      </c>
      <c r="L355" s="475"/>
    </row>
    <row r="356" spans="1:12" ht="15" customHeight="1">
      <c r="E356" s="509">
        <f t="shared" si="29"/>
        <v>328</v>
      </c>
      <c r="F356" s="213"/>
      <c r="G356" s="216" t="s">
        <v>1154</v>
      </c>
      <c r="H356" s="214" t="str">
        <f t="shared" si="27"/>
        <v>Pemasangan 1 m’  lisplank ukuran (3 x 30) cm, kayu kelas I atau kelas II</v>
      </c>
      <c r="I356" s="215" t="s">
        <v>33</v>
      </c>
      <c r="J356" s="547">
        <f t="shared" si="28"/>
        <v>107303</v>
      </c>
      <c r="L356" s="475"/>
    </row>
    <row r="357" spans="1:12" ht="15" customHeight="1">
      <c r="E357" s="509">
        <f t="shared" si="29"/>
        <v>329</v>
      </c>
      <c r="F357" s="213"/>
      <c r="G357" s="216" t="s">
        <v>1156</v>
      </c>
      <c r="H357" s="214" t="str">
        <f t="shared" si="27"/>
        <v>Pemasangan 1 m2 rangka dinding pemisah  (60 x 120) cm kayu kelas II atau III</v>
      </c>
      <c r="I357" s="215" t="s">
        <v>23</v>
      </c>
      <c r="J357" s="547">
        <f t="shared" si="28"/>
        <v>244981</v>
      </c>
      <c r="L357" s="475"/>
    </row>
    <row r="358" spans="1:12" ht="15" customHeight="1">
      <c r="E358" s="509">
        <f t="shared" si="29"/>
        <v>330</v>
      </c>
      <c r="F358" s="213"/>
      <c r="G358" s="216" t="s">
        <v>1158</v>
      </c>
      <c r="H358" s="214" t="str">
        <f t="shared" si="27"/>
        <v>Pemasangan 1 m2 dinding pemisah teakwood rangkap, rangka kayu kelas II</v>
      </c>
      <c r="I358" s="215" t="s">
        <v>23</v>
      </c>
      <c r="J358" s="547">
        <f t="shared" si="28"/>
        <v>372022</v>
      </c>
      <c r="L358" s="475"/>
    </row>
    <row r="359" spans="1:12" ht="15" customHeight="1">
      <c r="E359" s="509">
        <f t="shared" si="29"/>
        <v>331</v>
      </c>
      <c r="F359" s="213"/>
      <c r="G359" s="216" t="s">
        <v>1162</v>
      </c>
      <c r="H359" s="214" t="str">
        <f t="shared" si="27"/>
        <v>Pemasangan 1 m2 dinding pemisah plywood rangkap, rangka kayu kelas II</v>
      </c>
      <c r="I359" s="215" t="s">
        <v>23</v>
      </c>
      <c r="J359" s="547">
        <f t="shared" si="28"/>
        <v>403054</v>
      </c>
      <c r="L359" s="475"/>
    </row>
    <row r="360" spans="1:12" ht="15" customHeight="1">
      <c r="E360" s="509">
        <f t="shared" si="29"/>
        <v>332</v>
      </c>
      <c r="F360" s="213"/>
      <c r="G360" s="216" t="s">
        <v>1164</v>
      </c>
      <c r="H360" s="214" t="str">
        <f t="shared" si="27"/>
        <v>Pemasangan 1 m2 dinding lambrisering dari Kayu Papan kelas I</v>
      </c>
      <c r="I360" s="215" t="s">
        <v>23</v>
      </c>
      <c r="J360" s="547">
        <f t="shared" si="28"/>
        <v>455645</v>
      </c>
      <c r="L360" s="475"/>
    </row>
    <row r="361" spans="1:12" ht="15" customHeight="1">
      <c r="E361" s="509">
        <f t="shared" si="29"/>
        <v>333</v>
      </c>
      <c r="F361" s="213"/>
      <c r="G361" s="216" t="s">
        <v>1166</v>
      </c>
      <c r="H361" s="214" t="str">
        <f t="shared" si="27"/>
        <v>Pemasangan 1 m2 dinding lambrisering dari plywood ukuran (120 x 240) cm</v>
      </c>
      <c r="I361" s="215" t="s">
        <v>23</v>
      </c>
      <c r="J361" s="547">
        <f t="shared" si="28"/>
        <v>53309</v>
      </c>
      <c r="L361" s="475"/>
    </row>
    <row r="362" spans="1:12" ht="15" customHeight="1">
      <c r="E362" s="509">
        <f t="shared" si="29"/>
        <v>334</v>
      </c>
      <c r="F362" s="213"/>
      <c r="G362" s="216" t="s">
        <v>1168</v>
      </c>
      <c r="H362" s="214" t="str">
        <f t="shared" si="27"/>
        <v>Pemasangan 1 m2 dinding bilik, rangka kayu kelas III atau IV</v>
      </c>
      <c r="I362" s="215" t="s">
        <v>23</v>
      </c>
      <c r="J362" s="547">
        <f t="shared" si="28"/>
        <v>300388</v>
      </c>
      <c r="L362" s="475"/>
    </row>
    <row r="363" spans="1:12" ht="15" customHeight="1">
      <c r="E363" s="509"/>
      <c r="F363" s="213"/>
      <c r="G363" s="7"/>
      <c r="H363" s="216"/>
      <c r="I363" s="219"/>
      <c r="J363" s="553"/>
      <c r="L363" s="475"/>
    </row>
    <row r="364" spans="1:12" s="473" customFormat="1" ht="15" customHeight="1">
      <c r="A364" s="624"/>
      <c r="B364" s="624"/>
      <c r="C364" s="624"/>
      <c r="D364" s="667"/>
      <c r="E364" s="548"/>
      <c r="F364" s="492" t="s">
        <v>1172</v>
      </c>
      <c r="G364" s="493" t="s">
        <v>1173</v>
      </c>
      <c r="H364" s="471"/>
      <c r="I364" s="491"/>
      <c r="J364" s="546"/>
      <c r="L364" s="476"/>
    </row>
    <row r="365" spans="1:12" ht="15" customHeight="1">
      <c r="E365" s="509">
        <f>E362+1</f>
        <v>335</v>
      </c>
      <c r="F365" s="213"/>
      <c r="G365" s="216" t="s">
        <v>1174</v>
      </c>
      <c r="H365" s="214" t="str">
        <f t="shared" ref="H365:H387" si="30">VLOOKUP(G365,AHSP,2,FALSE)</f>
        <v>Pemasangan 1 buah kunci tanam antik</v>
      </c>
      <c r="I365" s="215" t="s">
        <v>36</v>
      </c>
      <c r="J365" s="547">
        <f t="shared" ref="J365:J387" si="31">VLOOKUP(G365,AHSP,9,FALSE)</f>
        <v>465201</v>
      </c>
      <c r="L365" s="475"/>
    </row>
    <row r="366" spans="1:12" ht="15" customHeight="1">
      <c r="E366" s="509">
        <f t="shared" si="29"/>
        <v>336</v>
      </c>
      <c r="F366" s="213"/>
      <c r="G366" s="216" t="s">
        <v>1177</v>
      </c>
      <c r="H366" s="214" t="str">
        <f t="shared" si="30"/>
        <v>Pemasangan 1 buah kunci tanam biasa</v>
      </c>
      <c r="I366" s="215" t="s">
        <v>36</v>
      </c>
      <c r="J366" s="547">
        <f t="shared" si="31"/>
        <v>269775</v>
      </c>
      <c r="L366" s="475"/>
    </row>
    <row r="367" spans="1:12" ht="15" customHeight="1">
      <c r="E367" s="509">
        <f t="shared" si="29"/>
        <v>337</v>
      </c>
      <c r="F367" s="213"/>
      <c r="G367" s="216" t="s">
        <v>1180</v>
      </c>
      <c r="H367" s="214" t="str">
        <f t="shared" si="30"/>
        <v>Pemasangan 1 buah kunci kamar mandi</v>
      </c>
      <c r="I367" s="215" t="s">
        <v>36</v>
      </c>
      <c r="J367" s="547">
        <f t="shared" si="31"/>
        <v>157173</v>
      </c>
      <c r="L367" s="475"/>
    </row>
    <row r="368" spans="1:12" ht="15" customHeight="1">
      <c r="E368" s="509">
        <f t="shared" si="29"/>
        <v>338</v>
      </c>
      <c r="F368" s="213"/>
      <c r="G368" s="216" t="s">
        <v>1183</v>
      </c>
      <c r="H368" s="214" t="str">
        <f t="shared" si="30"/>
        <v>Pemasangan 1 buah kunci silinder</v>
      </c>
      <c r="I368" s="215" t="s">
        <v>36</v>
      </c>
      <c r="J368" s="547">
        <f t="shared" si="31"/>
        <v>189348</v>
      </c>
      <c r="L368" s="475"/>
    </row>
    <row r="369" spans="5:12" ht="15" customHeight="1">
      <c r="E369" s="509">
        <f t="shared" si="29"/>
        <v>339</v>
      </c>
      <c r="F369" s="213"/>
      <c r="G369" s="216" t="s">
        <v>1186</v>
      </c>
      <c r="H369" s="214" t="str">
        <f t="shared" si="30"/>
        <v>Pemasangan 1 buah engsel pintu</v>
      </c>
      <c r="I369" s="215" t="s">
        <v>36</v>
      </c>
      <c r="J369" s="547">
        <f t="shared" si="31"/>
        <v>53246</v>
      </c>
      <c r="L369" s="475"/>
    </row>
    <row r="370" spans="5:12" ht="15" customHeight="1">
      <c r="E370" s="509">
        <f t="shared" si="29"/>
        <v>340</v>
      </c>
      <c r="F370" s="213"/>
      <c r="G370" s="216" t="s">
        <v>1189</v>
      </c>
      <c r="H370" s="214" t="str">
        <f t="shared" si="30"/>
        <v>Pemasangan 1 buah engsel jendela kupu-kupu</v>
      </c>
      <c r="I370" s="215" t="s">
        <v>36</v>
      </c>
      <c r="J370" s="547">
        <f t="shared" si="31"/>
        <v>44863</v>
      </c>
      <c r="L370" s="475"/>
    </row>
    <row r="371" spans="5:12" ht="15" customHeight="1">
      <c r="E371" s="509">
        <f t="shared" si="29"/>
        <v>341</v>
      </c>
      <c r="F371" s="213"/>
      <c r="G371" s="216" t="s">
        <v>1192</v>
      </c>
      <c r="H371" s="214" t="str">
        <f t="shared" si="30"/>
        <v>Pemasangan 1 buah engsel angin</v>
      </c>
      <c r="I371" s="215" t="s">
        <v>36</v>
      </c>
      <c r="J371" s="547">
        <f t="shared" si="31"/>
        <v>61033</v>
      </c>
      <c r="L371" s="475"/>
    </row>
    <row r="372" spans="5:12" ht="15" customHeight="1">
      <c r="E372" s="509">
        <f t="shared" si="29"/>
        <v>342</v>
      </c>
      <c r="F372" s="213"/>
      <c r="G372" s="216" t="s">
        <v>1195</v>
      </c>
      <c r="H372" s="214" t="str">
        <f t="shared" si="30"/>
        <v>Pemasangan 1 buah spring knip</v>
      </c>
      <c r="I372" s="215" t="s">
        <v>36</v>
      </c>
      <c r="J372" s="547">
        <f t="shared" si="31"/>
        <v>40766</v>
      </c>
      <c r="L372" s="475"/>
    </row>
    <row r="373" spans="5:12" ht="15" customHeight="1">
      <c r="E373" s="509">
        <f t="shared" si="29"/>
        <v>343</v>
      </c>
      <c r="F373" s="213"/>
      <c r="G373" s="216" t="s">
        <v>1198</v>
      </c>
      <c r="H373" s="214" t="str">
        <f t="shared" si="30"/>
        <v>Pemasangan 1 buah kait angin</v>
      </c>
      <c r="I373" s="215" t="s">
        <v>36</v>
      </c>
      <c r="J373" s="547">
        <f t="shared" si="31"/>
        <v>38291</v>
      </c>
      <c r="L373" s="475"/>
    </row>
    <row r="374" spans="5:12" ht="15" customHeight="1">
      <c r="E374" s="509">
        <f t="shared" si="29"/>
        <v>344</v>
      </c>
      <c r="F374" s="213"/>
      <c r="G374" s="216" t="s">
        <v>1201</v>
      </c>
      <c r="H374" s="214" t="str">
        <f t="shared" si="30"/>
        <v>Pemasangan 1 buah door closer</v>
      </c>
      <c r="I374" s="215" t="s">
        <v>36</v>
      </c>
      <c r="J374" s="547">
        <f t="shared" si="31"/>
        <v>434511</v>
      </c>
      <c r="L374" s="475"/>
    </row>
    <row r="375" spans="5:12" ht="15" customHeight="1">
      <c r="E375" s="509">
        <f t="shared" si="29"/>
        <v>345</v>
      </c>
      <c r="F375" s="213"/>
      <c r="G375" s="216" t="s">
        <v>1205</v>
      </c>
      <c r="H375" s="214" t="str">
        <f t="shared" si="30"/>
        <v>Pemasangan 1 buah kunci slot</v>
      </c>
      <c r="I375" s="215" t="s">
        <v>36</v>
      </c>
      <c r="J375" s="547">
        <f t="shared" si="31"/>
        <v>108317</v>
      </c>
      <c r="L375" s="475"/>
    </row>
    <row r="376" spans="5:12" ht="15" customHeight="1">
      <c r="E376" s="509">
        <f t="shared" si="29"/>
        <v>346</v>
      </c>
      <c r="F376" s="213"/>
      <c r="G376" s="216" t="s">
        <v>1208</v>
      </c>
      <c r="H376" s="214" t="str">
        <f t="shared" si="30"/>
        <v>Pemasangan 1 buah Door holder</v>
      </c>
      <c r="I376" s="215" t="s">
        <v>36</v>
      </c>
      <c r="J376" s="547">
        <f t="shared" si="31"/>
        <v>232386</v>
      </c>
      <c r="L376" s="475"/>
    </row>
    <row r="377" spans="5:12" ht="15" customHeight="1">
      <c r="E377" s="509">
        <f t="shared" si="29"/>
        <v>347</v>
      </c>
      <c r="F377" s="213"/>
      <c r="G377" s="216" t="s">
        <v>1211</v>
      </c>
      <c r="H377" s="214" t="str">
        <f t="shared" si="30"/>
        <v>Pemasangan 1 buah door stop</v>
      </c>
      <c r="I377" s="215" t="s">
        <v>36</v>
      </c>
      <c r="J377" s="547">
        <f t="shared" si="31"/>
        <v>146751</v>
      </c>
      <c r="L377" s="475"/>
    </row>
    <row r="378" spans="5:12" ht="15" customHeight="1">
      <c r="E378" s="509">
        <f t="shared" si="29"/>
        <v>348</v>
      </c>
      <c r="F378" s="213"/>
      <c r="G378" s="216" t="s">
        <v>1214</v>
      </c>
      <c r="H378" s="214" t="str">
        <f t="shared" si="30"/>
        <v>Pemasangan 1 buah Rrel pintu sorong</v>
      </c>
      <c r="I378" s="215" t="s">
        <v>36</v>
      </c>
      <c r="J378" s="547">
        <f t="shared" si="31"/>
        <v>380501</v>
      </c>
      <c r="L378" s="475"/>
    </row>
    <row r="379" spans="5:12" ht="15" customHeight="1">
      <c r="E379" s="509">
        <f t="shared" si="29"/>
        <v>349</v>
      </c>
      <c r="F379" s="213"/>
      <c r="G379" s="216" t="s">
        <v>1218</v>
      </c>
      <c r="H379" s="214" t="str">
        <f t="shared" si="30"/>
        <v>Pemasangan 1 buah kunci lemari</v>
      </c>
      <c r="I379" s="215" t="s">
        <v>36</v>
      </c>
      <c r="J379" s="547">
        <f t="shared" si="31"/>
        <v>66100</v>
      </c>
      <c r="L379" s="475"/>
    </row>
    <row r="380" spans="5:12" ht="15" customHeight="1">
      <c r="E380" s="509">
        <f t="shared" si="29"/>
        <v>350</v>
      </c>
      <c r="F380" s="213"/>
      <c r="G380" s="216" t="s">
        <v>1221</v>
      </c>
      <c r="H380" s="214" t="str">
        <f t="shared" si="30"/>
        <v>Pemasangan 1 m2 kaca tebal 3 mm</v>
      </c>
      <c r="I380" s="215" t="s">
        <v>23</v>
      </c>
      <c r="J380" s="547">
        <f t="shared" si="31"/>
        <v>168284</v>
      </c>
      <c r="L380" s="475"/>
    </row>
    <row r="381" spans="5:12" ht="15" customHeight="1">
      <c r="E381" s="509">
        <f t="shared" si="29"/>
        <v>351</v>
      </c>
      <c r="F381" s="213"/>
      <c r="G381" s="216" t="s">
        <v>1225</v>
      </c>
      <c r="H381" s="214" t="str">
        <f t="shared" si="30"/>
        <v>Pemasangan 1 m2 kaca tebal 5 mm</v>
      </c>
      <c r="I381" s="215" t="s">
        <v>23</v>
      </c>
      <c r="J381" s="547">
        <f t="shared" si="31"/>
        <v>203495</v>
      </c>
      <c r="L381" s="475"/>
    </row>
    <row r="382" spans="5:12" ht="15" customHeight="1">
      <c r="E382" s="509">
        <f t="shared" si="29"/>
        <v>352</v>
      </c>
      <c r="F382" s="213"/>
      <c r="G382" s="216" t="s">
        <v>1228</v>
      </c>
      <c r="H382" s="214" t="str">
        <f t="shared" si="30"/>
        <v>Pemasangan 1 m2 kaca tebal 8 mm</v>
      </c>
      <c r="I382" s="215" t="s">
        <v>23</v>
      </c>
      <c r="J382" s="547">
        <f t="shared" si="31"/>
        <v>305774</v>
      </c>
      <c r="L382" s="475"/>
    </row>
    <row r="383" spans="5:12" ht="15" customHeight="1">
      <c r="E383" s="509">
        <f t="shared" si="29"/>
        <v>353</v>
      </c>
      <c r="F383" s="213"/>
      <c r="G383" s="216" t="s">
        <v>1231</v>
      </c>
      <c r="H383" s="214" t="str">
        <f t="shared" si="30"/>
        <v>Pemasangan 1 m2 kaca buram tebal 12 mm</v>
      </c>
      <c r="I383" s="215" t="s">
        <v>23</v>
      </c>
      <c r="J383" s="547">
        <f t="shared" si="31"/>
        <v>252583</v>
      </c>
      <c r="L383" s="475"/>
    </row>
    <row r="384" spans="5:12" ht="15" customHeight="1">
      <c r="E384" s="509">
        <f t="shared" si="29"/>
        <v>354</v>
      </c>
      <c r="F384" s="213"/>
      <c r="G384" s="216" t="s">
        <v>1234</v>
      </c>
      <c r="H384" s="214" t="str">
        <f t="shared" si="30"/>
        <v>Pemasangan 1 m2 kaca cermin tebal 5 mm</v>
      </c>
      <c r="I384" s="215" t="s">
        <v>23</v>
      </c>
      <c r="J384" s="547">
        <f t="shared" si="31"/>
        <v>238630</v>
      </c>
      <c r="L384" s="475"/>
    </row>
    <row r="385" spans="1:12" ht="15" customHeight="1">
      <c r="E385" s="509">
        <f t="shared" si="29"/>
        <v>355</v>
      </c>
      <c r="F385" s="213"/>
      <c r="G385" s="216" t="s">
        <v>1237</v>
      </c>
      <c r="H385" s="214" t="str">
        <f t="shared" si="30"/>
        <v>Pemasangan 1 m2 kaca cermin tebal 8 mm</v>
      </c>
      <c r="I385" s="215" t="s">
        <v>23</v>
      </c>
      <c r="J385" s="547">
        <f t="shared" si="31"/>
        <v>393437</v>
      </c>
      <c r="L385" s="475"/>
    </row>
    <row r="386" spans="1:12" ht="15" customHeight="1">
      <c r="E386" s="509">
        <f t="shared" si="29"/>
        <v>356</v>
      </c>
      <c r="F386" s="213"/>
      <c r="G386" s="216" t="s">
        <v>1240</v>
      </c>
      <c r="H386" s="214" t="str">
        <f t="shared" si="30"/>
        <v>Pemasangan 1 m2 kaca wireglassed tebal 5 mm</v>
      </c>
      <c r="I386" s="215" t="s">
        <v>23</v>
      </c>
      <c r="J386" s="547">
        <f t="shared" si="31"/>
        <v>1176538</v>
      </c>
      <c r="L386" s="475"/>
    </row>
    <row r="387" spans="1:12" ht="15" customHeight="1">
      <c r="E387" s="509">
        <f t="shared" si="29"/>
        <v>357</v>
      </c>
      <c r="F387" s="213"/>
      <c r="G387" s="216" t="s">
        <v>1243</v>
      </c>
      <c r="H387" s="214" t="str">
        <f t="shared" si="30"/>
        <v>Pemasangan 1 m2 kaca patri tebal 5 mm</v>
      </c>
      <c r="I387" s="215" t="s">
        <v>23</v>
      </c>
      <c r="J387" s="547">
        <f t="shared" si="31"/>
        <v>165456</v>
      </c>
      <c r="L387" s="475"/>
    </row>
    <row r="388" spans="1:12" ht="15" customHeight="1">
      <c r="E388" s="509"/>
      <c r="F388" s="213"/>
      <c r="G388" s="7"/>
      <c r="H388" s="216"/>
      <c r="I388" s="219"/>
      <c r="J388" s="553"/>
      <c r="L388" s="475"/>
    </row>
    <row r="389" spans="1:12" s="473" customFormat="1" ht="15" customHeight="1">
      <c r="A389" s="624"/>
      <c r="B389" s="624"/>
      <c r="C389" s="624"/>
      <c r="D389" s="667"/>
      <c r="E389" s="548"/>
      <c r="F389" s="492" t="s">
        <v>1246</v>
      </c>
      <c r="G389" s="493" t="s">
        <v>1247</v>
      </c>
      <c r="H389" s="471"/>
      <c r="I389" s="491"/>
      <c r="J389" s="546"/>
      <c r="L389" s="476"/>
    </row>
    <row r="390" spans="1:12" ht="15" customHeight="1">
      <c r="E390" s="509">
        <f>E387+1</f>
        <v>358</v>
      </c>
      <c r="F390" s="213"/>
      <c r="G390" s="216" t="s">
        <v>1248</v>
      </c>
      <c r="H390" s="214" t="str">
        <f t="shared" ref="H390:H411" si="32">VLOOKUP(G390,AHSP,2,FALSE)</f>
        <v>1 m2 Pengikisan/pengerokan permukaan cat lama</v>
      </c>
      <c r="I390" s="215" t="s">
        <v>23</v>
      </c>
      <c r="J390" s="547">
        <f t="shared" ref="J390:J411" si="33">VLOOKUP(G390,AHSP,9,FALSE)</f>
        <v>23982</v>
      </c>
      <c r="L390" s="475"/>
    </row>
    <row r="391" spans="1:12" ht="15" customHeight="1">
      <c r="E391" s="509">
        <f t="shared" si="29"/>
        <v>359</v>
      </c>
      <c r="F391" s="213"/>
      <c r="G391" s="216" t="s">
        <v>1251</v>
      </c>
      <c r="H391" s="214" t="str">
        <f t="shared" si="32"/>
        <v xml:space="preserve"> 1 m2 Pencucian bidang  permukaan tembok yang pernah dicat</v>
      </c>
      <c r="I391" s="215" t="s">
        <v>23</v>
      </c>
      <c r="J391" s="547">
        <f t="shared" si="33"/>
        <v>21901</v>
      </c>
      <c r="L391" s="475"/>
    </row>
    <row r="392" spans="1:12" ht="15" customHeight="1">
      <c r="E392" s="509">
        <f t="shared" si="29"/>
        <v>360</v>
      </c>
      <c r="F392" s="213"/>
      <c r="G392" s="216" t="s">
        <v>1254</v>
      </c>
      <c r="H392" s="214" t="str">
        <f t="shared" si="32"/>
        <v xml:space="preserve"> 1 m2  Pengerokan karat pada permukaan baja cara manual</v>
      </c>
      <c r="I392" s="215" t="s">
        <v>23</v>
      </c>
      <c r="J392" s="547">
        <f t="shared" si="33"/>
        <v>22836</v>
      </c>
      <c r="L392" s="475"/>
    </row>
    <row r="393" spans="1:12" s="474" customFormat="1" ht="15" customHeight="1">
      <c r="A393" s="625"/>
      <c r="B393" s="625"/>
      <c r="C393" s="625"/>
      <c r="D393" s="668"/>
      <c r="E393" s="549">
        <f t="shared" si="29"/>
        <v>361</v>
      </c>
      <c r="F393" s="220"/>
      <c r="G393" s="221" t="s">
        <v>1256</v>
      </c>
      <c r="H393" s="222" t="str">
        <f t="shared" si="32"/>
        <v>1 m2  Pengecatan bidang kayu baru (1 lapis plamuur, 1 lapis cat dasar, 2 lapis cat penutup)</v>
      </c>
      <c r="I393" s="215" t="s">
        <v>23</v>
      </c>
      <c r="J393" s="550">
        <f t="shared" si="33"/>
        <v>52538</v>
      </c>
      <c r="L393" s="478"/>
    </row>
    <row r="394" spans="1:12" s="474" customFormat="1" ht="15" customHeight="1">
      <c r="A394" s="625"/>
      <c r="B394" s="625"/>
      <c r="C394" s="625"/>
      <c r="D394" s="668"/>
      <c r="E394" s="549">
        <f t="shared" si="29"/>
        <v>362</v>
      </c>
      <c r="F394" s="220"/>
      <c r="G394" s="221" t="s">
        <v>1267</v>
      </c>
      <c r="H394" s="222" t="str">
        <f t="shared" si="32"/>
        <v>Pengecatan 1 m2  bidang kayu baru (1 lapis plamuur, 1 lapis cat dasar, 3 lapis cat Penutup)</v>
      </c>
      <c r="I394" s="215" t="s">
        <v>23</v>
      </c>
      <c r="J394" s="550">
        <f t="shared" si="33"/>
        <v>74450</v>
      </c>
      <c r="L394" s="478"/>
    </row>
    <row r="395" spans="1:12" ht="15" customHeight="1">
      <c r="E395" s="509">
        <f t="shared" si="29"/>
        <v>363</v>
      </c>
      <c r="F395" s="213"/>
      <c r="G395" s="216" t="s">
        <v>1269</v>
      </c>
      <c r="H395" s="214" t="str">
        <f t="shared" si="32"/>
        <v>Pelaburan 1 m2 bidang kayu dengan teak oil</v>
      </c>
      <c r="I395" s="215" t="s">
        <v>23</v>
      </c>
      <c r="J395" s="547">
        <f t="shared" si="33"/>
        <v>35992</v>
      </c>
      <c r="L395" s="475"/>
    </row>
    <row r="396" spans="1:12" ht="15" customHeight="1">
      <c r="E396" s="509">
        <f t="shared" si="29"/>
        <v>364</v>
      </c>
      <c r="F396" s="213"/>
      <c r="G396" s="216" t="s">
        <v>1272</v>
      </c>
      <c r="H396" s="214" t="str">
        <f t="shared" si="32"/>
        <v>Pelaburan 1 m2 bidang kayu dengan politur</v>
      </c>
      <c r="I396" s="215" t="s">
        <v>23</v>
      </c>
      <c r="J396" s="547">
        <f t="shared" si="33"/>
        <v>66819</v>
      </c>
      <c r="L396" s="475"/>
    </row>
    <row r="397" spans="1:12" ht="15" customHeight="1">
      <c r="E397" s="509">
        <f t="shared" si="29"/>
        <v>365</v>
      </c>
      <c r="F397" s="213"/>
      <c r="G397" s="216" t="s">
        <v>1276</v>
      </c>
      <c r="H397" s="214" t="str">
        <f t="shared" si="32"/>
        <v>Pelaburan 1 m2 bidang kayu dengan cat residu dan ter</v>
      </c>
      <c r="I397" s="215" t="s">
        <v>23</v>
      </c>
      <c r="J397" s="547">
        <f t="shared" si="33"/>
        <v>18864</v>
      </c>
      <c r="L397" s="475"/>
    </row>
    <row r="398" spans="1:12" ht="15" customHeight="1">
      <c r="E398" s="509">
        <f t="shared" si="29"/>
        <v>366</v>
      </c>
      <c r="F398" s="213"/>
      <c r="G398" s="216" t="s">
        <v>1279</v>
      </c>
      <c r="H398" s="214" t="str">
        <f t="shared" si="32"/>
        <v>Pelaburan 1 m2 bidang kayu dengan vernis</v>
      </c>
      <c r="I398" s="215" t="s">
        <v>23</v>
      </c>
      <c r="J398" s="547">
        <f t="shared" si="33"/>
        <v>79475</v>
      </c>
      <c r="L398" s="475"/>
    </row>
    <row r="399" spans="1:12" s="474" customFormat="1" ht="15" customHeight="1">
      <c r="A399" s="625"/>
      <c r="B399" s="625"/>
      <c r="C399" s="625"/>
      <c r="D399" s="668"/>
      <c r="E399" s="549">
        <f t="shared" si="29"/>
        <v>367</v>
      </c>
      <c r="F399" s="220"/>
      <c r="G399" s="221" t="s">
        <v>1283</v>
      </c>
      <c r="H399" s="222" t="str">
        <f t="shared" si="32"/>
        <v>Pengecatan 1 m2   tembok baru ( 1lapis plamuur, 1 lapis cat dasar, 2 lapis cat penutup)</v>
      </c>
      <c r="I399" s="215" t="s">
        <v>23</v>
      </c>
      <c r="J399" s="550">
        <f t="shared" si="33"/>
        <v>37532</v>
      </c>
      <c r="L399" s="478"/>
    </row>
    <row r="400" spans="1:12" ht="15" customHeight="1">
      <c r="E400" s="509">
        <f t="shared" ref="E400:E449" si="34">E399+1</f>
        <v>368</v>
      </c>
      <c r="F400" s="213"/>
      <c r="G400" s="216" t="s">
        <v>1287</v>
      </c>
      <c r="H400" s="214" t="str">
        <f t="shared" si="32"/>
        <v>Pengecatan 1 m2 tembok lama ( 1 lapis cat dasar, 2 lapis cat penutup)</v>
      </c>
      <c r="I400" s="215" t="s">
        <v>23</v>
      </c>
      <c r="J400" s="547">
        <f t="shared" si="33"/>
        <v>30523</v>
      </c>
      <c r="L400" s="475"/>
    </row>
    <row r="401" spans="1:14" ht="15" customHeight="1">
      <c r="E401" s="509">
        <f t="shared" si="34"/>
        <v>369</v>
      </c>
      <c r="F401" s="213"/>
      <c r="G401" s="216" t="s">
        <v>1289</v>
      </c>
      <c r="H401" s="214" t="str">
        <f t="shared" si="32"/>
        <v>Pelaburan 1 m2 tembok dengan kalkarium</v>
      </c>
      <c r="I401" s="215" t="s">
        <v>23</v>
      </c>
      <c r="J401" s="547">
        <f t="shared" si="33"/>
        <v>12750</v>
      </c>
      <c r="L401" s="475"/>
    </row>
    <row r="402" spans="1:14" ht="15" customHeight="1">
      <c r="E402" s="509">
        <f t="shared" si="34"/>
        <v>370</v>
      </c>
      <c r="F402" s="213"/>
      <c r="G402" s="216" t="s">
        <v>1292</v>
      </c>
      <c r="H402" s="214" t="str">
        <f t="shared" si="32"/>
        <v>Pelaburan 1 m2 tembok dengan kapur sirih</v>
      </c>
      <c r="I402" s="215" t="s">
        <v>23</v>
      </c>
      <c r="J402" s="547">
        <f t="shared" si="33"/>
        <v>25072</v>
      </c>
      <c r="L402" s="475"/>
    </row>
    <row r="403" spans="1:14" ht="15" customHeight="1">
      <c r="E403" s="509">
        <f t="shared" si="34"/>
        <v>371</v>
      </c>
      <c r="F403" s="213"/>
      <c r="G403" s="216" t="s">
        <v>1297</v>
      </c>
      <c r="H403" s="214" t="str">
        <f t="shared" si="32"/>
        <v>Pelaburan 1 m2 tembok lama dengan kapur sirih (pemeliharaan)</v>
      </c>
      <c r="I403" s="215" t="s">
        <v>23</v>
      </c>
      <c r="J403" s="547">
        <f t="shared" si="33"/>
        <v>14289</v>
      </c>
      <c r="L403" s="475"/>
    </row>
    <row r="404" spans="1:14" ht="15" customHeight="1">
      <c r="E404" s="509">
        <f t="shared" si="34"/>
        <v>372</v>
      </c>
      <c r="F404" s="213"/>
      <c r="G404" s="216" t="s">
        <v>1299</v>
      </c>
      <c r="H404" s="214" t="str">
        <f t="shared" si="32"/>
        <v>Pemasangan 1 m2 wallpaper</v>
      </c>
      <c r="I404" s="215" t="s">
        <v>23</v>
      </c>
      <c r="J404" s="547">
        <f t="shared" si="33"/>
        <v>100943</v>
      </c>
      <c r="L404" s="475"/>
    </row>
    <row r="405" spans="1:14" ht="15" customHeight="1">
      <c r="E405" s="509">
        <f t="shared" si="34"/>
        <v>373</v>
      </c>
      <c r="F405" s="213"/>
      <c r="G405" s="216" t="s">
        <v>1302</v>
      </c>
      <c r="H405" s="214" t="str">
        <f t="shared" si="32"/>
        <v>Pengecatan 1 m2 permukaan baja dengan menie besi</v>
      </c>
      <c r="I405" s="215" t="s">
        <v>23</v>
      </c>
      <c r="J405" s="547">
        <f t="shared" si="33"/>
        <v>43847</v>
      </c>
      <c r="L405" s="475"/>
    </row>
    <row r="406" spans="1:14" ht="15" customHeight="1">
      <c r="E406" s="509">
        <f t="shared" si="34"/>
        <v>374</v>
      </c>
      <c r="F406" s="213"/>
      <c r="G406" s="216" t="s">
        <v>1305</v>
      </c>
      <c r="H406" s="214" t="str">
        <f t="shared" si="32"/>
        <v>Pengecatan 1 m2 permukaan baja dengan menie besi dengan perancah</v>
      </c>
      <c r="I406" s="215" t="s">
        <v>23</v>
      </c>
      <c r="J406" s="547">
        <f t="shared" si="33"/>
        <v>82655</v>
      </c>
      <c r="L406" s="475"/>
    </row>
    <row r="407" spans="1:14" ht="15" customHeight="1">
      <c r="E407" s="509">
        <f t="shared" si="34"/>
        <v>375</v>
      </c>
      <c r="F407" s="213"/>
      <c r="G407" s="216" t="s">
        <v>1308</v>
      </c>
      <c r="H407" s="214" t="str">
        <f t="shared" si="32"/>
        <v>Pengecatan 1 m2 permukaan baja galvanis secara manual 4 lapis</v>
      </c>
      <c r="I407" s="215" t="s">
        <v>23</v>
      </c>
      <c r="J407" s="547">
        <f t="shared" si="33"/>
        <v>95422</v>
      </c>
      <c r="L407" s="475"/>
    </row>
    <row r="408" spans="1:14" s="474" customFormat="1" ht="15" customHeight="1">
      <c r="A408" s="625"/>
      <c r="B408" s="625"/>
      <c r="C408" s="625"/>
      <c r="D408" s="668"/>
      <c r="E408" s="549">
        <f t="shared" si="34"/>
        <v>376</v>
      </c>
      <c r="F408" s="220"/>
      <c r="G408" s="221" t="s">
        <v>1313</v>
      </c>
      <c r="H408" s="222" t="str">
        <f t="shared" si="32"/>
        <v>Pengecatan 1 m2   permukaan baja galvanis secara manual sistem 1 lapis cat mutakhir</v>
      </c>
      <c r="I408" s="215" t="s">
        <v>23</v>
      </c>
      <c r="J408" s="550">
        <f t="shared" si="33"/>
        <v>40884</v>
      </c>
      <c r="L408" s="478"/>
    </row>
    <row r="409" spans="1:14" ht="15" customHeight="1">
      <c r="E409" s="509">
        <f t="shared" si="34"/>
        <v>377</v>
      </c>
      <c r="F409" s="213"/>
      <c r="G409" s="216" t="s">
        <v>1315</v>
      </c>
      <c r="H409" s="214" t="str">
        <f t="shared" si="32"/>
        <v>Pengecatan 1 m2 permukaan baja galvanis secara manual sistem 3 lapis</v>
      </c>
      <c r="I409" s="215" t="s">
        <v>23</v>
      </c>
      <c r="J409" s="547">
        <f t="shared" si="33"/>
        <v>225865</v>
      </c>
      <c r="L409" s="475"/>
    </row>
    <row r="410" spans="1:14" s="474" customFormat="1" ht="15" customHeight="1">
      <c r="A410" s="625"/>
      <c r="B410" s="625"/>
      <c r="C410" s="625"/>
      <c r="D410" s="668"/>
      <c r="E410" s="549">
        <f t="shared" si="34"/>
        <v>378</v>
      </c>
      <c r="F410" s="220"/>
      <c r="G410" s="221" t="s">
        <v>1319</v>
      </c>
      <c r="H410" s="222" t="str">
        <f t="shared" si="32"/>
        <v>Pengecatan 1 m2   permukaan baja galvanis secara semprot sistem 3 lapis cat mutakhir</v>
      </c>
      <c r="I410" s="215" t="s">
        <v>23</v>
      </c>
      <c r="J410" s="550">
        <f t="shared" si="33"/>
        <v>206712</v>
      </c>
      <c r="L410" s="478"/>
    </row>
    <row r="411" spans="1:14" ht="15" customHeight="1">
      <c r="E411" s="509">
        <f t="shared" si="34"/>
        <v>379</v>
      </c>
      <c r="F411" s="213"/>
      <c r="G411" s="216" t="s">
        <v>1321</v>
      </c>
      <c r="H411" s="214" t="str">
        <f t="shared" si="32"/>
        <v xml:space="preserve">Plituran 10 m2 dengan plitur melamic </v>
      </c>
      <c r="I411" s="215" t="s">
        <v>1619</v>
      </c>
      <c r="J411" s="547">
        <f t="shared" si="33"/>
        <v>200399</v>
      </c>
      <c r="L411" s="475"/>
      <c r="M411" s="481"/>
      <c r="N411" s="482"/>
    </row>
    <row r="412" spans="1:14" ht="15" customHeight="1">
      <c r="E412" s="509"/>
      <c r="F412" s="213"/>
      <c r="G412" s="7"/>
      <c r="H412" s="216"/>
      <c r="I412" s="219"/>
      <c r="J412" s="553"/>
      <c r="L412" s="475"/>
      <c r="M412" s="481"/>
      <c r="N412" s="482"/>
    </row>
    <row r="413" spans="1:14" s="473" customFormat="1" ht="15" customHeight="1">
      <c r="A413" s="624"/>
      <c r="B413" s="624"/>
      <c r="C413" s="624"/>
      <c r="D413" s="667"/>
      <c r="E413" s="548"/>
      <c r="F413" s="492" t="s">
        <v>1324</v>
      </c>
      <c r="G413" s="493" t="s">
        <v>1325</v>
      </c>
      <c r="H413" s="471"/>
      <c r="I413" s="491"/>
      <c r="J413" s="546"/>
      <c r="L413" s="476"/>
    </row>
    <row r="414" spans="1:14" ht="15" customHeight="1">
      <c r="E414" s="509">
        <f>E411+1</f>
        <v>380</v>
      </c>
      <c r="F414" s="213"/>
      <c r="G414" s="216" t="s">
        <v>1326</v>
      </c>
      <c r="H414" s="214" t="str">
        <f t="shared" ref="H414:H449" si="35">VLOOKUP(G414,AHSP,2,FALSE)</f>
        <v>(K3) Pemasangan 1 buah closet duduk/monoblock</v>
      </c>
      <c r="I414" s="215" t="s">
        <v>36</v>
      </c>
      <c r="J414" s="547">
        <f t="shared" ref="J414:J449" si="36">VLOOKUP(G414,AHSP,9,FALSE)</f>
        <v>2407185</v>
      </c>
      <c r="L414" s="475"/>
    </row>
    <row r="415" spans="1:14" ht="15" customHeight="1">
      <c r="E415" s="509">
        <f t="shared" si="34"/>
        <v>381</v>
      </c>
      <c r="F415" s="213"/>
      <c r="G415" s="216" t="s">
        <v>1331</v>
      </c>
      <c r="H415" s="214" t="str">
        <f t="shared" si="35"/>
        <v>Pemasangan 1 buah closet jongkok porslen</v>
      </c>
      <c r="I415" s="215" t="s">
        <v>36</v>
      </c>
      <c r="J415" s="547">
        <f t="shared" si="36"/>
        <v>648741</v>
      </c>
      <c r="L415" s="475"/>
    </row>
    <row r="416" spans="1:14" ht="15" customHeight="1">
      <c r="E416" s="509">
        <f t="shared" si="34"/>
        <v>382</v>
      </c>
      <c r="F416" s="213"/>
      <c r="G416" s="216" t="s">
        <v>1334</v>
      </c>
      <c r="H416" s="214" t="str">
        <f t="shared" si="35"/>
        <v>Pemasangan 1 buah closet jongkok teraso</v>
      </c>
      <c r="I416" s="215" t="s">
        <v>36</v>
      </c>
      <c r="J416" s="547">
        <f t="shared" si="36"/>
        <v>636179</v>
      </c>
      <c r="L416" s="475"/>
    </row>
    <row r="417" spans="5:12" ht="15" customHeight="1">
      <c r="E417" s="509">
        <f t="shared" si="34"/>
        <v>383</v>
      </c>
      <c r="F417" s="213"/>
      <c r="G417" s="216" t="s">
        <v>1336</v>
      </c>
      <c r="H417" s="214" t="str">
        <f t="shared" si="35"/>
        <v>(K3) Pemasangan 1 buah urinoir</v>
      </c>
      <c r="I417" s="215" t="s">
        <v>36</v>
      </c>
      <c r="J417" s="547">
        <f t="shared" si="36"/>
        <v>2712115</v>
      </c>
      <c r="L417" s="475"/>
    </row>
    <row r="418" spans="5:12" ht="15" customHeight="1">
      <c r="E418" s="509">
        <f t="shared" si="34"/>
        <v>384</v>
      </c>
      <c r="F418" s="213"/>
      <c r="G418" s="216" t="s">
        <v>1339</v>
      </c>
      <c r="H418" s="214" t="str">
        <f t="shared" si="35"/>
        <v>(K3) Pemasangan 1 buah wastafel</v>
      </c>
      <c r="I418" s="215" t="s">
        <v>36</v>
      </c>
      <c r="J418" s="547">
        <f t="shared" si="36"/>
        <v>1021507</v>
      </c>
      <c r="L418" s="475"/>
    </row>
    <row r="419" spans="5:12" ht="15" customHeight="1">
      <c r="E419" s="509">
        <f t="shared" si="34"/>
        <v>385</v>
      </c>
      <c r="F419" s="213"/>
      <c r="G419" s="216" t="s">
        <v>1342</v>
      </c>
      <c r="H419" s="214" t="str">
        <f t="shared" si="35"/>
        <v>(K3) Pemasangan 1 buah bathcuip porselen</v>
      </c>
      <c r="I419" s="215" t="s">
        <v>36</v>
      </c>
      <c r="J419" s="547">
        <f t="shared" si="36"/>
        <v>4576836</v>
      </c>
      <c r="L419" s="475"/>
    </row>
    <row r="420" spans="5:12" ht="15" customHeight="1">
      <c r="E420" s="509">
        <f t="shared" si="34"/>
        <v>386</v>
      </c>
      <c r="F420" s="213"/>
      <c r="G420" s="216" t="s">
        <v>1345</v>
      </c>
      <c r="H420" s="214" t="str">
        <f t="shared" si="35"/>
        <v>(K3) Pemasangan 1 buah bak fibreglass vol 1 m3</v>
      </c>
      <c r="I420" s="215" t="s">
        <v>36</v>
      </c>
      <c r="J420" s="547">
        <f t="shared" si="36"/>
        <v>1817290</v>
      </c>
      <c r="L420" s="475"/>
    </row>
    <row r="421" spans="5:12" ht="15" customHeight="1">
      <c r="E421" s="509">
        <f t="shared" si="34"/>
        <v>387</v>
      </c>
      <c r="F421" s="213"/>
      <c r="G421" s="216" t="s">
        <v>1348</v>
      </c>
      <c r="H421" s="214" t="str">
        <f t="shared" si="35"/>
        <v>(K3) Pemasangan 1 buah bak mandi batu bata vol 0,30 m3</v>
      </c>
      <c r="I421" s="215" t="s">
        <v>36</v>
      </c>
      <c r="J421" s="547">
        <f t="shared" si="36"/>
        <v>5170674</v>
      </c>
      <c r="L421" s="475"/>
    </row>
    <row r="422" spans="5:12" ht="15" customHeight="1">
      <c r="E422" s="509">
        <f t="shared" si="34"/>
        <v>388</v>
      </c>
      <c r="F422" s="213"/>
      <c r="G422" s="216" t="s">
        <v>1351</v>
      </c>
      <c r="H422" s="214" t="str">
        <f t="shared" si="35"/>
        <v>Pemasangan 1 buah bak mandi teraso vol 0,30 m3</v>
      </c>
      <c r="I422" s="215" t="s">
        <v>36</v>
      </c>
      <c r="J422" s="547">
        <f t="shared" si="36"/>
        <v>1817290</v>
      </c>
      <c r="L422" s="475"/>
    </row>
    <row r="423" spans="5:12" ht="15" customHeight="1">
      <c r="E423" s="509">
        <f t="shared" si="34"/>
        <v>389</v>
      </c>
      <c r="F423" s="213"/>
      <c r="G423" s="216" t="s">
        <v>1353</v>
      </c>
      <c r="H423" s="214" t="str">
        <f t="shared" si="35"/>
        <v>Pemasangan 1 buah bak air fibreglass vol 1 m3</v>
      </c>
      <c r="I423" s="215" t="s">
        <v>36</v>
      </c>
      <c r="J423" s="547">
        <f t="shared" si="36"/>
        <v>611387</v>
      </c>
      <c r="L423" s="475"/>
    </row>
    <row r="424" spans="5:12" ht="15" customHeight="1">
      <c r="E424" s="509">
        <f t="shared" si="34"/>
        <v>390</v>
      </c>
      <c r="F424" s="213"/>
      <c r="G424" s="216" t="s">
        <v>1355</v>
      </c>
      <c r="H424" s="214" t="str">
        <f t="shared" si="35"/>
        <v>Pemasangan 1 buah bak beton volume 1 m3</v>
      </c>
      <c r="I424" s="215" t="s">
        <v>36</v>
      </c>
      <c r="J424" s="547">
        <f t="shared" si="36"/>
        <v>26569961</v>
      </c>
      <c r="L424" s="475"/>
    </row>
    <row r="425" spans="5:12" ht="15" customHeight="1">
      <c r="E425" s="509">
        <f t="shared" si="34"/>
        <v>391</v>
      </c>
      <c r="F425" s="213"/>
      <c r="G425" s="216" t="s">
        <v>1361</v>
      </c>
      <c r="H425" s="214" t="str">
        <f t="shared" si="35"/>
        <v>Pemasangan 1 buah bak cuci piring stainlessteel</v>
      </c>
      <c r="I425" s="215" t="s">
        <v>36</v>
      </c>
      <c r="J425" s="547">
        <f t="shared" si="36"/>
        <v>678315</v>
      </c>
      <c r="L425" s="475"/>
    </row>
    <row r="426" spans="5:12" ht="15" customHeight="1">
      <c r="E426" s="509">
        <f t="shared" si="34"/>
        <v>392</v>
      </c>
      <c r="F426" s="213"/>
      <c r="G426" s="216" t="s">
        <v>1365</v>
      </c>
      <c r="H426" s="214" t="str">
        <f t="shared" si="35"/>
        <v>Pemasangan 1 buah bak cuci piring teraso</v>
      </c>
      <c r="I426" s="215" t="s">
        <v>36</v>
      </c>
      <c r="J426" s="547">
        <f t="shared" si="36"/>
        <v>774868</v>
      </c>
      <c r="L426" s="475"/>
    </row>
    <row r="427" spans="5:12" ht="15" customHeight="1">
      <c r="E427" s="509">
        <f t="shared" si="34"/>
        <v>393</v>
      </c>
      <c r="F427" s="213"/>
      <c r="G427" s="216" t="s">
        <v>1367</v>
      </c>
      <c r="H427" s="214" t="str">
        <f t="shared" si="35"/>
        <v>Pemasangan 1 buah floor drain</v>
      </c>
      <c r="I427" s="215" t="s">
        <v>36</v>
      </c>
      <c r="J427" s="547">
        <f t="shared" si="36"/>
        <v>328625</v>
      </c>
      <c r="L427" s="475"/>
    </row>
    <row r="428" spans="5:12" ht="15" customHeight="1">
      <c r="E428" s="509">
        <f t="shared" si="34"/>
        <v>394</v>
      </c>
      <c r="F428" s="213"/>
      <c r="G428" s="216" t="s">
        <v>1370</v>
      </c>
      <c r="H428" s="214" t="str">
        <f t="shared" si="35"/>
        <v>Pemasangan 1 buah bak kontrol pasangan bata 30x30 tinggi 35 cm</v>
      </c>
      <c r="I428" s="215" t="s">
        <v>36</v>
      </c>
      <c r="J428" s="547">
        <f t="shared" si="36"/>
        <v>693158</v>
      </c>
      <c r="L428" s="475"/>
    </row>
    <row r="429" spans="5:12" ht="15" customHeight="1">
      <c r="E429" s="509">
        <f t="shared" si="34"/>
        <v>395</v>
      </c>
      <c r="F429" s="213"/>
      <c r="G429" s="216" t="s">
        <v>1372</v>
      </c>
      <c r="H429" s="214" t="str">
        <f t="shared" si="35"/>
        <v>Pemasangan 1 buah bak kontrol pasangan bata 45cm x45cm tinggi 50 cm</v>
      </c>
      <c r="I429" s="215" t="s">
        <v>36</v>
      </c>
      <c r="J429" s="547">
        <f t="shared" si="36"/>
        <v>1017730</v>
      </c>
      <c r="L429" s="475"/>
    </row>
    <row r="430" spans="5:12" ht="15" customHeight="1">
      <c r="E430" s="509">
        <f t="shared" si="34"/>
        <v>396</v>
      </c>
      <c r="F430" s="213"/>
      <c r="G430" s="216" t="s">
        <v>1374</v>
      </c>
      <c r="H430" s="214" t="str">
        <f t="shared" si="35"/>
        <v>Pemasangan 1 buah bak kontrol pasangan bata 60cm x60cm tinggi 65 cm</v>
      </c>
      <c r="I430" s="215" t="s">
        <v>36</v>
      </c>
      <c r="J430" s="547">
        <f t="shared" si="36"/>
        <v>1241620</v>
      </c>
      <c r="L430" s="475"/>
    </row>
    <row r="431" spans="5:12" ht="15" customHeight="1">
      <c r="E431" s="509">
        <f t="shared" si="34"/>
        <v>397</v>
      </c>
      <c r="F431" s="213"/>
      <c r="G431" s="216" t="s">
        <v>1376</v>
      </c>
      <c r="H431" s="214" t="str">
        <f t="shared" si="35"/>
        <v>Pemasangan 1 m’ pipa galvanis diameter ½”</v>
      </c>
      <c r="I431" s="215" t="s">
        <v>33</v>
      </c>
      <c r="J431" s="547">
        <f t="shared" si="36"/>
        <v>82417</v>
      </c>
      <c r="L431" s="475"/>
    </row>
    <row r="432" spans="5:12" ht="15" customHeight="1">
      <c r="E432" s="509">
        <f t="shared" si="34"/>
        <v>398</v>
      </c>
      <c r="F432" s="213"/>
      <c r="G432" s="216" t="s">
        <v>1379</v>
      </c>
      <c r="H432" s="214" t="str">
        <f t="shared" si="35"/>
        <v>Pemasangan 1 buah kran diameter ½” atau 3/4”</v>
      </c>
      <c r="I432" s="215" t="s">
        <v>33</v>
      </c>
      <c r="J432" s="547">
        <f t="shared" si="36"/>
        <v>110331</v>
      </c>
      <c r="L432" s="475"/>
    </row>
    <row r="433" spans="5:12" ht="15" customHeight="1">
      <c r="E433" s="509">
        <f t="shared" si="34"/>
        <v>399</v>
      </c>
      <c r="F433" s="213"/>
      <c r="G433" s="216" t="s">
        <v>1383</v>
      </c>
      <c r="H433" s="214" t="str">
        <f t="shared" si="35"/>
        <v>Pemasangan 1 m’ pipa galvanis diameter 3/4”</v>
      </c>
      <c r="I433" s="215" t="s">
        <v>33</v>
      </c>
      <c r="J433" s="547">
        <f t="shared" si="36"/>
        <v>85981</v>
      </c>
      <c r="L433" s="475"/>
    </row>
    <row r="434" spans="5:12" ht="15" customHeight="1">
      <c r="E434" s="509">
        <f t="shared" si="34"/>
        <v>400</v>
      </c>
      <c r="F434" s="213"/>
      <c r="G434" s="216" t="s">
        <v>1386</v>
      </c>
      <c r="H434" s="214" t="str">
        <f t="shared" si="35"/>
        <v>Pemasangan 1 m’ pipa galvanis diameter 1”</v>
      </c>
      <c r="I434" s="215" t="s">
        <v>33</v>
      </c>
      <c r="J434" s="547">
        <f t="shared" si="36"/>
        <v>28957</v>
      </c>
      <c r="L434" s="475"/>
    </row>
    <row r="435" spans="5:12" ht="15" customHeight="1">
      <c r="E435" s="509">
        <f t="shared" si="34"/>
        <v>401</v>
      </c>
      <c r="F435" s="213"/>
      <c r="G435" s="216" t="s">
        <v>1389</v>
      </c>
      <c r="H435" s="214" t="str">
        <f t="shared" si="35"/>
        <v>Pemasangan 1 m’ pipa galvanis diameter 1 ½”</v>
      </c>
      <c r="I435" s="215" t="s">
        <v>33</v>
      </c>
      <c r="J435" s="547">
        <f t="shared" si="36"/>
        <v>190153</v>
      </c>
      <c r="L435" s="475"/>
    </row>
    <row r="436" spans="5:12" ht="15" customHeight="1">
      <c r="E436" s="509">
        <f t="shared" si="34"/>
        <v>402</v>
      </c>
      <c r="F436" s="213"/>
      <c r="G436" s="216" t="s">
        <v>1392</v>
      </c>
      <c r="H436" s="214" t="str">
        <f t="shared" si="35"/>
        <v>Pemasangan 1 m’ pipa galvanis diameter 3”</v>
      </c>
      <c r="I436" s="215" t="s">
        <v>33</v>
      </c>
      <c r="J436" s="547">
        <f t="shared" si="36"/>
        <v>481277</v>
      </c>
      <c r="L436" s="475"/>
    </row>
    <row r="437" spans="5:12" ht="15" customHeight="1">
      <c r="E437" s="509">
        <f t="shared" si="34"/>
        <v>403</v>
      </c>
      <c r="F437" s="213"/>
      <c r="G437" s="216" t="s">
        <v>1395</v>
      </c>
      <c r="H437" s="214" t="str">
        <f t="shared" si="35"/>
        <v>Pemasangan 1 m’ pipa galvanis diameter 4”</v>
      </c>
      <c r="I437" s="215" t="s">
        <v>33</v>
      </c>
      <c r="J437" s="547">
        <f t="shared" si="36"/>
        <v>860398</v>
      </c>
      <c r="L437" s="475"/>
    </row>
    <row r="438" spans="5:12" ht="15" customHeight="1">
      <c r="E438" s="509">
        <f t="shared" si="34"/>
        <v>404</v>
      </c>
      <c r="F438" s="213"/>
      <c r="G438" s="216" t="s">
        <v>1398</v>
      </c>
      <c r="H438" s="214" t="str">
        <f t="shared" si="35"/>
        <v>Pemasangan 1 m’ pipa PVC tipe AW diameter 1/2”</v>
      </c>
      <c r="I438" s="215" t="s">
        <v>33</v>
      </c>
      <c r="J438" s="547">
        <f t="shared" si="36"/>
        <v>27539</v>
      </c>
      <c r="L438" s="475"/>
    </row>
    <row r="439" spans="5:12" ht="15" customHeight="1">
      <c r="E439" s="509">
        <f t="shared" si="34"/>
        <v>405</v>
      </c>
      <c r="F439" s="213"/>
      <c r="G439" s="216" t="s">
        <v>1401</v>
      </c>
      <c r="H439" s="214" t="str">
        <f t="shared" si="35"/>
        <v>Pemasangan 1 m’ pipa PVC tipe AW diameter 3/4”</v>
      </c>
      <c r="I439" s="215" t="s">
        <v>33</v>
      </c>
      <c r="J439" s="547">
        <f t="shared" si="36"/>
        <v>31103</v>
      </c>
      <c r="L439" s="475"/>
    </row>
    <row r="440" spans="5:12" ht="15" customHeight="1">
      <c r="E440" s="509">
        <f t="shared" si="34"/>
        <v>406</v>
      </c>
      <c r="F440" s="213"/>
      <c r="G440" s="216" t="s">
        <v>1404</v>
      </c>
      <c r="H440" s="214" t="str">
        <f t="shared" si="35"/>
        <v>Pemasangan 1 m’ pipa PVC tipe AW diameter 1”</v>
      </c>
      <c r="I440" s="215" t="s">
        <v>33</v>
      </c>
      <c r="J440" s="547">
        <f t="shared" si="36"/>
        <v>36271</v>
      </c>
      <c r="L440" s="475"/>
    </row>
    <row r="441" spans="5:12" ht="15" customHeight="1">
      <c r="E441" s="509">
        <f t="shared" si="34"/>
        <v>407</v>
      </c>
      <c r="F441" s="213"/>
      <c r="G441" s="216" t="s">
        <v>1407</v>
      </c>
      <c r="H441" s="214" t="str">
        <f t="shared" si="35"/>
        <v>Pemasangan 1 m’ pipa PVC tipe AW diameter 11/2”</v>
      </c>
      <c r="I441" s="215" t="s">
        <v>33</v>
      </c>
      <c r="J441" s="547">
        <f t="shared" si="36"/>
        <v>59218</v>
      </c>
      <c r="L441" s="475"/>
    </row>
    <row r="442" spans="5:12" ht="15" customHeight="1">
      <c r="E442" s="509">
        <f t="shared" si="34"/>
        <v>408</v>
      </c>
      <c r="F442" s="213"/>
      <c r="G442" s="216" t="s">
        <v>1410</v>
      </c>
      <c r="H442" s="214" t="str">
        <f t="shared" si="35"/>
        <v>Pemasangan 1 m’ pipa PVC tipe AW diameter 2”</v>
      </c>
      <c r="I442" s="215" t="s">
        <v>33</v>
      </c>
      <c r="J442" s="547">
        <f t="shared" si="36"/>
        <v>69019</v>
      </c>
      <c r="L442" s="475"/>
    </row>
    <row r="443" spans="5:12" ht="15" customHeight="1">
      <c r="E443" s="509">
        <f t="shared" si="34"/>
        <v>409</v>
      </c>
      <c r="F443" s="213"/>
      <c r="G443" s="216" t="s">
        <v>1413</v>
      </c>
      <c r="H443" s="214" t="str">
        <f t="shared" si="35"/>
        <v>Pemasangan 1 m’ pipa PVC tipe AW diameter 21/2”</v>
      </c>
      <c r="I443" s="215" t="s">
        <v>33</v>
      </c>
      <c r="J443" s="547">
        <f t="shared" si="36"/>
        <v>101653</v>
      </c>
      <c r="L443" s="475"/>
    </row>
    <row r="444" spans="5:12" ht="15" customHeight="1">
      <c r="E444" s="509">
        <f t="shared" si="34"/>
        <v>410</v>
      </c>
      <c r="F444" s="213"/>
      <c r="G444" s="216" t="s">
        <v>1416</v>
      </c>
      <c r="H444" s="214" t="str">
        <f t="shared" si="35"/>
        <v>Pemasangan 1 m’ pipa PVC tipe AW diameter 3”</v>
      </c>
      <c r="I444" s="215" t="s">
        <v>33</v>
      </c>
      <c r="J444" s="547">
        <f t="shared" si="36"/>
        <v>125710</v>
      </c>
      <c r="L444" s="475"/>
    </row>
    <row r="445" spans="5:12" ht="15" customHeight="1">
      <c r="E445" s="509">
        <f t="shared" si="34"/>
        <v>411</v>
      </c>
      <c r="F445" s="213"/>
      <c r="G445" s="216" t="s">
        <v>1419</v>
      </c>
      <c r="H445" s="214" t="str">
        <f t="shared" si="35"/>
        <v>Pemasangan 1 m’ pipa PVC tipe AW diameter 4”</v>
      </c>
      <c r="I445" s="215" t="s">
        <v>33</v>
      </c>
      <c r="J445" s="547">
        <f t="shared" si="36"/>
        <v>154222</v>
      </c>
      <c r="L445" s="475"/>
    </row>
    <row r="446" spans="5:12" ht="15" customHeight="1">
      <c r="E446" s="509">
        <f t="shared" si="34"/>
        <v>412</v>
      </c>
      <c r="F446" s="213"/>
      <c r="G446" s="216" t="s">
        <v>1422</v>
      </c>
      <c r="H446" s="214" t="str">
        <f t="shared" si="35"/>
        <v>Pemasangan 1 m’ pipa air limbah jenis pipa tanah</v>
      </c>
      <c r="I446" s="215" t="s">
        <v>33</v>
      </c>
      <c r="J446" s="547">
        <f t="shared" si="36"/>
        <v>200665</v>
      </c>
      <c r="L446" s="475"/>
    </row>
    <row r="447" spans="5:12" ht="15" customHeight="1">
      <c r="E447" s="509">
        <f t="shared" si="34"/>
        <v>413</v>
      </c>
      <c r="F447" s="213"/>
      <c r="G447" s="216" t="s">
        <v>1425</v>
      </c>
      <c r="H447" s="214" t="str">
        <f t="shared" si="35"/>
        <v>Pemasangan 1 m’ pipa air limbah jenis pipa tanah diameter 15 cm</v>
      </c>
      <c r="I447" s="215" t="s">
        <v>33</v>
      </c>
      <c r="J447" s="547">
        <f t="shared" si="36"/>
        <v>123650</v>
      </c>
      <c r="L447" s="475"/>
    </row>
    <row r="448" spans="5:12" ht="15" customHeight="1">
      <c r="E448" s="509">
        <f t="shared" si="34"/>
        <v>414</v>
      </c>
      <c r="F448" s="213"/>
      <c r="G448" s="216" t="s">
        <v>1427</v>
      </c>
      <c r="H448" s="214" t="str">
        <f t="shared" si="35"/>
        <v>Pemasangan 1 m’ pipa beton diameter 15 - 20 cm</v>
      </c>
      <c r="I448" s="215" t="s">
        <v>33</v>
      </c>
      <c r="J448" s="547">
        <f t="shared" si="36"/>
        <v>143608</v>
      </c>
      <c r="L448" s="475"/>
    </row>
    <row r="449" spans="1:14" ht="15" customHeight="1">
      <c r="E449" s="509">
        <f t="shared" si="34"/>
        <v>415</v>
      </c>
      <c r="F449" s="213"/>
      <c r="G449" s="216" t="s">
        <v>1430</v>
      </c>
      <c r="H449" s="214" t="str">
        <f t="shared" si="35"/>
        <v>Pemasangan 1 m’ pipa beton diameter 30 - 100 cm</v>
      </c>
      <c r="I449" s="215" t="s">
        <v>33</v>
      </c>
      <c r="J449" s="547">
        <f t="shared" si="36"/>
        <v>230915</v>
      </c>
      <c r="L449" s="475"/>
    </row>
    <row r="450" spans="1:14" ht="15" customHeight="1">
      <c r="E450" s="509"/>
      <c r="F450" s="213"/>
      <c r="G450" s="7"/>
      <c r="H450" s="216"/>
      <c r="I450" s="219"/>
      <c r="J450" s="553"/>
      <c r="L450" s="475"/>
    </row>
    <row r="451" spans="1:14" ht="15" customHeight="1">
      <c r="E451" s="509"/>
      <c r="F451" s="213"/>
      <c r="G451" s="7"/>
      <c r="H451" s="216"/>
      <c r="I451" s="219"/>
      <c r="J451" s="553"/>
      <c r="L451" s="475"/>
      <c r="M451" s="481"/>
      <c r="N451" s="482"/>
    </row>
    <row r="452" spans="1:14" s="473" customFormat="1" ht="15" customHeight="1">
      <c r="A452" s="624"/>
      <c r="B452" s="624"/>
      <c r="C452" s="624"/>
      <c r="D452" s="667"/>
      <c r="E452" s="548"/>
      <c r="F452" s="494" t="s">
        <v>1566</v>
      </c>
      <c r="G452" s="471" t="s">
        <v>1567</v>
      </c>
      <c r="H452" s="493"/>
      <c r="I452" s="495"/>
      <c r="J452" s="554"/>
      <c r="L452" s="476"/>
      <c r="M452" s="485"/>
      <c r="N452" s="486"/>
    </row>
    <row r="453" spans="1:14" ht="15" customHeight="1">
      <c r="E453" s="509">
        <f>E449+1</f>
        <v>416</v>
      </c>
      <c r="F453" s="213"/>
      <c r="G453" s="216" t="s">
        <v>1568</v>
      </c>
      <c r="H453" s="214" t="str">
        <f t="shared" ref="H453:H458" si="37">VLOOKUP(G453,AHSP,2,FALSE)</f>
        <v xml:space="preserve">(K3) Pemasangan 1 buah titik lampu </v>
      </c>
      <c r="I453" s="215" t="s">
        <v>36</v>
      </c>
      <c r="J453" s="547">
        <f t="shared" ref="J453:J458" si="38">VLOOKUP(G453,AHSP,9,FALSE)</f>
        <v>931133</v>
      </c>
      <c r="L453" s="475"/>
    </row>
    <row r="454" spans="1:14" ht="15" customHeight="1">
      <c r="E454" s="509">
        <f>E453+1</f>
        <v>417</v>
      </c>
      <c r="F454" s="213"/>
      <c r="G454" s="216" t="s">
        <v>1578</v>
      </c>
      <c r="H454" s="214" t="str">
        <f t="shared" si="37"/>
        <v>Memasang 1 Titik Instalasi Penerangan</v>
      </c>
      <c r="I454" s="215" t="s">
        <v>1617</v>
      </c>
      <c r="J454" s="547">
        <f t="shared" si="38"/>
        <v>306611</v>
      </c>
      <c r="K454" s="487"/>
      <c r="L454" s="488"/>
      <c r="M454" s="489"/>
    </row>
    <row r="455" spans="1:14" ht="15" customHeight="1">
      <c r="E455" s="509">
        <f>E454+1</f>
        <v>418</v>
      </c>
      <c r="F455" s="213"/>
      <c r="G455" s="216" t="s">
        <v>1692</v>
      </c>
      <c r="H455" s="214" t="str">
        <f t="shared" si="37"/>
        <v>Pemasangan 1 buah saklar ganda</v>
      </c>
      <c r="I455" s="215" t="s">
        <v>36</v>
      </c>
      <c r="J455" s="547">
        <f t="shared" si="38"/>
        <v>84535</v>
      </c>
      <c r="K455" s="487"/>
      <c r="L455" s="488"/>
      <c r="M455" s="489"/>
    </row>
    <row r="456" spans="1:14" ht="15" customHeight="1">
      <c r="E456" s="509">
        <f>E455+1</f>
        <v>419</v>
      </c>
      <c r="F456" s="213"/>
      <c r="G456" s="216" t="s">
        <v>1694</v>
      </c>
      <c r="H456" s="214" t="str">
        <f t="shared" si="37"/>
        <v>Pemasangan 1 buah saklar tunggal</v>
      </c>
      <c r="I456" s="215" t="s">
        <v>36</v>
      </c>
      <c r="J456" s="547">
        <f t="shared" si="38"/>
        <v>77935</v>
      </c>
      <c r="K456" s="487"/>
      <c r="L456" s="488"/>
      <c r="M456" s="489"/>
    </row>
    <row r="457" spans="1:14" ht="15" customHeight="1">
      <c r="E457" s="509">
        <f>E456+1</f>
        <v>420</v>
      </c>
      <c r="F457" s="213"/>
      <c r="G457" s="216" t="s">
        <v>1696</v>
      </c>
      <c r="H457" s="214" t="str">
        <f t="shared" si="37"/>
        <v>Pemasangan 1 buah stop kontak</v>
      </c>
      <c r="I457" s="215" t="s">
        <v>36</v>
      </c>
      <c r="J457" s="547">
        <f t="shared" si="38"/>
        <v>70697</v>
      </c>
      <c r="K457" s="487"/>
      <c r="L457" s="488"/>
      <c r="M457" s="489"/>
    </row>
    <row r="458" spans="1:14" ht="15" customHeight="1">
      <c r="E458" s="509">
        <f>E457+1</f>
        <v>421</v>
      </c>
      <c r="F458" s="213"/>
      <c r="G458" s="216" t="s">
        <v>1698</v>
      </c>
      <c r="H458" s="214" t="str">
        <f t="shared" si="37"/>
        <v>Pemasangan 1 buah MCB Box</v>
      </c>
      <c r="I458" s="215" t="s">
        <v>36</v>
      </c>
      <c r="J458" s="547">
        <f t="shared" si="38"/>
        <v>496870</v>
      </c>
      <c r="K458" s="487"/>
      <c r="L458" s="488"/>
      <c r="M458" s="489"/>
    </row>
    <row r="459" spans="1:14" ht="15" customHeight="1">
      <c r="E459" s="509"/>
      <c r="F459" s="213"/>
      <c r="G459" s="216"/>
      <c r="H459" s="214"/>
      <c r="I459" s="215"/>
      <c r="J459" s="547"/>
      <c r="K459" s="487"/>
      <c r="L459" s="488"/>
      <c r="M459" s="489"/>
    </row>
    <row r="460" spans="1:14" ht="15" customHeight="1" thickBot="1">
      <c r="E460" s="514"/>
      <c r="F460" s="555"/>
      <c r="G460" s="556"/>
      <c r="H460" s="557"/>
      <c r="I460" s="558"/>
      <c r="J460" s="559"/>
      <c r="K460" s="487"/>
      <c r="L460" s="488"/>
      <c r="M460" s="489"/>
    </row>
    <row r="461" spans="1:14" ht="15" customHeight="1">
      <c r="F461" s="103"/>
      <c r="J461" s="103"/>
    </row>
    <row r="462" spans="1:14" ht="15" customHeight="1">
      <c r="F462" s="103"/>
      <c r="J462" s="103"/>
    </row>
    <row r="463" spans="1:14" ht="15" customHeight="1">
      <c r="F463" s="103"/>
      <c r="J463" s="103"/>
    </row>
    <row r="464" spans="1:14" ht="15" customHeight="1">
      <c r="F464" s="103"/>
      <c r="J464" s="103"/>
    </row>
    <row r="465" spans="6:10" ht="15" customHeight="1">
      <c r="F465" s="103"/>
      <c r="J465" s="103"/>
    </row>
    <row r="466" spans="6:10" ht="15" customHeight="1">
      <c r="F466" s="103"/>
      <c r="J466" s="103"/>
    </row>
    <row r="467" spans="6:10" ht="15" customHeight="1">
      <c r="F467" s="103"/>
      <c r="G467" s="218"/>
    </row>
    <row r="468" spans="6:10" ht="15" customHeight="1">
      <c r="F468" s="103"/>
      <c r="J468" s="103"/>
    </row>
    <row r="469" spans="6:10" ht="15" customHeight="1">
      <c r="F469" s="103"/>
      <c r="J469" s="103"/>
    </row>
    <row r="470" spans="6:10" ht="15" customHeight="1">
      <c r="F470" s="103"/>
      <c r="J470" s="103"/>
    </row>
    <row r="471" spans="6:10" ht="15" customHeight="1">
      <c r="F471" s="103"/>
      <c r="J471" s="103"/>
    </row>
    <row r="472" spans="6:10" ht="15" customHeight="1">
      <c r="F472" s="103"/>
      <c r="J472" s="103"/>
    </row>
    <row r="473" spans="6:10" ht="15" customHeight="1">
      <c r="F473" s="103"/>
      <c r="J473" s="103"/>
    </row>
    <row r="474" spans="6:10" ht="15" customHeight="1">
      <c r="F474" s="103"/>
      <c r="J474" s="103"/>
    </row>
    <row r="475" spans="6:10" ht="15" customHeight="1">
      <c r="F475" s="103"/>
      <c r="J475" s="103"/>
    </row>
    <row r="476" spans="6:10" ht="15" customHeight="1">
      <c r="F476" s="103"/>
      <c r="J476" s="103"/>
    </row>
    <row r="477" spans="6:10" ht="15" customHeight="1">
      <c r="F477" s="103"/>
      <c r="J477" s="103"/>
    </row>
    <row r="478" spans="6:10" ht="15" customHeight="1">
      <c r="F478" s="103"/>
      <c r="J478" s="103"/>
    </row>
    <row r="479" spans="6:10" ht="15" customHeight="1">
      <c r="F479" s="103"/>
      <c r="J479" s="103"/>
    </row>
    <row r="480" spans="6:10" ht="15" customHeight="1">
      <c r="F480" s="103"/>
      <c r="J480" s="103"/>
    </row>
    <row r="481" spans="6:10" ht="15" customHeight="1">
      <c r="F481" s="103"/>
      <c r="J481" s="103"/>
    </row>
    <row r="482" spans="6:10" ht="15" customHeight="1">
      <c r="F482" s="103"/>
      <c r="J482" s="103"/>
    </row>
    <row r="483" spans="6:10" ht="15" customHeight="1">
      <c r="F483" s="103"/>
      <c r="J483" s="103"/>
    </row>
    <row r="484" spans="6:10" ht="15" customHeight="1">
      <c r="F484" s="103"/>
    </row>
    <row r="485" spans="6:10" ht="15" customHeight="1">
      <c r="F485" s="103"/>
    </row>
    <row r="486" spans="6:10" ht="15" customHeight="1">
      <c r="F486" s="103"/>
    </row>
    <row r="487" spans="6:10" ht="15" customHeight="1">
      <c r="F487" s="103"/>
    </row>
    <row r="488" spans="6:10" ht="15" customHeight="1">
      <c r="F488" s="103"/>
    </row>
    <row r="489" spans="6:10" ht="15" customHeight="1">
      <c r="F489" s="103"/>
    </row>
  </sheetData>
  <mergeCells count="2">
    <mergeCell ref="F4:G4"/>
    <mergeCell ref="A29:C29"/>
  </mergeCells>
  <phoneticPr fontId="9" type="noConversion"/>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FE88-423F-4A3B-BED0-471CAE12D475}">
  <sheetPr codeName="Sheet4">
    <tabColor rgb="FF1F4E78"/>
  </sheetPr>
  <dimension ref="A1:P510"/>
  <sheetViews>
    <sheetView showGridLines="0" showRowColHeaders="0" zoomScale="75" zoomScaleNormal="75" workbookViewId="0">
      <pane ySplit="4" topLeftCell="A5" activePane="bottomLeft" state="frozen"/>
      <selection pane="bottomLeft" activeCell="M15" sqref="M15"/>
    </sheetView>
  </sheetViews>
  <sheetFormatPr defaultColWidth="9.21875" defaultRowHeight="15" customHeight="1"/>
  <cols>
    <col min="1" max="3" width="10.77734375" style="623" customWidth="1"/>
    <col min="4" max="4" width="3.77734375" style="664" customWidth="1"/>
    <col min="5" max="5" width="6" style="1" customWidth="1"/>
    <col min="6" max="6" width="25.44140625" style="2" customWidth="1"/>
    <col min="7" max="9" width="6.21875" style="2" customWidth="1"/>
    <col min="10" max="10" width="9.5546875" style="2" customWidth="1"/>
    <col min="11" max="11" width="17.44140625" style="3" customWidth="1"/>
    <col min="12" max="12" width="12.21875" style="2" customWidth="1"/>
    <col min="13" max="13" width="20.77734375" style="2" customWidth="1"/>
    <col min="14" max="14" width="9.21875" style="2"/>
    <col min="15" max="15" width="9.77734375" style="2" customWidth="1"/>
    <col min="16" max="16384" width="9.21875" style="2"/>
  </cols>
  <sheetData>
    <row r="1" spans="5:12" s="623" customFormat="1" ht="15" customHeight="1">
      <c r="E1" s="628"/>
      <c r="K1" s="629"/>
    </row>
    <row r="2" spans="5:12" s="623" customFormat="1" ht="15" customHeight="1">
      <c r="E2" s="937" t="s">
        <v>2085</v>
      </c>
      <c r="K2" s="629"/>
    </row>
    <row r="3" spans="5:12" s="623" customFormat="1" ht="15" customHeight="1" thickBot="1">
      <c r="E3" s="628"/>
      <c r="K3" s="629"/>
    </row>
    <row r="4" spans="5:12" ht="15" customHeight="1" thickBot="1">
      <c r="E4" s="594" t="s">
        <v>1620</v>
      </c>
      <c r="F4" s="595" t="s">
        <v>2085</v>
      </c>
      <c r="G4" s="596"/>
      <c r="H4" s="596"/>
      <c r="I4" s="597"/>
      <c r="J4" s="598" t="s">
        <v>138</v>
      </c>
      <c r="K4" s="599" t="s">
        <v>2089</v>
      </c>
      <c r="L4" s="600" t="s">
        <v>1621</v>
      </c>
    </row>
    <row r="5" spans="5:12" ht="15" customHeight="1">
      <c r="E5" s="521"/>
      <c r="F5" s="522"/>
      <c r="G5" s="523"/>
      <c r="H5" s="523"/>
      <c r="I5" s="524"/>
      <c r="J5" s="525"/>
      <c r="K5" s="526"/>
      <c r="L5" s="527"/>
    </row>
    <row r="6" spans="5:12" ht="15" customHeight="1">
      <c r="E6" s="509">
        <v>1</v>
      </c>
      <c r="F6" s="4" t="s">
        <v>335</v>
      </c>
      <c r="G6" s="5"/>
      <c r="H6" s="5"/>
      <c r="I6" s="6"/>
      <c r="J6" s="7" t="s">
        <v>188</v>
      </c>
      <c r="K6" s="8">
        <v>75</v>
      </c>
      <c r="L6" s="510"/>
    </row>
    <row r="7" spans="5:12" ht="15" customHeight="1">
      <c r="E7" s="509">
        <f>E6+1</f>
        <v>2</v>
      </c>
      <c r="F7" s="4" t="s">
        <v>1605</v>
      </c>
      <c r="G7" s="5"/>
      <c r="H7" s="5"/>
      <c r="I7" s="6"/>
      <c r="J7" s="7" t="s">
        <v>188</v>
      </c>
      <c r="K7" s="8">
        <v>75</v>
      </c>
      <c r="L7" s="510"/>
    </row>
    <row r="8" spans="5:12" ht="15" customHeight="1">
      <c r="E8" s="509">
        <f>E7+1</f>
        <v>3</v>
      </c>
      <c r="F8" s="4" t="s">
        <v>1562</v>
      </c>
      <c r="G8" s="5"/>
      <c r="H8" s="5"/>
      <c r="I8" s="6"/>
      <c r="J8" s="7" t="s">
        <v>44</v>
      </c>
      <c r="K8" s="8">
        <v>35000</v>
      </c>
      <c r="L8" s="510"/>
    </row>
    <row r="9" spans="5:12" ht="15" customHeight="1">
      <c r="E9" s="509">
        <f>E8+1</f>
        <v>4</v>
      </c>
      <c r="F9" s="4" t="s">
        <v>1622</v>
      </c>
      <c r="G9" s="5"/>
      <c r="H9" s="5"/>
      <c r="I9" s="6"/>
      <c r="J9" s="7" t="s">
        <v>188</v>
      </c>
      <c r="K9" s="8">
        <v>3500</v>
      </c>
      <c r="L9" s="510"/>
    </row>
    <row r="10" spans="5:12" ht="15" customHeight="1">
      <c r="E10" s="509">
        <f t="shared" ref="E10:E73" si="0">E9+1</f>
        <v>5</v>
      </c>
      <c r="F10" s="4" t="s">
        <v>971</v>
      </c>
      <c r="G10" s="5"/>
      <c r="H10" s="5"/>
      <c r="I10" s="6"/>
      <c r="J10" s="7" t="s">
        <v>423</v>
      </c>
      <c r="K10" s="9">
        <v>157440</v>
      </c>
      <c r="L10" s="510"/>
    </row>
    <row r="11" spans="5:12" ht="15" customHeight="1">
      <c r="E11" s="509">
        <f t="shared" si="0"/>
        <v>6</v>
      </c>
      <c r="F11" s="4" t="s">
        <v>965</v>
      </c>
      <c r="G11" s="5"/>
      <c r="H11" s="5"/>
      <c r="I11" s="6"/>
      <c r="J11" s="7" t="s">
        <v>423</v>
      </c>
      <c r="K11" s="9">
        <v>42700</v>
      </c>
      <c r="L11" s="510"/>
    </row>
    <row r="12" spans="5:12" ht="15" customHeight="1">
      <c r="E12" s="509">
        <f>E11+1</f>
        <v>7</v>
      </c>
      <c r="F12" s="4" t="s">
        <v>968</v>
      </c>
      <c r="G12" s="5"/>
      <c r="H12" s="5"/>
      <c r="I12" s="6"/>
      <c r="J12" s="7" t="s">
        <v>423</v>
      </c>
      <c r="K12" s="9">
        <v>65450</v>
      </c>
      <c r="L12" s="510"/>
    </row>
    <row r="13" spans="5:12" ht="15" customHeight="1">
      <c r="E13" s="509">
        <f t="shared" si="0"/>
        <v>8</v>
      </c>
      <c r="F13" s="4" t="s">
        <v>1295</v>
      </c>
      <c r="G13" s="5"/>
      <c r="H13" s="5"/>
      <c r="I13" s="6"/>
      <c r="J13" s="7" t="s">
        <v>1296</v>
      </c>
      <c r="K13" s="9">
        <v>680</v>
      </c>
      <c r="L13" s="510"/>
    </row>
    <row r="14" spans="5:12" ht="15" customHeight="1">
      <c r="E14" s="509">
        <f t="shared" si="0"/>
        <v>9</v>
      </c>
      <c r="F14" s="4" t="s">
        <v>955</v>
      </c>
      <c r="G14" s="5"/>
      <c r="H14" s="5"/>
      <c r="I14" s="6"/>
      <c r="J14" s="7" t="s">
        <v>202</v>
      </c>
      <c r="K14" s="9">
        <v>384810</v>
      </c>
      <c r="L14" s="510"/>
    </row>
    <row r="15" spans="5:12" ht="15" customHeight="1">
      <c r="E15" s="509">
        <f t="shared" si="0"/>
        <v>10</v>
      </c>
      <c r="F15" s="4" t="s">
        <v>569</v>
      </c>
      <c r="G15" s="5"/>
      <c r="H15" s="5"/>
      <c r="I15" s="6"/>
      <c r="J15" s="7" t="s">
        <v>33</v>
      </c>
      <c r="K15" s="9">
        <v>28930</v>
      </c>
      <c r="L15" s="510"/>
    </row>
    <row r="16" spans="5:12" ht="15" customHeight="1">
      <c r="E16" s="509">
        <f t="shared" si="0"/>
        <v>11</v>
      </c>
      <c r="F16" s="4" t="s">
        <v>1102</v>
      </c>
      <c r="G16" s="5"/>
      <c r="H16" s="5"/>
      <c r="I16" s="6"/>
      <c r="J16" s="7" t="s">
        <v>614</v>
      </c>
      <c r="K16" s="9">
        <v>32890</v>
      </c>
      <c r="L16" s="510"/>
    </row>
    <row r="17" spans="1:12" ht="15" customHeight="1">
      <c r="E17" s="509">
        <f t="shared" si="0"/>
        <v>12</v>
      </c>
      <c r="F17" s="4" t="s">
        <v>1095</v>
      </c>
      <c r="G17" s="5"/>
      <c r="H17" s="5"/>
      <c r="I17" s="6"/>
      <c r="J17" s="7" t="s">
        <v>202</v>
      </c>
      <c r="K17" s="9">
        <v>171100</v>
      </c>
      <c r="L17" s="510"/>
    </row>
    <row r="18" spans="1:12" ht="15" customHeight="1">
      <c r="E18" s="509">
        <f t="shared" si="0"/>
        <v>13</v>
      </c>
      <c r="F18" s="4" t="s">
        <v>1266</v>
      </c>
      <c r="G18" s="5"/>
      <c r="H18" s="5"/>
      <c r="I18" s="6"/>
      <c r="J18" s="7" t="s">
        <v>202</v>
      </c>
      <c r="K18" s="9">
        <v>8260</v>
      </c>
      <c r="L18" s="510"/>
    </row>
    <row r="19" spans="1:12" ht="15" customHeight="1">
      <c r="E19" s="509">
        <f t="shared" si="0"/>
        <v>14</v>
      </c>
      <c r="F19" s="4" t="s">
        <v>961</v>
      </c>
      <c r="G19" s="5"/>
      <c r="H19" s="5"/>
      <c r="I19" s="6"/>
      <c r="J19" s="7" t="s">
        <v>23</v>
      </c>
      <c r="K19" s="9">
        <v>89600</v>
      </c>
      <c r="L19" s="510"/>
    </row>
    <row r="20" spans="1:12" ht="15" customHeight="1">
      <c r="E20" s="509">
        <f t="shared" si="0"/>
        <v>15</v>
      </c>
      <c r="F20" s="4" t="s">
        <v>1014</v>
      </c>
      <c r="G20" s="5"/>
      <c r="H20" s="5"/>
      <c r="I20" s="6"/>
      <c r="J20" s="7" t="s">
        <v>202</v>
      </c>
      <c r="K20" s="9">
        <v>131610</v>
      </c>
      <c r="L20" s="510"/>
    </row>
    <row r="21" spans="1:12" ht="15" customHeight="1">
      <c r="E21" s="509">
        <f t="shared" si="0"/>
        <v>16</v>
      </c>
      <c r="F21" s="4" t="s">
        <v>596</v>
      </c>
      <c r="G21" s="5"/>
      <c r="H21" s="5"/>
      <c r="I21" s="6"/>
      <c r="J21" s="7" t="s">
        <v>597</v>
      </c>
      <c r="K21" s="9">
        <v>50000</v>
      </c>
      <c r="L21" s="510"/>
    </row>
    <row r="22" spans="1:12" ht="15" customHeight="1">
      <c r="E22" s="509">
        <f t="shared" si="0"/>
        <v>17</v>
      </c>
      <c r="F22" s="4" t="s">
        <v>1563</v>
      </c>
      <c r="G22" s="5"/>
      <c r="H22" s="5"/>
      <c r="I22" s="6"/>
      <c r="J22" s="7" t="s">
        <v>1564</v>
      </c>
      <c r="K22" s="9">
        <v>12100</v>
      </c>
      <c r="L22" s="510"/>
    </row>
    <row r="23" spans="1:12" ht="15" customHeight="1">
      <c r="E23" s="509">
        <f t="shared" si="0"/>
        <v>18</v>
      </c>
      <c r="F23" s="4" t="s">
        <v>362</v>
      </c>
      <c r="G23" s="5"/>
      <c r="H23" s="5"/>
      <c r="I23" s="6"/>
      <c r="J23" s="7" t="s">
        <v>188</v>
      </c>
      <c r="K23" s="9">
        <v>56520</v>
      </c>
      <c r="L23" s="510"/>
    </row>
    <row r="24" spans="1:12" ht="15" customHeight="1">
      <c r="E24" s="509">
        <f t="shared" si="0"/>
        <v>19</v>
      </c>
      <c r="F24" s="4" t="s">
        <v>602</v>
      </c>
      <c r="G24" s="5"/>
      <c r="H24" s="5"/>
      <c r="I24" s="6"/>
      <c r="J24" s="7" t="s">
        <v>38</v>
      </c>
      <c r="K24" s="9">
        <v>37500</v>
      </c>
      <c r="L24" s="510"/>
    </row>
    <row r="25" spans="1:12" ht="15" customHeight="1">
      <c r="E25" s="509">
        <f t="shared" si="0"/>
        <v>20</v>
      </c>
      <c r="F25" s="4" t="s">
        <v>582</v>
      </c>
      <c r="G25" s="5"/>
      <c r="H25" s="5"/>
      <c r="I25" s="6"/>
      <c r="J25" s="7" t="s">
        <v>38</v>
      </c>
      <c r="K25" s="9">
        <v>14630</v>
      </c>
      <c r="L25" s="510"/>
    </row>
    <row r="26" spans="1:12" ht="15" customHeight="1">
      <c r="E26" s="509">
        <f t="shared" si="0"/>
        <v>21</v>
      </c>
      <c r="F26" s="4" t="s">
        <v>1358</v>
      </c>
      <c r="G26" s="5"/>
      <c r="H26" s="5"/>
      <c r="I26" s="6"/>
      <c r="J26" s="7" t="s">
        <v>45</v>
      </c>
      <c r="K26" s="9">
        <v>20830</v>
      </c>
      <c r="L26" s="510"/>
    </row>
    <row r="27" spans="1:12" ht="15" customHeight="1">
      <c r="E27" s="509">
        <f t="shared" si="0"/>
        <v>22</v>
      </c>
      <c r="F27" s="4" t="s">
        <v>1363</v>
      </c>
      <c r="G27" s="5"/>
      <c r="H27" s="5"/>
      <c r="I27" s="6"/>
      <c r="J27" s="7" t="s">
        <v>1329</v>
      </c>
      <c r="K27" s="9">
        <v>473000</v>
      </c>
      <c r="L27" s="510"/>
    </row>
    <row r="28" spans="1:12" ht="15" customHeight="1">
      <c r="E28" s="509">
        <f t="shared" si="0"/>
        <v>23</v>
      </c>
      <c r="F28" s="4" t="s">
        <v>1347</v>
      </c>
      <c r="G28" s="5"/>
      <c r="H28" s="5"/>
      <c r="I28" s="6"/>
      <c r="J28" s="7" t="s">
        <v>1329</v>
      </c>
      <c r="K28" s="9">
        <v>393600</v>
      </c>
      <c r="L28" s="510"/>
    </row>
    <row r="29" spans="1:12" ht="15" customHeight="1">
      <c r="A29" s="1096" t="s">
        <v>2381</v>
      </c>
      <c r="B29" s="1096"/>
      <c r="C29" s="1096"/>
      <c r="E29" s="509">
        <f t="shared" si="0"/>
        <v>24</v>
      </c>
      <c r="F29" s="4" t="s">
        <v>1686</v>
      </c>
      <c r="G29" s="5"/>
      <c r="H29" s="5"/>
      <c r="I29" s="6"/>
      <c r="J29" s="7" t="s">
        <v>44</v>
      </c>
      <c r="K29" s="9">
        <v>6500000</v>
      </c>
      <c r="L29" s="510"/>
    </row>
    <row r="30" spans="1:12" ht="15" customHeight="1">
      <c r="E30" s="509">
        <f t="shared" si="0"/>
        <v>25</v>
      </c>
      <c r="F30" s="4" t="s">
        <v>396</v>
      </c>
      <c r="G30" s="5"/>
      <c r="H30" s="5"/>
      <c r="I30" s="6"/>
      <c r="J30" s="7" t="s">
        <v>44</v>
      </c>
      <c r="K30" s="9">
        <v>4410000</v>
      </c>
      <c r="L30" s="510"/>
    </row>
    <row r="31" spans="1:12" ht="15" customHeight="1">
      <c r="E31" s="509">
        <f t="shared" si="0"/>
        <v>26</v>
      </c>
      <c r="F31" s="4" t="s">
        <v>1160</v>
      </c>
      <c r="G31" s="5"/>
      <c r="H31" s="5"/>
      <c r="I31" s="6"/>
      <c r="J31" s="7" t="s">
        <v>44</v>
      </c>
      <c r="K31" s="9">
        <v>5715000</v>
      </c>
      <c r="L31" s="510"/>
    </row>
    <row r="32" spans="1:12" ht="15" customHeight="1">
      <c r="E32" s="509">
        <f t="shared" si="0"/>
        <v>27</v>
      </c>
      <c r="F32" s="4" t="s">
        <v>243</v>
      </c>
      <c r="G32" s="5"/>
      <c r="H32" s="5"/>
      <c r="I32" s="6"/>
      <c r="J32" s="7" t="s">
        <v>182</v>
      </c>
      <c r="K32" s="9">
        <v>22140</v>
      </c>
      <c r="L32" s="510"/>
    </row>
    <row r="33" spans="5:12" ht="15" customHeight="1">
      <c r="E33" s="509">
        <f t="shared" si="0"/>
        <v>28</v>
      </c>
      <c r="F33" s="4" t="s">
        <v>674</v>
      </c>
      <c r="G33" s="5"/>
      <c r="H33" s="5"/>
      <c r="I33" s="6"/>
      <c r="J33" s="7" t="s">
        <v>36</v>
      </c>
      <c r="K33" s="9">
        <v>9000</v>
      </c>
      <c r="L33" s="510"/>
    </row>
    <row r="34" spans="5:12" ht="15" customHeight="1">
      <c r="E34" s="509">
        <f t="shared" si="0"/>
        <v>29</v>
      </c>
      <c r="F34" s="4" t="s">
        <v>669</v>
      </c>
      <c r="G34" s="5"/>
      <c r="H34" s="5"/>
      <c r="I34" s="6"/>
      <c r="J34" s="7" t="s">
        <v>36</v>
      </c>
      <c r="K34" s="9">
        <v>1820</v>
      </c>
      <c r="L34" s="510"/>
    </row>
    <row r="35" spans="5:12" ht="15" customHeight="1">
      <c r="E35" s="509">
        <f t="shared" si="0"/>
        <v>30</v>
      </c>
      <c r="F35" s="4" t="s">
        <v>220</v>
      </c>
      <c r="G35" s="5"/>
      <c r="H35" s="5"/>
      <c r="I35" s="6"/>
      <c r="J35" s="7" t="s">
        <v>221</v>
      </c>
      <c r="K35" s="9">
        <v>1040</v>
      </c>
      <c r="L35" s="510"/>
    </row>
    <row r="36" spans="5:12" ht="15" customHeight="1">
      <c r="E36" s="509">
        <f t="shared" si="0"/>
        <v>31</v>
      </c>
      <c r="F36" s="4" t="s">
        <v>916</v>
      </c>
      <c r="G36" s="5"/>
      <c r="H36" s="5"/>
      <c r="I36" s="6"/>
      <c r="J36" s="7" t="s">
        <v>221</v>
      </c>
      <c r="K36" s="9">
        <v>840</v>
      </c>
      <c r="L36" s="510"/>
    </row>
    <row r="37" spans="5:12" ht="15" customHeight="1">
      <c r="E37" s="509">
        <f t="shared" si="0"/>
        <v>32</v>
      </c>
      <c r="F37" s="4" t="s">
        <v>666</v>
      </c>
      <c r="G37" s="5"/>
      <c r="H37" s="5"/>
      <c r="I37" s="6"/>
      <c r="J37" s="7" t="s">
        <v>221</v>
      </c>
      <c r="K37" s="9">
        <v>860</v>
      </c>
      <c r="L37" s="510"/>
    </row>
    <row r="38" spans="5:12" ht="15" customHeight="1">
      <c r="E38" s="509">
        <f t="shared" si="0"/>
        <v>33</v>
      </c>
      <c r="F38" s="4" t="s">
        <v>1344</v>
      </c>
      <c r="G38" s="5"/>
      <c r="H38" s="5"/>
      <c r="I38" s="6"/>
      <c r="J38" s="7" t="s">
        <v>1329</v>
      </c>
      <c r="K38" s="9">
        <v>3355000</v>
      </c>
      <c r="L38" s="510"/>
    </row>
    <row r="39" spans="5:12" ht="15" customHeight="1">
      <c r="E39" s="509">
        <f t="shared" si="0"/>
        <v>34</v>
      </c>
      <c r="F39" s="4" t="s">
        <v>247</v>
      </c>
      <c r="G39" s="5"/>
      <c r="H39" s="5"/>
      <c r="I39" s="6"/>
      <c r="J39" s="7" t="s">
        <v>44</v>
      </c>
      <c r="K39" s="9">
        <v>421500</v>
      </c>
      <c r="L39" s="510"/>
    </row>
    <row r="40" spans="5:12" ht="15" customHeight="1">
      <c r="E40" s="509">
        <f t="shared" si="0"/>
        <v>35</v>
      </c>
      <c r="F40" s="4" t="s">
        <v>1623</v>
      </c>
      <c r="G40" s="5"/>
      <c r="H40" s="5"/>
      <c r="I40" s="6"/>
      <c r="J40" s="7" t="s">
        <v>44</v>
      </c>
      <c r="K40" s="9">
        <v>421500</v>
      </c>
      <c r="L40" s="510"/>
    </row>
    <row r="41" spans="5:12" ht="15" customHeight="1">
      <c r="E41" s="509">
        <f t="shared" si="0"/>
        <v>36</v>
      </c>
      <c r="F41" s="4" t="s">
        <v>724</v>
      </c>
      <c r="G41" s="5"/>
      <c r="H41" s="5"/>
      <c r="I41" s="6"/>
      <c r="J41" s="7" t="s">
        <v>45</v>
      </c>
      <c r="K41" s="9">
        <v>18750</v>
      </c>
      <c r="L41" s="510"/>
    </row>
    <row r="42" spans="5:12" ht="15" customHeight="1">
      <c r="E42" s="509">
        <f t="shared" si="0"/>
        <v>37</v>
      </c>
      <c r="F42" s="4" t="s">
        <v>919</v>
      </c>
      <c r="G42" s="5"/>
      <c r="H42" s="5"/>
      <c r="I42" s="6"/>
      <c r="J42" s="7" t="s">
        <v>221</v>
      </c>
      <c r="K42" s="9">
        <v>93600</v>
      </c>
      <c r="L42" s="510"/>
    </row>
    <row r="43" spans="5:12" ht="15" customHeight="1">
      <c r="E43" s="509">
        <f t="shared" si="0"/>
        <v>38</v>
      </c>
      <c r="F43" s="4" t="s">
        <v>248</v>
      </c>
      <c r="G43" s="5"/>
      <c r="H43" s="5"/>
      <c r="I43" s="6"/>
      <c r="J43" s="7" t="s">
        <v>44</v>
      </c>
      <c r="K43" s="9">
        <v>413000</v>
      </c>
      <c r="L43" s="510"/>
    </row>
    <row r="44" spans="5:12" ht="15" customHeight="1">
      <c r="E44" s="509">
        <f t="shared" si="0"/>
        <v>39</v>
      </c>
      <c r="F44" s="4" t="s">
        <v>727</v>
      </c>
      <c r="G44" s="5"/>
      <c r="H44" s="5"/>
      <c r="I44" s="6"/>
      <c r="J44" s="7" t="s">
        <v>45</v>
      </c>
      <c r="K44" s="9">
        <v>2910</v>
      </c>
      <c r="L44" s="510"/>
    </row>
    <row r="45" spans="5:12" ht="15" customHeight="1">
      <c r="E45" s="509">
        <f t="shared" si="0"/>
        <v>40</v>
      </c>
      <c r="F45" s="4" t="s">
        <v>608</v>
      </c>
      <c r="G45" s="5"/>
      <c r="H45" s="5"/>
      <c r="I45" s="6"/>
      <c r="J45" s="7" t="s">
        <v>36</v>
      </c>
      <c r="K45" s="9">
        <v>540</v>
      </c>
      <c r="L45" s="510"/>
    </row>
    <row r="46" spans="5:12" ht="15" customHeight="1">
      <c r="E46" s="509">
        <f t="shared" si="0"/>
        <v>41</v>
      </c>
      <c r="F46" s="4" t="s">
        <v>1606</v>
      </c>
      <c r="G46" s="5"/>
      <c r="H46" s="5"/>
      <c r="I46" s="6"/>
      <c r="J46" s="7" t="s">
        <v>38</v>
      </c>
      <c r="K46" s="9">
        <v>5700</v>
      </c>
      <c r="L46" s="510"/>
    </row>
    <row r="47" spans="5:12" ht="15" customHeight="1">
      <c r="E47" s="509">
        <f t="shared" si="0"/>
        <v>42</v>
      </c>
      <c r="F47" s="4" t="s">
        <v>651</v>
      </c>
      <c r="G47" s="5"/>
      <c r="H47" s="5"/>
      <c r="I47" s="6"/>
      <c r="J47" s="7" t="s">
        <v>45</v>
      </c>
      <c r="K47" s="9">
        <v>16000</v>
      </c>
      <c r="L47" s="510"/>
    </row>
    <row r="48" spans="5:12" ht="15" customHeight="1">
      <c r="E48" s="509">
        <f t="shared" si="0"/>
        <v>43</v>
      </c>
      <c r="F48" s="4" t="s">
        <v>327</v>
      </c>
      <c r="G48" s="5"/>
      <c r="H48" s="5"/>
      <c r="I48" s="6"/>
      <c r="J48" s="7" t="s">
        <v>45</v>
      </c>
      <c r="K48" s="9">
        <v>12920</v>
      </c>
      <c r="L48" s="510"/>
    </row>
    <row r="49" spans="5:12" ht="15" customHeight="1">
      <c r="E49" s="509">
        <f t="shared" si="0"/>
        <v>44</v>
      </c>
      <c r="F49" s="4" t="s">
        <v>448</v>
      </c>
      <c r="G49" s="5"/>
      <c r="H49" s="5"/>
      <c r="I49" s="6"/>
      <c r="J49" s="7" t="s">
        <v>45</v>
      </c>
      <c r="K49" s="9">
        <v>37000</v>
      </c>
      <c r="L49" s="510"/>
    </row>
    <row r="50" spans="5:12" ht="15" customHeight="1">
      <c r="E50" s="509">
        <f t="shared" si="0"/>
        <v>45</v>
      </c>
      <c r="F50" s="4" t="s">
        <v>522</v>
      </c>
      <c r="G50" s="5"/>
      <c r="H50" s="5"/>
      <c r="I50" s="6"/>
      <c r="J50" s="7" t="s">
        <v>45</v>
      </c>
      <c r="K50" s="9">
        <v>9750</v>
      </c>
      <c r="L50" s="510"/>
    </row>
    <row r="51" spans="5:12" ht="15" customHeight="1">
      <c r="E51" s="509">
        <f t="shared" si="0"/>
        <v>46</v>
      </c>
      <c r="F51" s="4" t="s">
        <v>544</v>
      </c>
      <c r="G51" s="5"/>
      <c r="H51" s="5"/>
      <c r="I51" s="6"/>
      <c r="J51" s="7" t="s">
        <v>33</v>
      </c>
      <c r="K51" s="9">
        <v>54450</v>
      </c>
      <c r="L51" s="510"/>
    </row>
    <row r="52" spans="5:12" ht="15" customHeight="1">
      <c r="E52" s="509">
        <f t="shared" si="0"/>
        <v>47</v>
      </c>
      <c r="F52" s="4" t="s">
        <v>535</v>
      </c>
      <c r="G52" s="5"/>
      <c r="H52" s="5"/>
      <c r="I52" s="6"/>
      <c r="J52" s="7" t="s">
        <v>45</v>
      </c>
      <c r="K52" s="9">
        <v>11730</v>
      </c>
      <c r="L52" s="510"/>
    </row>
    <row r="53" spans="5:12" ht="15" customHeight="1">
      <c r="E53" s="509">
        <f t="shared" si="0"/>
        <v>48</v>
      </c>
      <c r="F53" s="4" t="s">
        <v>519</v>
      </c>
      <c r="G53" s="5"/>
      <c r="H53" s="5"/>
      <c r="I53" s="6"/>
      <c r="J53" s="7" t="s">
        <v>45</v>
      </c>
      <c r="K53" s="9">
        <v>19350</v>
      </c>
      <c r="L53" s="510"/>
    </row>
    <row r="54" spans="5:12" ht="15" customHeight="1">
      <c r="E54" s="509">
        <f t="shared" si="0"/>
        <v>49</v>
      </c>
      <c r="F54" s="4" t="s">
        <v>543</v>
      </c>
      <c r="G54" s="5"/>
      <c r="H54" s="5"/>
      <c r="I54" s="6"/>
      <c r="J54" s="7" t="s">
        <v>33</v>
      </c>
      <c r="K54" s="9">
        <v>33660</v>
      </c>
      <c r="L54" s="510"/>
    </row>
    <row r="55" spans="5:12" ht="15" customHeight="1">
      <c r="E55" s="509">
        <f t="shared" si="0"/>
        <v>50</v>
      </c>
      <c r="F55" s="4" t="s">
        <v>534</v>
      </c>
      <c r="G55" s="5"/>
      <c r="H55" s="5"/>
      <c r="I55" s="6"/>
      <c r="J55" s="7" t="s">
        <v>45</v>
      </c>
      <c r="K55" s="9">
        <v>16890</v>
      </c>
      <c r="L55" s="510"/>
    </row>
    <row r="56" spans="5:12" ht="15" customHeight="1">
      <c r="E56" s="509">
        <f t="shared" si="0"/>
        <v>51</v>
      </c>
      <c r="F56" s="4" t="s">
        <v>218</v>
      </c>
      <c r="G56" s="5"/>
      <c r="H56" s="5"/>
      <c r="I56" s="6"/>
      <c r="J56" s="7" t="s">
        <v>45</v>
      </c>
      <c r="K56" s="9">
        <v>12500</v>
      </c>
      <c r="L56" s="510"/>
    </row>
    <row r="57" spans="5:12" ht="15" customHeight="1">
      <c r="E57" s="509">
        <f t="shared" si="0"/>
        <v>52</v>
      </c>
      <c r="F57" s="4" t="s">
        <v>1357</v>
      </c>
      <c r="G57" s="5"/>
      <c r="H57" s="5"/>
      <c r="I57" s="6"/>
      <c r="J57" s="7" t="s">
        <v>292</v>
      </c>
      <c r="K57" s="9">
        <v>1464000</v>
      </c>
      <c r="L57" s="510"/>
    </row>
    <row r="58" spans="5:12" ht="15" customHeight="1">
      <c r="E58" s="509">
        <f t="shared" si="0"/>
        <v>53</v>
      </c>
      <c r="F58" s="4" t="s">
        <v>1170</v>
      </c>
      <c r="G58" s="5"/>
      <c r="H58" s="5"/>
      <c r="I58" s="6"/>
      <c r="J58" s="7" t="s">
        <v>23</v>
      </c>
      <c r="K58" s="9">
        <v>92250</v>
      </c>
      <c r="L58" s="510"/>
    </row>
    <row r="59" spans="5:12" ht="15" customHeight="1">
      <c r="E59" s="509">
        <f t="shared" si="0"/>
        <v>54</v>
      </c>
      <c r="F59" s="4" t="s">
        <v>1044</v>
      </c>
      <c r="G59" s="5"/>
      <c r="H59" s="5"/>
      <c r="I59" s="6"/>
      <c r="J59" s="7" t="s">
        <v>202</v>
      </c>
      <c r="K59" s="9">
        <v>19520</v>
      </c>
      <c r="L59" s="510"/>
    </row>
    <row r="60" spans="5:12" ht="15" customHeight="1">
      <c r="E60" s="509">
        <f t="shared" si="0"/>
        <v>55</v>
      </c>
      <c r="F60" s="4" t="s">
        <v>1318</v>
      </c>
      <c r="G60" s="5"/>
      <c r="H60" s="5"/>
      <c r="I60" s="6"/>
      <c r="J60" s="7" t="s">
        <v>45</v>
      </c>
      <c r="K60" s="9">
        <v>54900</v>
      </c>
      <c r="L60" s="510"/>
    </row>
    <row r="61" spans="5:12" ht="15" customHeight="1">
      <c r="E61" s="509">
        <f t="shared" si="0"/>
        <v>56</v>
      </c>
      <c r="F61" s="4" t="s">
        <v>1312</v>
      </c>
      <c r="G61" s="5"/>
      <c r="H61" s="5"/>
      <c r="I61" s="6"/>
      <c r="J61" s="7" t="s">
        <v>45</v>
      </c>
      <c r="K61" s="9">
        <v>58500</v>
      </c>
      <c r="L61" s="510"/>
    </row>
    <row r="62" spans="5:12" ht="15" customHeight="1">
      <c r="E62" s="509">
        <f t="shared" si="0"/>
        <v>57</v>
      </c>
      <c r="F62" s="4" t="s">
        <v>1317</v>
      </c>
      <c r="G62" s="5"/>
      <c r="H62" s="5"/>
      <c r="I62" s="6"/>
      <c r="J62" s="7" t="s">
        <v>45</v>
      </c>
      <c r="K62" s="9">
        <v>37200</v>
      </c>
      <c r="L62" s="510"/>
    </row>
    <row r="63" spans="5:12" ht="15" customHeight="1">
      <c r="E63" s="509">
        <f t="shared" si="0"/>
        <v>58</v>
      </c>
      <c r="F63" s="4" t="s">
        <v>1262</v>
      </c>
      <c r="G63" s="5"/>
      <c r="H63" s="5"/>
      <c r="I63" s="6"/>
      <c r="J63" s="7" t="s">
        <v>45</v>
      </c>
      <c r="K63" s="9">
        <v>39370</v>
      </c>
      <c r="L63" s="510"/>
    </row>
    <row r="64" spans="5:12" ht="15" customHeight="1">
      <c r="E64" s="509">
        <f t="shared" si="0"/>
        <v>59</v>
      </c>
      <c r="F64" s="4" t="s">
        <v>1285</v>
      </c>
      <c r="G64" s="5"/>
      <c r="H64" s="5"/>
      <c r="I64" s="6"/>
      <c r="J64" s="7" t="s">
        <v>45</v>
      </c>
      <c r="K64" s="9">
        <v>78650</v>
      </c>
      <c r="L64" s="510"/>
    </row>
    <row r="65" spans="5:12" ht="15" customHeight="1">
      <c r="E65" s="509">
        <f t="shared" si="0"/>
        <v>60</v>
      </c>
      <c r="F65" s="4" t="s">
        <v>1260</v>
      </c>
      <c r="G65" s="5"/>
      <c r="H65" s="5"/>
      <c r="I65" s="6"/>
      <c r="J65" s="7" t="s">
        <v>45</v>
      </c>
      <c r="K65" s="9">
        <v>30750</v>
      </c>
      <c r="L65" s="510"/>
    </row>
    <row r="66" spans="5:12" ht="15" customHeight="1">
      <c r="E66" s="509">
        <f t="shared" si="0"/>
        <v>61</v>
      </c>
      <c r="F66" s="4" t="s">
        <v>1263</v>
      </c>
      <c r="G66" s="5"/>
      <c r="H66" s="5"/>
      <c r="I66" s="6"/>
      <c r="J66" s="7" t="s">
        <v>45</v>
      </c>
      <c r="K66" s="9">
        <v>65000</v>
      </c>
      <c r="L66" s="510"/>
    </row>
    <row r="67" spans="5:12" ht="15" customHeight="1">
      <c r="E67" s="509">
        <f t="shared" si="0"/>
        <v>62</v>
      </c>
      <c r="F67" s="4" t="s">
        <v>1286</v>
      </c>
      <c r="G67" s="5"/>
      <c r="H67" s="5"/>
      <c r="I67" s="6"/>
      <c r="J67" s="7" t="s">
        <v>45</v>
      </c>
      <c r="K67" s="9">
        <v>40600</v>
      </c>
      <c r="L67" s="510"/>
    </row>
    <row r="68" spans="5:12" ht="15" customHeight="1">
      <c r="E68" s="509">
        <f t="shared" si="0"/>
        <v>63</v>
      </c>
      <c r="F68" s="4" t="s">
        <v>1328</v>
      </c>
      <c r="G68" s="5"/>
      <c r="H68" s="5"/>
      <c r="I68" s="6"/>
      <c r="J68" s="7" t="s">
        <v>1329</v>
      </c>
      <c r="K68" s="9">
        <v>2825000</v>
      </c>
      <c r="L68" s="510"/>
    </row>
    <row r="69" spans="5:12" ht="15" customHeight="1">
      <c r="E69" s="509">
        <f t="shared" si="0"/>
        <v>64</v>
      </c>
      <c r="F69" s="4" t="s">
        <v>1333</v>
      </c>
      <c r="G69" s="5"/>
      <c r="H69" s="5"/>
      <c r="I69" s="6"/>
      <c r="J69" s="7" t="s">
        <v>1329</v>
      </c>
      <c r="K69" s="9">
        <v>174000</v>
      </c>
      <c r="L69" s="510"/>
    </row>
    <row r="70" spans="5:12" ht="15" customHeight="1">
      <c r="E70" s="509">
        <f t="shared" si="0"/>
        <v>65</v>
      </c>
      <c r="F70" s="4" t="s">
        <v>1282</v>
      </c>
      <c r="G70" s="5"/>
      <c r="H70" s="5"/>
      <c r="I70" s="6"/>
      <c r="J70" s="7" t="s">
        <v>45</v>
      </c>
      <c r="K70" s="9">
        <v>47340</v>
      </c>
      <c r="L70" s="510"/>
    </row>
    <row r="71" spans="5:12" ht="15" customHeight="1">
      <c r="E71" s="509">
        <f t="shared" si="0"/>
        <v>66</v>
      </c>
      <c r="F71" s="4" t="s">
        <v>922</v>
      </c>
      <c r="G71" s="5"/>
      <c r="H71" s="5"/>
      <c r="I71" s="6"/>
      <c r="J71" s="7" t="s">
        <v>221</v>
      </c>
      <c r="K71" s="9">
        <v>16500</v>
      </c>
      <c r="L71" s="510"/>
    </row>
    <row r="72" spans="5:12" ht="15" customHeight="1">
      <c r="E72" s="509">
        <f t="shared" si="0"/>
        <v>67</v>
      </c>
      <c r="F72" s="4" t="s">
        <v>181</v>
      </c>
      <c r="G72" s="5"/>
      <c r="H72" s="5"/>
      <c r="I72" s="6"/>
      <c r="J72" s="7" t="s">
        <v>182</v>
      </c>
      <c r="K72" s="9">
        <v>31250</v>
      </c>
      <c r="L72" s="510"/>
    </row>
    <row r="73" spans="5:12" ht="15" customHeight="1">
      <c r="E73" s="509">
        <f t="shared" si="0"/>
        <v>68</v>
      </c>
      <c r="F73" s="4" t="s">
        <v>1203</v>
      </c>
      <c r="G73" s="5"/>
      <c r="H73" s="5"/>
      <c r="I73" s="6"/>
      <c r="J73" s="7" t="s">
        <v>1204</v>
      </c>
      <c r="K73" s="9">
        <v>305000</v>
      </c>
      <c r="L73" s="510"/>
    </row>
    <row r="74" spans="5:12" ht="15" customHeight="1">
      <c r="E74" s="509">
        <f t="shared" ref="E74:E137" si="1">E73+1</f>
        <v>69</v>
      </c>
      <c r="F74" s="4" t="s">
        <v>1210</v>
      </c>
      <c r="G74" s="5"/>
      <c r="H74" s="5"/>
      <c r="I74" s="6"/>
      <c r="J74" s="7" t="s">
        <v>221</v>
      </c>
      <c r="K74" s="9">
        <v>121250</v>
      </c>
      <c r="L74" s="510"/>
    </row>
    <row r="75" spans="5:12" ht="15" customHeight="1">
      <c r="E75" s="509">
        <f t="shared" si="1"/>
        <v>70</v>
      </c>
      <c r="F75" s="4" t="s">
        <v>1213</v>
      </c>
      <c r="G75" s="5"/>
      <c r="H75" s="5"/>
      <c r="I75" s="6"/>
      <c r="J75" s="7" t="s">
        <v>221</v>
      </c>
      <c r="K75" s="9">
        <v>114660</v>
      </c>
      <c r="L75" s="510"/>
    </row>
    <row r="76" spans="5:12" ht="15" customHeight="1">
      <c r="E76" s="509">
        <f t="shared" si="1"/>
        <v>71</v>
      </c>
      <c r="F76" s="4" t="s">
        <v>451</v>
      </c>
      <c r="G76" s="5"/>
      <c r="H76" s="5"/>
      <c r="I76" s="6"/>
      <c r="J76" s="7" t="s">
        <v>221</v>
      </c>
      <c r="K76" s="9">
        <v>12500</v>
      </c>
      <c r="L76" s="510"/>
    </row>
    <row r="77" spans="5:12" ht="15" customHeight="1">
      <c r="E77" s="509">
        <f t="shared" si="1"/>
        <v>72</v>
      </c>
      <c r="F77" s="4" t="s">
        <v>1194</v>
      </c>
      <c r="G77" s="5"/>
      <c r="H77" s="5"/>
      <c r="I77" s="6"/>
      <c r="J77" s="7" t="s">
        <v>221</v>
      </c>
      <c r="K77" s="9">
        <v>9600</v>
      </c>
      <c r="L77" s="510"/>
    </row>
    <row r="78" spans="5:12" ht="15" customHeight="1">
      <c r="E78" s="509">
        <f t="shared" si="1"/>
        <v>73</v>
      </c>
      <c r="F78" s="4" t="s">
        <v>1191</v>
      </c>
      <c r="G78" s="5"/>
      <c r="H78" s="5"/>
      <c r="I78" s="6"/>
      <c r="J78" s="7" t="s">
        <v>221</v>
      </c>
      <c r="K78" s="9">
        <v>22800</v>
      </c>
      <c r="L78" s="510"/>
    </row>
    <row r="79" spans="5:12" ht="15" customHeight="1">
      <c r="E79" s="509">
        <f t="shared" si="1"/>
        <v>74</v>
      </c>
      <c r="F79" s="4" t="s">
        <v>1188</v>
      </c>
      <c r="G79" s="5"/>
      <c r="H79" s="5"/>
      <c r="I79" s="6"/>
      <c r="J79" s="7" t="s">
        <v>221</v>
      </c>
      <c r="K79" s="9">
        <v>21420</v>
      </c>
      <c r="L79" s="510"/>
    </row>
    <row r="80" spans="5:12" ht="15" customHeight="1">
      <c r="E80" s="509">
        <f t="shared" si="1"/>
        <v>75</v>
      </c>
      <c r="F80" s="4" t="s">
        <v>1582</v>
      </c>
      <c r="G80" s="5"/>
      <c r="H80" s="5"/>
      <c r="I80" s="6"/>
      <c r="J80" s="7" t="s">
        <v>36</v>
      </c>
      <c r="K80" s="9">
        <v>700</v>
      </c>
      <c r="L80" s="510"/>
    </row>
    <row r="81" spans="5:12" ht="15" customHeight="1">
      <c r="E81" s="509">
        <f t="shared" si="1"/>
        <v>76</v>
      </c>
      <c r="F81" s="4" t="s">
        <v>1577</v>
      </c>
      <c r="G81" s="5"/>
      <c r="H81" s="5"/>
      <c r="I81" s="6"/>
      <c r="J81" s="7" t="s">
        <v>36</v>
      </c>
      <c r="K81" s="9">
        <v>30500</v>
      </c>
      <c r="L81" s="510"/>
    </row>
    <row r="82" spans="5:12" ht="15" customHeight="1">
      <c r="E82" s="509">
        <f t="shared" si="1"/>
        <v>77</v>
      </c>
      <c r="F82" s="4" t="s">
        <v>1369</v>
      </c>
      <c r="G82" s="5"/>
      <c r="H82" s="5"/>
      <c r="I82" s="6"/>
      <c r="J82" s="7" t="s">
        <v>1329</v>
      </c>
      <c r="K82" s="9">
        <v>280000</v>
      </c>
      <c r="L82" s="510"/>
    </row>
    <row r="83" spans="5:12" ht="15" customHeight="1">
      <c r="E83" s="509">
        <f t="shared" si="1"/>
        <v>78</v>
      </c>
      <c r="F83" s="4" t="s">
        <v>1624</v>
      </c>
      <c r="G83" s="5"/>
      <c r="H83" s="5"/>
      <c r="I83" s="6"/>
      <c r="J83" s="7" t="s">
        <v>45</v>
      </c>
      <c r="K83" s="9">
        <v>4320</v>
      </c>
      <c r="L83" s="510"/>
    </row>
    <row r="84" spans="5:12" ht="15" customHeight="1">
      <c r="E84" s="509">
        <f t="shared" si="1"/>
        <v>79</v>
      </c>
      <c r="F84" s="4" t="s">
        <v>1132</v>
      </c>
      <c r="G84" s="5"/>
      <c r="H84" s="5"/>
      <c r="I84" s="6"/>
      <c r="J84" s="7" t="s">
        <v>423</v>
      </c>
      <c r="K84" s="9">
        <v>103500</v>
      </c>
      <c r="L84" s="510"/>
    </row>
    <row r="85" spans="5:12" ht="15" customHeight="1">
      <c r="E85" s="509">
        <f t="shared" si="1"/>
        <v>80</v>
      </c>
      <c r="F85" s="4" t="s">
        <v>1065</v>
      </c>
      <c r="G85" s="5"/>
      <c r="H85" s="5"/>
      <c r="I85" s="6"/>
      <c r="J85" s="7" t="s">
        <v>221</v>
      </c>
      <c r="K85" s="9">
        <v>3060</v>
      </c>
      <c r="L85" s="510"/>
    </row>
    <row r="86" spans="5:12" ht="15" customHeight="1">
      <c r="E86" s="509">
        <f t="shared" si="1"/>
        <v>81</v>
      </c>
      <c r="F86" s="4" t="s">
        <v>1062</v>
      </c>
      <c r="G86" s="5"/>
      <c r="H86" s="5"/>
      <c r="I86" s="6"/>
      <c r="J86" s="7" t="s">
        <v>221</v>
      </c>
      <c r="K86" s="9">
        <v>2920</v>
      </c>
      <c r="L86" s="510"/>
    </row>
    <row r="87" spans="5:12" ht="15" customHeight="1">
      <c r="E87" s="509">
        <f t="shared" si="1"/>
        <v>82</v>
      </c>
      <c r="F87" s="4" t="s">
        <v>1004</v>
      </c>
      <c r="G87" s="5"/>
      <c r="H87" s="5"/>
      <c r="I87" s="6"/>
      <c r="J87" s="7" t="s">
        <v>221</v>
      </c>
      <c r="K87" s="9">
        <v>6150</v>
      </c>
      <c r="L87" s="510"/>
    </row>
    <row r="88" spans="5:12" ht="15" customHeight="1">
      <c r="E88" s="509">
        <f t="shared" si="1"/>
        <v>83</v>
      </c>
      <c r="F88" s="4" t="s">
        <v>999</v>
      </c>
      <c r="G88" s="5"/>
      <c r="H88" s="5"/>
      <c r="I88" s="6"/>
      <c r="J88" s="7" t="s">
        <v>221</v>
      </c>
      <c r="K88" s="9">
        <v>1790</v>
      </c>
      <c r="L88" s="510"/>
    </row>
    <row r="89" spans="5:12" ht="15" customHeight="1">
      <c r="E89" s="509">
        <f t="shared" si="1"/>
        <v>84</v>
      </c>
      <c r="F89" s="4" t="s">
        <v>1070</v>
      </c>
      <c r="G89" s="5"/>
      <c r="H89" s="5"/>
      <c r="I89" s="6"/>
      <c r="J89" s="7" t="s">
        <v>221</v>
      </c>
      <c r="K89" s="9">
        <v>43750</v>
      </c>
      <c r="L89" s="510"/>
    </row>
    <row r="90" spans="5:12" ht="15" customHeight="1">
      <c r="E90" s="509">
        <f t="shared" si="1"/>
        <v>85</v>
      </c>
      <c r="F90" s="4" t="s">
        <v>996</v>
      </c>
      <c r="G90" s="5"/>
      <c r="H90" s="5"/>
      <c r="I90" s="6"/>
      <c r="J90" s="7" t="s">
        <v>221</v>
      </c>
      <c r="K90" s="9">
        <v>2900</v>
      </c>
      <c r="L90" s="510"/>
    </row>
    <row r="91" spans="5:12" ht="15" customHeight="1">
      <c r="E91" s="509">
        <f t="shared" si="1"/>
        <v>86</v>
      </c>
      <c r="F91" s="4" t="s">
        <v>980</v>
      </c>
      <c r="G91" s="5"/>
      <c r="H91" s="5"/>
      <c r="I91" s="6"/>
      <c r="J91" s="7" t="s">
        <v>423</v>
      </c>
      <c r="K91" s="9">
        <v>101790</v>
      </c>
      <c r="L91" s="510"/>
    </row>
    <row r="92" spans="5:12" ht="15" customHeight="1">
      <c r="E92" s="509">
        <f t="shared" si="1"/>
        <v>87</v>
      </c>
      <c r="F92" s="4" t="s">
        <v>661</v>
      </c>
      <c r="G92" s="5"/>
      <c r="H92" s="5"/>
      <c r="I92" s="6"/>
      <c r="J92" s="7" t="s">
        <v>221</v>
      </c>
      <c r="K92" s="9">
        <v>7410</v>
      </c>
      <c r="L92" s="510"/>
    </row>
    <row r="93" spans="5:12" ht="15" customHeight="1">
      <c r="E93" s="509">
        <f t="shared" si="1"/>
        <v>88</v>
      </c>
      <c r="F93" s="4" t="s">
        <v>656</v>
      </c>
      <c r="G93" s="5"/>
      <c r="H93" s="5"/>
      <c r="I93" s="6"/>
      <c r="J93" s="7" t="s">
        <v>221</v>
      </c>
      <c r="K93" s="9">
        <v>8260</v>
      </c>
      <c r="L93" s="510"/>
    </row>
    <row r="94" spans="5:12" ht="15" customHeight="1">
      <c r="E94" s="509">
        <f t="shared" si="1"/>
        <v>89</v>
      </c>
      <c r="F94" s="4" t="s">
        <v>650</v>
      </c>
      <c r="G94" s="5"/>
      <c r="H94" s="5"/>
      <c r="I94" s="6"/>
      <c r="J94" s="7" t="s">
        <v>221</v>
      </c>
      <c r="K94" s="9">
        <v>12100</v>
      </c>
      <c r="L94" s="510"/>
    </row>
    <row r="95" spans="5:12" ht="15" customHeight="1">
      <c r="E95" s="509">
        <f t="shared" si="1"/>
        <v>90</v>
      </c>
      <c r="F95" s="4" t="s">
        <v>300</v>
      </c>
      <c r="G95" s="5"/>
      <c r="H95" s="5"/>
      <c r="I95" s="6"/>
      <c r="J95" s="7" t="s">
        <v>44</v>
      </c>
      <c r="K95" s="9">
        <v>241500</v>
      </c>
      <c r="L95" s="510"/>
    </row>
    <row r="96" spans="5:12" ht="15" customHeight="1">
      <c r="E96" s="509">
        <f t="shared" si="1"/>
        <v>91</v>
      </c>
      <c r="F96" s="4" t="s">
        <v>385</v>
      </c>
      <c r="G96" s="5"/>
      <c r="H96" s="5"/>
      <c r="I96" s="6"/>
      <c r="J96" s="7" t="s">
        <v>38</v>
      </c>
      <c r="K96" s="9">
        <v>13320</v>
      </c>
      <c r="L96" s="510"/>
    </row>
    <row r="97" spans="5:12" ht="15" customHeight="1">
      <c r="E97" s="509">
        <f t="shared" si="1"/>
        <v>92</v>
      </c>
      <c r="F97" s="4" t="s">
        <v>223</v>
      </c>
      <c r="G97" s="5"/>
      <c r="H97" s="5"/>
      <c r="I97" s="6"/>
      <c r="J97" s="7" t="s">
        <v>221</v>
      </c>
      <c r="K97" s="9">
        <v>30140</v>
      </c>
      <c r="L97" s="510"/>
    </row>
    <row r="98" spans="5:12" ht="15" customHeight="1">
      <c r="E98" s="509">
        <f t="shared" si="1"/>
        <v>93</v>
      </c>
      <c r="F98" s="4" t="s">
        <v>585</v>
      </c>
      <c r="G98" s="5"/>
      <c r="H98" s="5"/>
      <c r="I98" s="6"/>
      <c r="J98" s="7" t="s">
        <v>23</v>
      </c>
      <c r="K98" s="9">
        <v>64350</v>
      </c>
      <c r="L98" s="510"/>
    </row>
    <row r="99" spans="5:12" ht="15" customHeight="1">
      <c r="E99" s="509">
        <f t="shared" si="1"/>
        <v>94</v>
      </c>
      <c r="F99" s="4" t="s">
        <v>1584</v>
      </c>
      <c r="G99" s="5"/>
      <c r="H99" s="5"/>
      <c r="I99" s="6"/>
      <c r="J99" s="7" t="s">
        <v>221</v>
      </c>
      <c r="K99" s="9">
        <v>660000</v>
      </c>
      <c r="L99" s="510"/>
    </row>
    <row r="100" spans="5:12" ht="15" customHeight="1">
      <c r="E100" s="509">
        <f t="shared" si="1"/>
        <v>95</v>
      </c>
      <c r="F100" s="4" t="s">
        <v>1571</v>
      </c>
      <c r="G100" s="5"/>
      <c r="H100" s="5"/>
      <c r="I100" s="6"/>
      <c r="J100" s="7" t="s">
        <v>33</v>
      </c>
      <c r="K100" s="9">
        <v>11600</v>
      </c>
      <c r="L100" s="510"/>
    </row>
    <row r="101" spans="5:12" ht="15" customHeight="1">
      <c r="E101" s="509">
        <f t="shared" si="1"/>
        <v>96</v>
      </c>
      <c r="F101" s="4" t="s">
        <v>1242</v>
      </c>
      <c r="G101" s="5"/>
      <c r="H101" s="5"/>
      <c r="I101" s="6"/>
      <c r="J101" s="7" t="s">
        <v>23</v>
      </c>
      <c r="K101" s="9">
        <v>946700</v>
      </c>
      <c r="L101" s="510"/>
    </row>
    <row r="102" spans="5:12" ht="15" customHeight="1">
      <c r="E102" s="509">
        <f t="shared" si="1"/>
        <v>97</v>
      </c>
      <c r="F102" s="4" t="s">
        <v>1233</v>
      </c>
      <c r="G102" s="5"/>
      <c r="H102" s="5"/>
      <c r="I102" s="6"/>
      <c r="J102" s="7" t="s">
        <v>23</v>
      </c>
      <c r="K102" s="9">
        <v>165000</v>
      </c>
      <c r="L102" s="510"/>
    </row>
    <row r="103" spans="5:12" ht="15" customHeight="1">
      <c r="E103" s="509">
        <f t="shared" si="1"/>
        <v>98</v>
      </c>
      <c r="F103" s="4" t="s">
        <v>1236</v>
      </c>
      <c r="G103" s="5"/>
      <c r="H103" s="5"/>
      <c r="I103" s="6"/>
      <c r="J103" s="7" t="s">
        <v>23</v>
      </c>
      <c r="K103" s="9">
        <v>171570</v>
      </c>
      <c r="L103" s="510"/>
    </row>
    <row r="104" spans="5:12" ht="15" customHeight="1">
      <c r="E104" s="509">
        <f t="shared" si="1"/>
        <v>99</v>
      </c>
      <c r="F104" s="4" t="s">
        <v>1239</v>
      </c>
      <c r="G104" s="5"/>
      <c r="H104" s="5"/>
      <c r="I104" s="6"/>
      <c r="J104" s="7" t="s">
        <v>23</v>
      </c>
      <c r="K104" s="9">
        <v>296100</v>
      </c>
      <c r="L104" s="510"/>
    </row>
    <row r="105" spans="5:12" ht="15" customHeight="1">
      <c r="E105" s="509">
        <f t="shared" si="1"/>
        <v>100</v>
      </c>
      <c r="F105" s="4" t="s">
        <v>1245</v>
      </c>
      <c r="G105" s="5"/>
      <c r="H105" s="5"/>
      <c r="I105" s="6"/>
      <c r="J105" s="7" t="s">
        <v>23</v>
      </c>
      <c r="K105" s="9">
        <v>102850</v>
      </c>
      <c r="L105" s="510"/>
    </row>
    <row r="106" spans="5:12" ht="15" customHeight="1">
      <c r="E106" s="509">
        <f t="shared" si="1"/>
        <v>101</v>
      </c>
      <c r="F106" s="4" t="s">
        <v>224</v>
      </c>
      <c r="G106" s="5"/>
      <c r="H106" s="5"/>
      <c r="I106" s="6"/>
      <c r="J106" s="7" t="s">
        <v>23</v>
      </c>
      <c r="K106" s="9">
        <v>138600</v>
      </c>
      <c r="L106" s="510"/>
    </row>
    <row r="107" spans="5:12" ht="15" customHeight="1">
      <c r="E107" s="509">
        <f t="shared" si="1"/>
        <v>102</v>
      </c>
      <c r="F107" s="4" t="s">
        <v>1223</v>
      </c>
      <c r="G107" s="5"/>
      <c r="H107" s="5"/>
      <c r="I107" s="6"/>
      <c r="J107" s="7" t="s">
        <v>23</v>
      </c>
      <c r="K107" s="9">
        <v>112500</v>
      </c>
      <c r="L107" s="510"/>
    </row>
    <row r="108" spans="5:12" ht="15" customHeight="1">
      <c r="E108" s="509">
        <f t="shared" si="1"/>
        <v>103</v>
      </c>
      <c r="F108" s="4" t="s">
        <v>1227</v>
      </c>
      <c r="G108" s="5"/>
      <c r="H108" s="5"/>
      <c r="I108" s="6"/>
      <c r="J108" s="7" t="s">
        <v>23</v>
      </c>
      <c r="K108" s="9">
        <v>141600</v>
      </c>
      <c r="L108" s="510"/>
    </row>
    <row r="109" spans="5:12" ht="15" customHeight="1">
      <c r="E109" s="509">
        <f t="shared" si="1"/>
        <v>104</v>
      </c>
      <c r="F109" s="4" t="s">
        <v>1230</v>
      </c>
      <c r="G109" s="5"/>
      <c r="H109" s="5"/>
      <c r="I109" s="6"/>
      <c r="J109" s="7" t="s">
        <v>23</v>
      </c>
      <c r="K109" s="9">
        <v>222040</v>
      </c>
      <c r="L109" s="510"/>
    </row>
    <row r="110" spans="5:12" ht="15" customHeight="1">
      <c r="E110" s="509">
        <f t="shared" si="1"/>
        <v>105</v>
      </c>
      <c r="F110" s="4" t="s">
        <v>1200</v>
      </c>
      <c r="G110" s="5"/>
      <c r="H110" s="5"/>
      <c r="I110" s="6"/>
      <c r="J110" s="7" t="s">
        <v>221</v>
      </c>
      <c r="K110" s="9">
        <v>6600</v>
      </c>
      <c r="L110" s="510"/>
    </row>
    <row r="111" spans="5:12" ht="15" customHeight="1">
      <c r="E111" s="509">
        <f t="shared" si="1"/>
        <v>106</v>
      </c>
      <c r="F111" s="4" t="s">
        <v>1291</v>
      </c>
      <c r="G111" s="5"/>
      <c r="H111" s="5"/>
      <c r="I111" s="6"/>
      <c r="J111" s="7" t="s">
        <v>45</v>
      </c>
      <c r="K111" s="9">
        <v>5880</v>
      </c>
      <c r="L111" s="510"/>
    </row>
    <row r="112" spans="5:12" ht="15" customHeight="1">
      <c r="E112" s="509">
        <f t="shared" si="1"/>
        <v>107</v>
      </c>
      <c r="F112" s="4" t="s">
        <v>295</v>
      </c>
      <c r="G112" s="5"/>
      <c r="H112" s="5"/>
      <c r="I112" s="6"/>
      <c r="J112" s="7" t="s">
        <v>44</v>
      </c>
      <c r="K112" s="9">
        <v>448950</v>
      </c>
      <c r="L112" s="510"/>
    </row>
    <row r="113" spans="5:12" ht="15" customHeight="1">
      <c r="E113" s="509">
        <f t="shared" si="1"/>
        <v>108</v>
      </c>
      <c r="F113" s="4" t="s">
        <v>699</v>
      </c>
      <c r="G113" s="5"/>
      <c r="H113" s="5"/>
      <c r="I113" s="6"/>
      <c r="J113" s="7" t="s">
        <v>44</v>
      </c>
      <c r="K113" s="9">
        <v>529200</v>
      </c>
      <c r="L113" s="510"/>
    </row>
    <row r="114" spans="5:12" ht="15" customHeight="1">
      <c r="E114" s="509">
        <f t="shared" si="1"/>
        <v>109</v>
      </c>
      <c r="F114" s="4" t="s">
        <v>1294</v>
      </c>
      <c r="G114" s="5"/>
      <c r="H114" s="5"/>
      <c r="I114" s="6"/>
      <c r="J114" s="7" t="s">
        <v>45</v>
      </c>
      <c r="K114" s="9">
        <v>16370</v>
      </c>
      <c r="L114" s="510"/>
    </row>
    <row r="115" spans="5:12" ht="15" customHeight="1">
      <c r="E115" s="509">
        <f t="shared" si="1"/>
        <v>110</v>
      </c>
      <c r="F115" s="4" t="s">
        <v>328</v>
      </c>
      <c r="G115" s="5"/>
      <c r="H115" s="5"/>
      <c r="I115" s="6"/>
      <c r="J115" s="7" t="s">
        <v>45</v>
      </c>
      <c r="K115" s="9">
        <v>27260</v>
      </c>
      <c r="L115" s="510"/>
    </row>
    <row r="116" spans="5:12" ht="15" customHeight="1">
      <c r="E116" s="509">
        <f t="shared" si="1"/>
        <v>111</v>
      </c>
      <c r="F116" s="4" t="s">
        <v>1597</v>
      </c>
      <c r="G116" s="5"/>
      <c r="H116" s="5"/>
      <c r="I116" s="6"/>
      <c r="J116" s="7" t="s">
        <v>202</v>
      </c>
      <c r="K116" s="9">
        <v>980980</v>
      </c>
      <c r="L116" s="510"/>
    </row>
    <row r="117" spans="5:12" ht="15" customHeight="1">
      <c r="E117" s="509">
        <f>E116+1</f>
        <v>112</v>
      </c>
      <c r="F117" s="4" t="s">
        <v>984</v>
      </c>
      <c r="G117" s="5"/>
      <c r="H117" s="5"/>
      <c r="I117" s="6"/>
      <c r="J117" s="7" t="s">
        <v>38</v>
      </c>
      <c r="K117" s="9">
        <v>24800</v>
      </c>
      <c r="L117" s="510"/>
    </row>
    <row r="118" spans="5:12" ht="15" customHeight="1">
      <c r="E118" s="509">
        <f t="shared" si="1"/>
        <v>113</v>
      </c>
      <c r="F118" s="4" t="s">
        <v>206</v>
      </c>
      <c r="G118" s="5"/>
      <c r="H118" s="5"/>
      <c r="I118" s="6"/>
      <c r="J118" s="7" t="s">
        <v>207</v>
      </c>
      <c r="K118" s="9">
        <v>24800</v>
      </c>
      <c r="L118" s="510"/>
    </row>
    <row r="119" spans="5:12" ht="15" customHeight="1">
      <c r="E119" s="509">
        <f t="shared" si="1"/>
        <v>114</v>
      </c>
      <c r="F119" s="4" t="s">
        <v>1602</v>
      </c>
      <c r="G119" s="5"/>
      <c r="H119" s="5"/>
      <c r="I119" s="6"/>
      <c r="J119" s="7" t="s">
        <v>45</v>
      </c>
      <c r="K119" s="9">
        <v>130000</v>
      </c>
      <c r="L119" s="510"/>
    </row>
    <row r="120" spans="5:12" ht="15" customHeight="1">
      <c r="E120" s="509">
        <f t="shared" si="1"/>
        <v>115</v>
      </c>
      <c r="F120" s="4" t="s">
        <v>260</v>
      </c>
      <c r="G120" s="5"/>
      <c r="H120" s="5"/>
      <c r="I120" s="6"/>
      <c r="J120" s="7" t="s">
        <v>202</v>
      </c>
      <c r="K120" s="9">
        <v>134200</v>
      </c>
      <c r="L120" s="510"/>
    </row>
    <row r="121" spans="5:12" ht="15" customHeight="1">
      <c r="E121" s="509">
        <f t="shared" si="1"/>
        <v>116</v>
      </c>
      <c r="F121" s="4" t="s">
        <v>536</v>
      </c>
      <c r="G121" s="5"/>
      <c r="H121" s="5"/>
      <c r="I121" s="6"/>
      <c r="J121" s="7" t="s">
        <v>45</v>
      </c>
      <c r="K121" s="9">
        <v>56250</v>
      </c>
      <c r="L121" s="510"/>
    </row>
    <row r="122" spans="5:12" ht="15" customHeight="1">
      <c r="E122" s="509">
        <f t="shared" si="1"/>
        <v>117</v>
      </c>
      <c r="F122" s="4" t="s">
        <v>539</v>
      </c>
      <c r="G122" s="5"/>
      <c r="H122" s="5"/>
      <c r="I122" s="6"/>
      <c r="J122" s="7" t="s">
        <v>45</v>
      </c>
      <c r="K122" s="9">
        <v>54900</v>
      </c>
      <c r="L122" s="510"/>
    </row>
    <row r="123" spans="5:12" ht="15" customHeight="1">
      <c r="E123" s="509">
        <f t="shared" si="1"/>
        <v>118</v>
      </c>
      <c r="F123" s="4" t="s">
        <v>581</v>
      </c>
      <c r="G123" s="5"/>
      <c r="H123" s="5"/>
      <c r="I123" s="6"/>
      <c r="J123" s="7" t="s">
        <v>23</v>
      </c>
      <c r="K123" s="9">
        <v>13560</v>
      </c>
      <c r="L123" s="510"/>
    </row>
    <row r="124" spans="5:12" ht="15" customHeight="1">
      <c r="E124" s="509">
        <f t="shared" si="1"/>
        <v>119</v>
      </c>
      <c r="F124" s="4" t="s">
        <v>229</v>
      </c>
      <c r="G124" s="5"/>
      <c r="H124" s="5"/>
      <c r="I124" s="6"/>
      <c r="J124" s="7" t="s">
        <v>44</v>
      </c>
      <c r="K124" s="9">
        <v>6765000</v>
      </c>
      <c r="L124" s="510"/>
    </row>
    <row r="125" spans="5:12" ht="15" customHeight="1">
      <c r="E125" s="509">
        <f t="shared" si="1"/>
        <v>120</v>
      </c>
      <c r="F125" s="4" t="s">
        <v>185</v>
      </c>
      <c r="G125" s="5"/>
      <c r="H125" s="5"/>
      <c r="I125" s="6"/>
      <c r="J125" s="7" t="s">
        <v>44</v>
      </c>
      <c r="K125" s="9">
        <v>6765000</v>
      </c>
      <c r="L125" s="510"/>
    </row>
    <row r="126" spans="5:12" ht="15" customHeight="1">
      <c r="E126" s="509">
        <f t="shared" si="1"/>
        <v>121</v>
      </c>
      <c r="F126" s="4" t="s">
        <v>211</v>
      </c>
      <c r="G126" s="5"/>
      <c r="H126" s="5"/>
      <c r="I126" s="6"/>
      <c r="J126" s="7" t="s">
        <v>44</v>
      </c>
      <c r="K126" s="9">
        <f>K125</f>
        <v>6765000</v>
      </c>
      <c r="L126" s="510"/>
    </row>
    <row r="127" spans="5:12" ht="15" customHeight="1">
      <c r="E127" s="509">
        <f t="shared" si="1"/>
        <v>122</v>
      </c>
      <c r="F127" s="4" t="s">
        <v>240</v>
      </c>
      <c r="G127" s="5"/>
      <c r="H127" s="5"/>
      <c r="I127" s="6"/>
      <c r="J127" s="7" t="s">
        <v>44</v>
      </c>
      <c r="K127" s="9">
        <v>2646000</v>
      </c>
      <c r="L127" s="510"/>
    </row>
    <row r="128" spans="5:12" ht="15" customHeight="1">
      <c r="E128" s="509">
        <f t="shared" si="1"/>
        <v>123</v>
      </c>
      <c r="F128" s="4" t="s">
        <v>1083</v>
      </c>
      <c r="G128" s="5"/>
      <c r="H128" s="5"/>
      <c r="I128" s="6"/>
      <c r="J128" s="7" t="s">
        <v>292</v>
      </c>
      <c r="K128" s="9">
        <v>4375000</v>
      </c>
      <c r="L128" s="510"/>
    </row>
    <row r="129" spans="5:16" ht="15" customHeight="1">
      <c r="E129" s="509">
        <f t="shared" si="1"/>
        <v>124</v>
      </c>
      <c r="F129" s="4" t="s">
        <v>1359</v>
      </c>
      <c r="G129" s="5"/>
      <c r="H129" s="5"/>
      <c r="I129" s="6"/>
      <c r="J129" s="7" t="s">
        <v>614</v>
      </c>
      <c r="K129" s="9">
        <v>1500000</v>
      </c>
      <c r="L129" s="510"/>
    </row>
    <row r="130" spans="5:16" ht="15" customHeight="1">
      <c r="E130" s="509">
        <f t="shared" si="1"/>
        <v>125</v>
      </c>
      <c r="F130" s="4" t="s">
        <v>449</v>
      </c>
      <c r="G130" s="5"/>
      <c r="H130" s="5"/>
      <c r="I130" s="6"/>
      <c r="J130" s="7" t="s">
        <v>44</v>
      </c>
      <c r="K130" s="9">
        <v>4375000</v>
      </c>
      <c r="L130" s="510"/>
    </row>
    <row r="131" spans="5:16" ht="15" customHeight="1">
      <c r="E131" s="509">
        <f t="shared" si="1"/>
        <v>126</v>
      </c>
      <c r="F131" s="4" t="s">
        <v>1147</v>
      </c>
      <c r="G131" s="5"/>
      <c r="H131" s="5"/>
      <c r="I131" s="6"/>
      <c r="J131" s="7" t="s">
        <v>44</v>
      </c>
      <c r="K131" s="9">
        <v>5500000</v>
      </c>
      <c r="L131" s="510"/>
    </row>
    <row r="132" spans="5:16" ht="15" customHeight="1">
      <c r="E132" s="509">
        <f t="shared" si="1"/>
        <v>127</v>
      </c>
      <c r="F132" s="4" t="s">
        <v>420</v>
      </c>
      <c r="G132" s="5"/>
      <c r="H132" s="5"/>
      <c r="I132" s="6"/>
      <c r="J132" s="7" t="s">
        <v>292</v>
      </c>
      <c r="K132" s="9">
        <v>5500000</v>
      </c>
      <c r="L132" s="510"/>
    </row>
    <row r="133" spans="5:16" ht="15" customHeight="1">
      <c r="E133" s="509">
        <f t="shared" si="1"/>
        <v>128</v>
      </c>
      <c r="F133" s="4" t="s">
        <v>388</v>
      </c>
      <c r="G133" s="5"/>
      <c r="H133" s="5"/>
      <c r="I133" s="6"/>
      <c r="J133" s="7" t="s">
        <v>44</v>
      </c>
      <c r="K133" s="9">
        <v>4500000</v>
      </c>
      <c r="L133" s="510"/>
    </row>
    <row r="134" spans="5:16" ht="15" customHeight="1">
      <c r="E134" s="509">
        <f t="shared" si="1"/>
        <v>129</v>
      </c>
      <c r="F134" s="4" t="s">
        <v>410</v>
      </c>
      <c r="G134" s="5"/>
      <c r="H134" s="5"/>
      <c r="I134" s="6"/>
      <c r="J134" s="7" t="s">
        <v>44</v>
      </c>
      <c r="K134" s="9">
        <v>4500000</v>
      </c>
      <c r="L134" s="510"/>
    </row>
    <row r="135" spans="5:16" ht="15" customHeight="1">
      <c r="E135" s="509">
        <f t="shared" si="1"/>
        <v>130</v>
      </c>
      <c r="F135" s="4" t="s">
        <v>977</v>
      </c>
      <c r="G135" s="5"/>
      <c r="H135" s="5"/>
      <c r="I135" s="6"/>
      <c r="J135" s="7" t="s">
        <v>44</v>
      </c>
      <c r="K135" s="9">
        <v>4500000</v>
      </c>
      <c r="L135" s="510"/>
    </row>
    <row r="136" spans="5:16" ht="15" customHeight="1">
      <c r="E136" s="509">
        <f t="shared" si="1"/>
        <v>131</v>
      </c>
      <c r="F136" s="4" t="s">
        <v>213</v>
      </c>
      <c r="G136" s="5"/>
      <c r="H136" s="5"/>
      <c r="I136" s="6"/>
      <c r="J136" s="7" t="s">
        <v>44</v>
      </c>
      <c r="K136" s="9">
        <v>4165000</v>
      </c>
      <c r="L136" s="510"/>
    </row>
    <row r="137" spans="5:16" ht="15" customHeight="1">
      <c r="E137" s="509">
        <f t="shared" si="1"/>
        <v>132</v>
      </c>
      <c r="F137" s="4" t="s">
        <v>938</v>
      </c>
      <c r="G137" s="5"/>
      <c r="H137" s="5"/>
      <c r="I137" s="6"/>
      <c r="J137" s="7" t="s">
        <v>292</v>
      </c>
      <c r="K137" s="9">
        <v>7407750</v>
      </c>
      <c r="L137" s="510"/>
    </row>
    <row r="138" spans="5:16" ht="15" customHeight="1">
      <c r="E138" s="509">
        <f t="shared" ref="E138:E205" si="2">E137+1</f>
        <v>133</v>
      </c>
      <c r="F138" s="4" t="s">
        <v>589</v>
      </c>
      <c r="G138" s="5"/>
      <c r="H138" s="5"/>
      <c r="I138" s="6"/>
      <c r="J138" s="7" t="s">
        <v>44</v>
      </c>
      <c r="K138" s="9">
        <v>4305000</v>
      </c>
      <c r="L138" s="510"/>
    </row>
    <row r="139" spans="5:16" ht="15" customHeight="1">
      <c r="E139" s="509">
        <f t="shared" si="2"/>
        <v>134</v>
      </c>
      <c r="F139" s="4" t="s">
        <v>239</v>
      </c>
      <c r="G139" s="5"/>
      <c r="H139" s="5"/>
      <c r="I139" s="6"/>
      <c r="J139" s="7" t="s">
        <v>44</v>
      </c>
      <c r="K139" s="9">
        <v>3175000</v>
      </c>
      <c r="L139" s="510"/>
    </row>
    <row r="140" spans="5:16" ht="15" customHeight="1">
      <c r="E140" s="509">
        <f t="shared" si="2"/>
        <v>135</v>
      </c>
      <c r="F140" s="4" t="s">
        <v>1587</v>
      </c>
      <c r="G140" s="5"/>
      <c r="H140" s="5"/>
      <c r="I140" s="6"/>
      <c r="J140" s="7" t="s">
        <v>44</v>
      </c>
      <c r="K140" s="9">
        <v>6765000</v>
      </c>
      <c r="L140" s="510"/>
    </row>
    <row r="141" spans="5:16" ht="15" customHeight="1">
      <c r="E141" s="509">
        <f t="shared" si="2"/>
        <v>136</v>
      </c>
      <c r="F141" s="4" t="s">
        <v>1588</v>
      </c>
      <c r="G141" s="5"/>
      <c r="H141" s="5"/>
      <c r="I141" s="6"/>
      <c r="J141" s="7" t="s">
        <v>44</v>
      </c>
      <c r="K141" s="9">
        <f>K140</f>
        <v>6765000</v>
      </c>
      <c r="L141" s="510"/>
    </row>
    <row r="142" spans="5:16" ht="15" customHeight="1">
      <c r="E142" s="509">
        <f t="shared" si="2"/>
        <v>137</v>
      </c>
      <c r="F142" s="4" t="s">
        <v>846</v>
      </c>
      <c r="G142" s="5"/>
      <c r="H142" s="5"/>
      <c r="I142" s="6"/>
      <c r="J142" s="7" t="s">
        <v>221</v>
      </c>
      <c r="K142" s="9">
        <v>1900</v>
      </c>
      <c r="L142" s="510"/>
      <c r="P142" s="91"/>
    </row>
    <row r="143" spans="5:16" ht="15" customHeight="1">
      <c r="E143" s="509">
        <f t="shared" si="2"/>
        <v>138</v>
      </c>
      <c r="F143" s="4" t="s">
        <v>843</v>
      </c>
      <c r="G143" s="5"/>
      <c r="H143" s="5"/>
      <c r="I143" s="6"/>
      <c r="J143" s="7" t="s">
        <v>221</v>
      </c>
      <c r="K143" s="9">
        <v>1900</v>
      </c>
      <c r="L143" s="510"/>
      <c r="P143" s="91"/>
    </row>
    <row r="144" spans="5:16" ht="15" customHeight="1">
      <c r="E144" s="509">
        <f t="shared" si="2"/>
        <v>139</v>
      </c>
      <c r="F144" s="4" t="s">
        <v>907</v>
      </c>
      <c r="G144" s="5"/>
      <c r="H144" s="5"/>
      <c r="I144" s="6"/>
      <c r="J144" s="7" t="s">
        <v>221</v>
      </c>
      <c r="K144" s="9">
        <v>2200</v>
      </c>
      <c r="L144" s="510"/>
    </row>
    <row r="145" spans="5:12" ht="15" customHeight="1">
      <c r="E145" s="509">
        <f t="shared" si="2"/>
        <v>140</v>
      </c>
      <c r="F145" s="4" t="s">
        <v>910</v>
      </c>
      <c r="G145" s="5"/>
      <c r="H145" s="5"/>
      <c r="I145" s="6"/>
      <c r="J145" s="7" t="s">
        <v>221</v>
      </c>
      <c r="K145" s="9">
        <v>4200</v>
      </c>
      <c r="L145" s="510"/>
    </row>
    <row r="146" spans="5:12" ht="15" customHeight="1">
      <c r="E146" s="509">
        <f t="shared" si="2"/>
        <v>141</v>
      </c>
      <c r="F146" s="4" t="s">
        <v>901</v>
      </c>
      <c r="G146" s="5"/>
      <c r="H146" s="5"/>
      <c r="I146" s="6"/>
      <c r="J146" s="7" t="s">
        <v>221</v>
      </c>
      <c r="K146" s="9">
        <v>1900</v>
      </c>
      <c r="L146" s="510"/>
    </row>
    <row r="147" spans="5:12" ht="15" customHeight="1">
      <c r="E147" s="509">
        <f t="shared" si="2"/>
        <v>142</v>
      </c>
      <c r="F147" s="4" t="s">
        <v>904</v>
      </c>
      <c r="G147" s="5"/>
      <c r="H147" s="5"/>
      <c r="I147" s="6"/>
      <c r="J147" s="7" t="s">
        <v>221</v>
      </c>
      <c r="K147" s="9">
        <v>2200</v>
      </c>
      <c r="L147" s="510"/>
    </row>
    <row r="148" spans="5:12" ht="15" customHeight="1">
      <c r="E148" s="509">
        <f t="shared" si="2"/>
        <v>143</v>
      </c>
      <c r="F148" s="4" t="s">
        <v>861</v>
      </c>
      <c r="G148" s="5"/>
      <c r="H148" s="5"/>
      <c r="I148" s="6"/>
      <c r="J148" s="7" t="s">
        <v>221</v>
      </c>
      <c r="K148" s="9">
        <v>13560</v>
      </c>
      <c r="L148" s="510"/>
    </row>
    <row r="149" spans="5:12" ht="15" customHeight="1">
      <c r="E149" s="509">
        <f t="shared" si="2"/>
        <v>144</v>
      </c>
      <c r="F149" s="4" t="s">
        <v>855</v>
      </c>
      <c r="G149" s="5"/>
      <c r="H149" s="5"/>
      <c r="I149" s="6"/>
      <c r="J149" s="7" t="s">
        <v>221</v>
      </c>
      <c r="K149" s="9">
        <v>5000</v>
      </c>
      <c r="L149" s="510"/>
    </row>
    <row r="150" spans="5:12" ht="15" customHeight="1">
      <c r="E150" s="509">
        <f t="shared" si="2"/>
        <v>145</v>
      </c>
      <c r="F150" s="4" t="s">
        <v>852</v>
      </c>
      <c r="G150" s="5"/>
      <c r="H150" s="5"/>
      <c r="I150" s="6"/>
      <c r="J150" s="7" t="s">
        <v>221</v>
      </c>
      <c r="K150" s="9">
        <v>7500</v>
      </c>
      <c r="L150" s="510"/>
    </row>
    <row r="151" spans="5:12" ht="15" customHeight="1">
      <c r="E151" s="509">
        <f t="shared" si="2"/>
        <v>146</v>
      </c>
      <c r="F151" s="4" t="s">
        <v>849</v>
      </c>
      <c r="G151" s="5"/>
      <c r="H151" s="5"/>
      <c r="I151" s="6"/>
      <c r="J151" s="7" t="s">
        <v>221</v>
      </c>
      <c r="K151" s="9">
        <v>9000</v>
      </c>
      <c r="L151" s="510"/>
    </row>
    <row r="152" spans="5:12" ht="15" customHeight="1">
      <c r="E152" s="509">
        <f t="shared" si="2"/>
        <v>147</v>
      </c>
      <c r="F152" s="4" t="s">
        <v>1703</v>
      </c>
      <c r="G152" s="5"/>
      <c r="H152" s="5"/>
      <c r="I152" s="6"/>
      <c r="J152" s="7" t="s">
        <v>44</v>
      </c>
      <c r="K152" s="9">
        <v>600000</v>
      </c>
      <c r="L152" s="510"/>
    </row>
    <row r="153" spans="5:12" ht="15" customHeight="1">
      <c r="E153" s="509">
        <f t="shared" si="2"/>
        <v>148</v>
      </c>
      <c r="F153" s="4" t="s">
        <v>1704</v>
      </c>
      <c r="G153" s="5"/>
      <c r="H153" s="5"/>
      <c r="I153" s="6"/>
      <c r="J153" s="7" t="s">
        <v>38</v>
      </c>
      <c r="K153" s="9">
        <f>K152/1350</f>
        <v>444.44444444444446</v>
      </c>
      <c r="L153" s="510"/>
    </row>
    <row r="154" spans="5:12" ht="15" customHeight="1">
      <c r="E154" s="509">
        <f t="shared" si="2"/>
        <v>149</v>
      </c>
      <c r="F154" s="4" t="s">
        <v>1702</v>
      </c>
      <c r="G154" s="5"/>
      <c r="H154" s="5"/>
      <c r="I154" s="6"/>
      <c r="J154" s="7" t="s">
        <v>44</v>
      </c>
      <c r="K154" s="9">
        <v>600000</v>
      </c>
      <c r="L154" s="510"/>
    </row>
    <row r="155" spans="5:12" ht="15" customHeight="1">
      <c r="E155" s="509">
        <f t="shared" si="2"/>
        <v>150</v>
      </c>
      <c r="F155" s="4" t="s">
        <v>1701</v>
      </c>
      <c r="G155" s="5"/>
      <c r="H155" s="5"/>
      <c r="I155" s="6"/>
      <c r="J155" s="7" t="s">
        <v>38</v>
      </c>
      <c r="K155" s="9">
        <f>K154/1350</f>
        <v>444.44444444444446</v>
      </c>
      <c r="L155" s="510"/>
    </row>
    <row r="156" spans="5:12" ht="15" customHeight="1">
      <c r="E156" s="509">
        <f>E155+1</f>
        <v>151</v>
      </c>
      <c r="F156" s="4" t="s">
        <v>1581</v>
      </c>
      <c r="G156" s="5"/>
      <c r="H156" s="5"/>
      <c r="I156" s="6"/>
      <c r="J156" s="7" t="s">
        <v>36</v>
      </c>
      <c r="K156" s="9">
        <v>1860</v>
      </c>
      <c r="L156" s="510"/>
    </row>
    <row r="157" spans="5:12" ht="15" customHeight="1">
      <c r="E157" s="509">
        <f t="shared" si="2"/>
        <v>152</v>
      </c>
      <c r="F157" s="4" t="s">
        <v>1575</v>
      </c>
      <c r="G157" s="5"/>
      <c r="H157" s="5"/>
      <c r="I157" s="6"/>
      <c r="J157" s="7" t="s">
        <v>36</v>
      </c>
      <c r="K157" s="9">
        <v>940</v>
      </c>
      <c r="L157" s="510"/>
    </row>
    <row r="158" spans="5:12" ht="15" customHeight="1">
      <c r="E158" s="509">
        <f t="shared" si="2"/>
        <v>153</v>
      </c>
      <c r="F158" s="4" t="s">
        <v>264</v>
      </c>
      <c r="G158" s="5"/>
      <c r="H158" s="5"/>
      <c r="I158" s="6"/>
      <c r="J158" s="7" t="s">
        <v>182</v>
      </c>
      <c r="K158" s="9">
        <v>237890</v>
      </c>
      <c r="L158" s="510"/>
    </row>
    <row r="159" spans="5:12" ht="15" customHeight="1">
      <c r="E159" s="509">
        <f t="shared" si="2"/>
        <v>154</v>
      </c>
      <c r="F159" s="4" t="s">
        <v>265</v>
      </c>
      <c r="G159" s="5"/>
      <c r="H159" s="5"/>
      <c r="I159" s="6"/>
      <c r="J159" s="7" t="s">
        <v>44</v>
      </c>
      <c r="K159" s="9">
        <v>600000</v>
      </c>
      <c r="L159" s="510"/>
    </row>
    <row r="160" spans="5:12" ht="15" customHeight="1">
      <c r="E160" s="509">
        <f t="shared" si="2"/>
        <v>155</v>
      </c>
      <c r="F160" s="4" t="s">
        <v>184</v>
      </c>
      <c r="G160" s="5"/>
      <c r="H160" s="5"/>
      <c r="I160" s="6"/>
      <c r="J160" s="7" t="s">
        <v>44</v>
      </c>
      <c r="K160" s="9">
        <v>600000</v>
      </c>
      <c r="L160" s="510"/>
    </row>
    <row r="161" spans="5:12" ht="15" customHeight="1">
      <c r="E161" s="509">
        <f t="shared" si="2"/>
        <v>156</v>
      </c>
      <c r="F161" s="4" t="s">
        <v>1381</v>
      </c>
      <c r="G161" s="5"/>
      <c r="H161" s="5"/>
      <c r="I161" s="6"/>
      <c r="J161" s="7" t="s">
        <v>20</v>
      </c>
      <c r="K161" s="9">
        <v>31500</v>
      </c>
      <c r="L161" s="510"/>
    </row>
    <row r="162" spans="5:12" ht="15" customHeight="1">
      <c r="E162" s="509">
        <f t="shared" si="2"/>
        <v>157</v>
      </c>
      <c r="F162" s="4" t="s">
        <v>1264</v>
      </c>
      <c r="G162" s="5"/>
      <c r="H162" s="5"/>
      <c r="I162" s="6"/>
      <c r="J162" s="7" t="s">
        <v>221</v>
      </c>
      <c r="K162" s="9">
        <v>20740</v>
      </c>
      <c r="L162" s="510"/>
    </row>
    <row r="163" spans="5:12" ht="15" customHeight="1">
      <c r="E163" s="509">
        <f t="shared" si="2"/>
        <v>158</v>
      </c>
      <c r="F163" s="4" t="s">
        <v>1220</v>
      </c>
      <c r="G163" s="5"/>
      <c r="H163" s="5"/>
      <c r="I163" s="6"/>
      <c r="J163" s="7" t="s">
        <v>1217</v>
      </c>
      <c r="K163" s="9">
        <v>15120</v>
      </c>
      <c r="L163" s="510"/>
    </row>
    <row r="164" spans="5:12" ht="15" customHeight="1">
      <c r="E164" s="509">
        <f t="shared" si="2"/>
        <v>159</v>
      </c>
      <c r="F164" s="4" t="s">
        <v>1185</v>
      </c>
      <c r="G164" s="5"/>
      <c r="H164" s="5"/>
      <c r="I164" s="6"/>
      <c r="J164" s="7" t="s">
        <v>221</v>
      </c>
      <c r="K164" s="9">
        <v>87750</v>
      </c>
      <c r="L164" s="510"/>
    </row>
    <row r="165" spans="5:12" ht="15" customHeight="1">
      <c r="E165" s="509">
        <f t="shared" si="2"/>
        <v>160</v>
      </c>
      <c r="F165" s="4" t="s">
        <v>1207</v>
      </c>
      <c r="G165" s="5"/>
      <c r="H165" s="5"/>
      <c r="I165" s="6"/>
      <c r="J165" s="7" t="s">
        <v>221</v>
      </c>
      <c r="K165" s="9">
        <v>62500</v>
      </c>
      <c r="L165" s="510"/>
    </row>
    <row r="166" spans="5:12" ht="15" customHeight="1">
      <c r="E166" s="509">
        <f t="shared" si="2"/>
        <v>161</v>
      </c>
      <c r="F166" s="4" t="s">
        <v>225</v>
      </c>
      <c r="G166" s="5"/>
      <c r="H166" s="5"/>
      <c r="I166" s="6"/>
      <c r="J166" s="7" t="s">
        <v>221</v>
      </c>
      <c r="K166" s="9">
        <v>130000</v>
      </c>
      <c r="L166" s="510"/>
    </row>
    <row r="167" spans="5:12" ht="15" customHeight="1">
      <c r="E167" s="509">
        <f t="shared" si="2"/>
        <v>162</v>
      </c>
      <c r="F167" s="4" t="s">
        <v>1176</v>
      </c>
      <c r="G167" s="5"/>
      <c r="H167" s="5"/>
      <c r="I167" s="6"/>
      <c r="J167" s="7" t="s">
        <v>221</v>
      </c>
      <c r="K167" s="9">
        <v>315000</v>
      </c>
      <c r="L167" s="510"/>
    </row>
    <row r="168" spans="5:12" ht="15" customHeight="1">
      <c r="E168" s="509">
        <f t="shared" si="2"/>
        <v>163</v>
      </c>
      <c r="F168" s="4" t="s">
        <v>1179</v>
      </c>
      <c r="G168" s="5"/>
      <c r="H168" s="5"/>
      <c r="I168" s="6"/>
      <c r="J168" s="7" t="s">
        <v>221</v>
      </c>
      <c r="K168" s="9">
        <v>159900</v>
      </c>
      <c r="L168" s="510"/>
    </row>
    <row r="169" spans="5:12" ht="15" customHeight="1">
      <c r="E169" s="509">
        <f t="shared" si="2"/>
        <v>164</v>
      </c>
      <c r="F169" s="4" t="s">
        <v>1182</v>
      </c>
      <c r="G169" s="5"/>
      <c r="H169" s="5"/>
      <c r="I169" s="6"/>
      <c r="J169" s="7" t="s">
        <v>221</v>
      </c>
      <c r="K169" s="9">
        <v>58500</v>
      </c>
      <c r="L169" s="510"/>
    </row>
    <row r="170" spans="5:12" ht="15" customHeight="1">
      <c r="E170" s="509">
        <f t="shared" si="2"/>
        <v>165</v>
      </c>
      <c r="F170" s="4" t="s">
        <v>1573</v>
      </c>
      <c r="G170" s="5"/>
      <c r="H170" s="5"/>
      <c r="I170" s="6"/>
      <c r="J170" s="7" t="s">
        <v>36</v>
      </c>
      <c r="K170" s="9">
        <v>12300</v>
      </c>
      <c r="L170" s="510"/>
    </row>
    <row r="171" spans="5:12" ht="15" customHeight="1">
      <c r="E171" s="509">
        <f t="shared" si="2"/>
        <v>166</v>
      </c>
      <c r="F171" s="4" t="s">
        <v>879</v>
      </c>
      <c r="G171" s="5"/>
      <c r="H171" s="5"/>
      <c r="I171" s="6"/>
      <c r="J171" s="7" t="s">
        <v>23</v>
      </c>
      <c r="K171" s="9">
        <v>500000</v>
      </c>
      <c r="L171" s="510"/>
    </row>
    <row r="172" spans="5:12" ht="15" customHeight="1">
      <c r="E172" s="509">
        <f t="shared" si="2"/>
        <v>167</v>
      </c>
      <c r="F172" s="4" t="s">
        <v>447</v>
      </c>
      <c r="G172" s="5"/>
      <c r="H172" s="5"/>
      <c r="I172" s="6"/>
      <c r="J172" s="7" t="s">
        <v>44</v>
      </c>
      <c r="K172" s="9">
        <v>945000</v>
      </c>
      <c r="L172" s="510"/>
    </row>
    <row r="173" spans="5:12" ht="15" customHeight="1">
      <c r="E173" s="509">
        <f t="shared" si="2"/>
        <v>168</v>
      </c>
      <c r="F173" s="4" t="s">
        <v>1574</v>
      </c>
      <c r="G173" s="5"/>
      <c r="H173" s="5"/>
      <c r="I173" s="6"/>
      <c r="J173" s="7" t="s">
        <v>36</v>
      </c>
      <c r="K173" s="9">
        <v>1190</v>
      </c>
      <c r="L173" s="510"/>
    </row>
    <row r="174" spans="5:12" ht="15" customHeight="1">
      <c r="E174" s="509">
        <f t="shared" si="2"/>
        <v>169</v>
      </c>
      <c r="F174" s="4" t="s">
        <v>880</v>
      </c>
      <c r="G174" s="5"/>
      <c r="H174" s="5"/>
      <c r="I174" s="6"/>
      <c r="J174" s="7" t="s">
        <v>45</v>
      </c>
      <c r="K174" s="9">
        <v>15210</v>
      </c>
      <c r="L174" s="510"/>
    </row>
    <row r="175" spans="5:12" ht="15" customHeight="1">
      <c r="E175" s="509">
        <f t="shared" si="2"/>
        <v>170</v>
      </c>
      <c r="F175" s="4" t="s">
        <v>929</v>
      </c>
      <c r="G175" s="5"/>
      <c r="H175" s="5"/>
      <c r="I175" s="6"/>
      <c r="J175" s="7" t="s">
        <v>45</v>
      </c>
      <c r="K175" s="9">
        <v>19050</v>
      </c>
      <c r="L175" s="510"/>
    </row>
    <row r="176" spans="5:12" ht="15" customHeight="1">
      <c r="E176" s="509">
        <f t="shared" si="2"/>
        <v>171</v>
      </c>
      <c r="F176" s="4" t="s">
        <v>1671</v>
      </c>
      <c r="G176" s="5"/>
      <c r="H176" s="5"/>
      <c r="I176" s="6"/>
      <c r="J176" s="7" t="s">
        <v>33</v>
      </c>
      <c r="K176" s="9">
        <v>15000</v>
      </c>
      <c r="L176" s="510"/>
    </row>
    <row r="177" spans="5:12" ht="15" customHeight="1">
      <c r="E177" s="509">
        <f t="shared" si="2"/>
        <v>172</v>
      </c>
      <c r="F177" s="4" t="s">
        <v>1171</v>
      </c>
      <c r="G177" s="5"/>
      <c r="H177" s="5"/>
      <c r="I177" s="6"/>
      <c r="J177" s="7" t="s">
        <v>44</v>
      </c>
      <c r="K177" s="9">
        <v>5995000</v>
      </c>
      <c r="L177" s="510"/>
    </row>
    <row r="178" spans="5:12" ht="15" customHeight="1">
      <c r="E178" s="509">
        <f t="shared" si="2"/>
        <v>173</v>
      </c>
      <c r="F178" s="4" t="s">
        <v>988</v>
      </c>
      <c r="G178" s="5"/>
      <c r="H178" s="5"/>
      <c r="I178" s="6"/>
      <c r="J178" s="7" t="s">
        <v>33</v>
      </c>
      <c r="K178" s="9">
        <v>3510</v>
      </c>
      <c r="L178" s="510"/>
    </row>
    <row r="179" spans="5:12" ht="15" customHeight="1">
      <c r="E179" s="509">
        <f t="shared" si="2"/>
        <v>174</v>
      </c>
      <c r="F179" s="4" t="s">
        <v>913</v>
      </c>
      <c r="G179" s="5"/>
      <c r="H179" s="5"/>
      <c r="I179" s="6"/>
      <c r="J179" s="7" t="s">
        <v>221</v>
      </c>
      <c r="K179" s="9">
        <v>69020</v>
      </c>
      <c r="L179" s="510"/>
    </row>
    <row r="180" spans="5:12" ht="15" customHeight="1">
      <c r="E180" s="509">
        <f t="shared" si="2"/>
        <v>175</v>
      </c>
      <c r="F180" s="4" t="s">
        <v>876</v>
      </c>
      <c r="G180" s="5"/>
      <c r="H180" s="5"/>
      <c r="I180" s="6"/>
      <c r="J180" s="7" t="s">
        <v>221</v>
      </c>
      <c r="K180" s="9">
        <v>69020</v>
      </c>
      <c r="L180" s="510"/>
    </row>
    <row r="181" spans="5:12" ht="15" customHeight="1">
      <c r="E181" s="509">
        <f t="shared" si="2"/>
        <v>176</v>
      </c>
      <c r="F181" s="4" t="s">
        <v>73</v>
      </c>
      <c r="G181" s="5"/>
      <c r="H181" s="5"/>
      <c r="I181" s="6"/>
      <c r="J181" s="7" t="s">
        <v>221</v>
      </c>
      <c r="K181" s="9">
        <v>250000</v>
      </c>
      <c r="L181" s="510"/>
    </row>
    <row r="182" spans="5:12" ht="15" customHeight="1">
      <c r="E182" s="509">
        <f t="shared" si="2"/>
        <v>177</v>
      </c>
      <c r="F182" s="4" t="s">
        <v>203</v>
      </c>
      <c r="G182" s="5"/>
      <c r="H182" s="5"/>
      <c r="I182" s="6"/>
      <c r="J182" s="7" t="s">
        <v>188</v>
      </c>
      <c r="K182" s="9">
        <v>35100</v>
      </c>
      <c r="L182" s="510"/>
    </row>
    <row r="183" spans="5:12" ht="15" customHeight="1">
      <c r="E183" s="509">
        <f t="shared" si="2"/>
        <v>178</v>
      </c>
      <c r="F183" s="4" t="s">
        <v>1310</v>
      </c>
      <c r="G183" s="5"/>
      <c r="H183" s="5"/>
      <c r="I183" s="6"/>
      <c r="J183" s="7" t="s">
        <v>45</v>
      </c>
      <c r="K183" s="9">
        <v>38080</v>
      </c>
      <c r="L183" s="510"/>
    </row>
    <row r="184" spans="5:12" ht="15" customHeight="1">
      <c r="E184" s="509">
        <f t="shared" si="2"/>
        <v>179</v>
      </c>
      <c r="F184" s="4" t="s">
        <v>1311</v>
      </c>
      <c r="G184" s="5"/>
      <c r="H184" s="5"/>
      <c r="I184" s="6"/>
      <c r="J184" s="7" t="s">
        <v>45</v>
      </c>
      <c r="K184" s="9">
        <v>45360</v>
      </c>
      <c r="L184" s="510"/>
    </row>
    <row r="185" spans="5:12" ht="15" customHeight="1">
      <c r="E185" s="509">
        <f t="shared" si="2"/>
        <v>180</v>
      </c>
      <c r="F185" s="4" t="s">
        <v>1304</v>
      </c>
      <c r="G185" s="5"/>
      <c r="H185" s="5"/>
      <c r="I185" s="6"/>
      <c r="J185" s="7" t="s">
        <v>45</v>
      </c>
      <c r="K185" s="9">
        <v>34290</v>
      </c>
      <c r="L185" s="510"/>
    </row>
    <row r="186" spans="5:12" ht="15" customHeight="1">
      <c r="E186" s="509">
        <f t="shared" si="2"/>
        <v>181</v>
      </c>
      <c r="F186" s="4" t="s">
        <v>390</v>
      </c>
      <c r="G186" s="5"/>
      <c r="H186" s="5"/>
      <c r="I186" s="6"/>
      <c r="J186" s="7" t="s">
        <v>188</v>
      </c>
      <c r="K186" s="9">
        <v>7310</v>
      </c>
      <c r="L186" s="510"/>
    </row>
    <row r="187" spans="5:12" ht="15" customHeight="1">
      <c r="E187" s="509">
        <f t="shared" si="2"/>
        <v>182</v>
      </c>
      <c r="F187" s="4" t="s">
        <v>527</v>
      </c>
      <c r="G187" s="5"/>
      <c r="H187" s="5"/>
      <c r="I187" s="6"/>
      <c r="J187" s="7" t="s">
        <v>188</v>
      </c>
      <c r="K187" s="9">
        <v>12400</v>
      </c>
      <c r="L187" s="510"/>
    </row>
    <row r="188" spans="5:12" ht="15" customHeight="1">
      <c r="E188" s="509">
        <f t="shared" si="2"/>
        <v>183</v>
      </c>
      <c r="F188" s="4" t="s">
        <v>1576</v>
      </c>
      <c r="G188" s="5"/>
      <c r="H188" s="5"/>
      <c r="I188" s="6"/>
      <c r="J188" s="7" t="s">
        <v>36</v>
      </c>
      <c r="K188" s="9">
        <v>1850</v>
      </c>
      <c r="L188" s="510"/>
    </row>
    <row r="189" spans="5:12" ht="15" customHeight="1">
      <c r="E189" s="509">
        <f t="shared" si="2"/>
        <v>184</v>
      </c>
      <c r="F189" s="4" t="s">
        <v>675</v>
      </c>
      <c r="G189" s="5"/>
      <c r="H189" s="5"/>
      <c r="I189" s="6"/>
      <c r="J189" s="7" t="s">
        <v>45</v>
      </c>
      <c r="K189" s="9">
        <v>13970</v>
      </c>
      <c r="L189" s="510"/>
    </row>
    <row r="190" spans="5:12" ht="15" customHeight="1">
      <c r="E190" s="509">
        <f t="shared" si="2"/>
        <v>185</v>
      </c>
      <c r="F190" s="4" t="s">
        <v>1082</v>
      </c>
      <c r="G190" s="5"/>
      <c r="H190" s="5"/>
      <c r="I190" s="6"/>
      <c r="J190" s="7" t="s">
        <v>221</v>
      </c>
      <c r="K190" s="9">
        <v>30500</v>
      </c>
      <c r="L190" s="510"/>
    </row>
    <row r="191" spans="5:12" ht="15" customHeight="1">
      <c r="E191" s="509">
        <f t="shared" si="2"/>
        <v>186</v>
      </c>
      <c r="F191" s="4" t="s">
        <v>1079</v>
      </c>
      <c r="G191" s="5"/>
      <c r="H191" s="5"/>
      <c r="I191" s="6"/>
      <c r="J191" s="7" t="s">
        <v>221</v>
      </c>
      <c r="K191" s="9">
        <v>18750</v>
      </c>
      <c r="L191" s="510"/>
    </row>
    <row r="192" spans="5:12" ht="15" customHeight="1">
      <c r="E192" s="509">
        <f t="shared" si="2"/>
        <v>187</v>
      </c>
      <c r="F192" s="4" t="s">
        <v>1086</v>
      </c>
      <c r="G192" s="5"/>
      <c r="H192" s="5"/>
      <c r="I192" s="6"/>
      <c r="J192" s="7" t="s">
        <v>221</v>
      </c>
      <c r="K192" s="9">
        <v>92130</v>
      </c>
      <c r="L192" s="510"/>
    </row>
    <row r="193" spans="5:12" ht="15" customHeight="1">
      <c r="E193" s="509">
        <f t="shared" si="2"/>
        <v>188</v>
      </c>
      <c r="F193" s="4" t="s">
        <v>1051</v>
      </c>
      <c r="G193" s="5"/>
      <c r="H193" s="5"/>
      <c r="I193" s="6"/>
      <c r="J193" s="7" t="s">
        <v>202</v>
      </c>
      <c r="K193" s="9">
        <v>46480</v>
      </c>
      <c r="L193" s="510"/>
    </row>
    <row r="194" spans="5:12" ht="15" customHeight="1">
      <c r="E194" s="509">
        <f t="shared" si="2"/>
        <v>189</v>
      </c>
      <c r="F194" s="4" t="s">
        <v>1099</v>
      </c>
      <c r="G194" s="5"/>
      <c r="H194" s="5"/>
      <c r="I194" s="6"/>
      <c r="J194" s="7" t="s">
        <v>221</v>
      </c>
      <c r="K194" s="9">
        <v>6600</v>
      </c>
      <c r="L194" s="510"/>
    </row>
    <row r="195" spans="5:12" ht="15" customHeight="1">
      <c r="E195" s="509">
        <f t="shared" si="2"/>
        <v>190</v>
      </c>
      <c r="F195" s="4" t="s">
        <v>1596</v>
      </c>
      <c r="G195" s="5"/>
      <c r="H195" s="5"/>
      <c r="I195" s="6"/>
      <c r="J195" s="7" t="s">
        <v>221</v>
      </c>
      <c r="K195" s="9">
        <v>37000</v>
      </c>
      <c r="L195" s="510"/>
    </row>
    <row r="196" spans="5:12" ht="15" customHeight="1">
      <c r="E196" s="509">
        <f t="shared" si="2"/>
        <v>191</v>
      </c>
      <c r="F196" s="4" t="s">
        <v>1565</v>
      </c>
      <c r="G196" s="5"/>
      <c r="H196" s="5"/>
      <c r="I196" s="6"/>
      <c r="J196" s="7" t="s">
        <v>1564</v>
      </c>
      <c r="K196" s="9">
        <v>44450</v>
      </c>
      <c r="L196" s="510"/>
    </row>
    <row r="197" spans="5:12" ht="15" customHeight="1">
      <c r="E197" s="509">
        <f t="shared" si="2"/>
        <v>192</v>
      </c>
      <c r="F197" s="4" t="s">
        <v>212</v>
      </c>
      <c r="G197" s="5"/>
      <c r="H197" s="5"/>
      <c r="I197" s="6"/>
      <c r="J197" s="7" t="s">
        <v>45</v>
      </c>
      <c r="K197" s="9">
        <v>27970</v>
      </c>
      <c r="L197" s="510"/>
    </row>
    <row r="198" spans="5:12" ht="15" customHeight="1">
      <c r="E198" s="509">
        <f t="shared" si="2"/>
        <v>193</v>
      </c>
      <c r="F198" s="4" t="s">
        <v>389</v>
      </c>
      <c r="G198" s="5"/>
      <c r="H198" s="5"/>
      <c r="I198" s="6"/>
      <c r="J198" s="7" t="s">
        <v>38</v>
      </c>
      <c r="K198" s="9">
        <f>K197</f>
        <v>27970</v>
      </c>
      <c r="L198" s="510"/>
    </row>
    <row r="199" spans="5:12" ht="15" customHeight="1">
      <c r="E199" s="509">
        <f t="shared" si="2"/>
        <v>194</v>
      </c>
      <c r="F199" s="4" t="s">
        <v>395</v>
      </c>
      <c r="G199" s="5"/>
      <c r="H199" s="5"/>
      <c r="I199" s="6"/>
      <c r="J199" s="7" t="s">
        <v>38</v>
      </c>
      <c r="K199" s="9">
        <f>K197</f>
        <v>27970</v>
      </c>
      <c r="L199" s="510"/>
    </row>
    <row r="200" spans="5:12" ht="15" customHeight="1">
      <c r="E200" s="509">
        <f t="shared" si="2"/>
        <v>195</v>
      </c>
      <c r="F200" s="4" t="s">
        <v>186</v>
      </c>
      <c r="G200" s="5"/>
      <c r="H200" s="5"/>
      <c r="I200" s="6"/>
      <c r="J200" s="7" t="s">
        <v>45</v>
      </c>
      <c r="K200" s="9">
        <f>K197</f>
        <v>27970</v>
      </c>
      <c r="L200" s="510"/>
    </row>
    <row r="201" spans="5:12" ht="15" customHeight="1">
      <c r="E201" s="509">
        <f t="shared" si="2"/>
        <v>196</v>
      </c>
      <c r="F201" s="4" t="s">
        <v>1071</v>
      </c>
      <c r="G201" s="5"/>
      <c r="H201" s="5"/>
      <c r="I201" s="6"/>
      <c r="J201" s="7" t="s">
        <v>45</v>
      </c>
      <c r="K201" s="9">
        <v>27730</v>
      </c>
      <c r="L201" s="510"/>
    </row>
    <row r="202" spans="5:12" ht="15" customHeight="1">
      <c r="E202" s="509">
        <f t="shared" si="2"/>
        <v>197</v>
      </c>
      <c r="F202" s="4" t="s">
        <v>208</v>
      </c>
      <c r="G202" s="5"/>
      <c r="H202" s="5"/>
      <c r="I202" s="6"/>
      <c r="J202" s="7" t="s">
        <v>45</v>
      </c>
      <c r="K202" s="9">
        <v>27500</v>
      </c>
      <c r="L202" s="510"/>
    </row>
    <row r="203" spans="5:12" ht="15" customHeight="1">
      <c r="E203" s="509">
        <f t="shared" si="2"/>
        <v>198</v>
      </c>
      <c r="F203" s="4" t="s">
        <v>1096</v>
      </c>
      <c r="G203" s="5"/>
      <c r="H203" s="5"/>
      <c r="I203" s="6"/>
      <c r="J203" s="7" t="s">
        <v>45</v>
      </c>
      <c r="K203" s="9">
        <v>13860</v>
      </c>
      <c r="L203" s="510"/>
    </row>
    <row r="204" spans="5:12" ht="15" customHeight="1">
      <c r="E204" s="509">
        <f t="shared" si="2"/>
        <v>199</v>
      </c>
      <c r="F204" s="4" t="s">
        <v>1015</v>
      </c>
      <c r="G204" s="5"/>
      <c r="H204" s="5"/>
      <c r="I204" s="6"/>
      <c r="J204" s="7" t="s">
        <v>45</v>
      </c>
      <c r="K204" s="9">
        <v>14760</v>
      </c>
      <c r="L204" s="510"/>
    </row>
    <row r="205" spans="5:12" ht="15" customHeight="1">
      <c r="E205" s="509">
        <f t="shared" si="2"/>
        <v>200</v>
      </c>
      <c r="F205" s="4" t="s">
        <v>586</v>
      </c>
      <c r="G205" s="5"/>
      <c r="H205" s="5"/>
      <c r="I205" s="6"/>
      <c r="J205" s="7" t="s">
        <v>42</v>
      </c>
      <c r="K205" s="9">
        <v>840</v>
      </c>
      <c r="L205" s="510"/>
    </row>
    <row r="206" spans="5:12" ht="15" customHeight="1">
      <c r="E206" s="509">
        <f t="shared" ref="E206:E270" si="3">E205+1</f>
        <v>201</v>
      </c>
      <c r="F206" s="4" t="s">
        <v>962</v>
      </c>
      <c r="G206" s="5"/>
      <c r="H206" s="5"/>
      <c r="I206" s="6"/>
      <c r="J206" s="7" t="s">
        <v>38</v>
      </c>
      <c r="K206" s="9">
        <v>22140</v>
      </c>
      <c r="L206" s="510"/>
    </row>
    <row r="207" spans="5:12" ht="15" customHeight="1">
      <c r="E207" s="509">
        <f t="shared" si="3"/>
        <v>202</v>
      </c>
      <c r="F207" s="4" t="s">
        <v>263</v>
      </c>
      <c r="G207" s="5"/>
      <c r="H207" s="5"/>
      <c r="I207" s="6"/>
      <c r="J207" s="7" t="s">
        <v>202</v>
      </c>
      <c r="K207" s="9">
        <v>178500</v>
      </c>
      <c r="L207" s="510"/>
    </row>
    <row r="208" spans="5:12" ht="15" customHeight="1">
      <c r="E208" s="509">
        <f t="shared" si="3"/>
        <v>203</v>
      </c>
      <c r="F208" s="4" t="s">
        <v>886</v>
      </c>
      <c r="G208" s="5"/>
      <c r="H208" s="5"/>
      <c r="I208" s="6"/>
      <c r="J208" s="7" t="s">
        <v>23</v>
      </c>
      <c r="K208" s="9">
        <v>16660</v>
      </c>
      <c r="L208" s="510"/>
    </row>
    <row r="209" spans="5:13" ht="15" customHeight="1">
      <c r="E209" s="509">
        <f t="shared" si="3"/>
        <v>204</v>
      </c>
      <c r="F209" s="4" t="s">
        <v>889</v>
      </c>
      <c r="G209" s="5"/>
      <c r="H209" s="5"/>
      <c r="I209" s="6"/>
      <c r="J209" s="7" t="s">
        <v>23</v>
      </c>
      <c r="K209" s="9">
        <v>365400</v>
      </c>
      <c r="L209" s="510"/>
    </row>
    <row r="210" spans="5:13" ht="15" customHeight="1">
      <c r="E210" s="509">
        <f t="shared" si="3"/>
        <v>205</v>
      </c>
      <c r="F210" s="4" t="s">
        <v>1700</v>
      </c>
      <c r="G210" s="5"/>
      <c r="H210" s="5"/>
      <c r="I210" s="6"/>
      <c r="J210" s="7" t="s">
        <v>44</v>
      </c>
      <c r="K210" s="9">
        <v>350000</v>
      </c>
      <c r="L210" s="510"/>
    </row>
    <row r="211" spans="5:13" ht="15" customHeight="1">
      <c r="E211" s="509">
        <f t="shared" si="3"/>
        <v>206</v>
      </c>
      <c r="F211" s="4" t="s">
        <v>1699</v>
      </c>
      <c r="G211" s="5"/>
      <c r="H211" s="5"/>
      <c r="I211" s="6"/>
      <c r="J211" s="7" t="s">
        <v>38</v>
      </c>
      <c r="K211" s="9">
        <f>K210/1400</f>
        <v>250</v>
      </c>
      <c r="L211" s="510"/>
      <c r="M211" s="3"/>
    </row>
    <row r="212" spans="5:13" ht="15" customHeight="1">
      <c r="E212" s="509">
        <f>E211+1</f>
        <v>207</v>
      </c>
      <c r="F212" s="4" t="s">
        <v>219</v>
      </c>
      <c r="G212" s="5"/>
      <c r="H212" s="5"/>
      <c r="I212" s="6"/>
      <c r="J212" s="7" t="s">
        <v>44</v>
      </c>
      <c r="K212" s="9">
        <v>253510</v>
      </c>
      <c r="L212" s="510"/>
      <c r="M212" s="3"/>
    </row>
    <row r="213" spans="5:13" ht="15" customHeight="1">
      <c r="E213" s="509">
        <f t="shared" si="3"/>
        <v>208</v>
      </c>
      <c r="F213" s="4" t="s">
        <v>291</v>
      </c>
      <c r="G213" s="5"/>
      <c r="H213" s="5"/>
      <c r="I213" s="6"/>
      <c r="J213" s="7" t="s">
        <v>292</v>
      </c>
      <c r="K213" s="9">
        <v>300990</v>
      </c>
      <c r="L213" s="510"/>
      <c r="M213" s="3"/>
    </row>
    <row r="214" spans="5:13" ht="15" customHeight="1">
      <c r="E214" s="509">
        <f t="shared" si="3"/>
        <v>209</v>
      </c>
      <c r="F214" s="4" t="s">
        <v>952</v>
      </c>
      <c r="G214" s="5"/>
      <c r="H214" s="5"/>
      <c r="I214" s="6"/>
      <c r="J214" s="7" t="s">
        <v>614</v>
      </c>
      <c r="K214" s="9">
        <v>139700</v>
      </c>
      <c r="L214" s="510"/>
    </row>
    <row r="215" spans="5:13" ht="15" customHeight="1">
      <c r="E215" s="509">
        <f t="shared" si="3"/>
        <v>210</v>
      </c>
      <c r="F215" s="4" t="s">
        <v>941</v>
      </c>
      <c r="G215" s="5"/>
      <c r="H215" s="5"/>
      <c r="I215" s="6"/>
      <c r="J215" s="7" t="s">
        <v>614</v>
      </c>
      <c r="K215" s="9">
        <v>155250</v>
      </c>
      <c r="L215" s="510"/>
    </row>
    <row r="216" spans="5:13" ht="15" customHeight="1">
      <c r="E216" s="509">
        <f t="shared" si="3"/>
        <v>211</v>
      </c>
      <c r="F216" s="4" t="s">
        <v>949</v>
      </c>
      <c r="G216" s="5"/>
      <c r="H216" s="5"/>
      <c r="I216" s="6"/>
      <c r="J216" s="7" t="s">
        <v>614</v>
      </c>
      <c r="K216" s="9">
        <v>165100</v>
      </c>
      <c r="L216" s="510"/>
    </row>
    <row r="217" spans="5:13" ht="15" customHeight="1">
      <c r="E217" s="509">
        <f t="shared" si="3"/>
        <v>212</v>
      </c>
      <c r="F217" s="4" t="s">
        <v>946</v>
      </c>
      <c r="G217" s="5"/>
      <c r="H217" s="5"/>
      <c r="I217" s="6"/>
      <c r="J217" s="7" t="s">
        <v>614</v>
      </c>
      <c r="K217" s="9">
        <v>3900</v>
      </c>
      <c r="L217" s="510"/>
    </row>
    <row r="218" spans="5:13" ht="15" customHeight="1">
      <c r="E218" s="509">
        <f t="shared" si="3"/>
        <v>213</v>
      </c>
      <c r="F218" s="4" t="s">
        <v>1585</v>
      </c>
      <c r="G218" s="5"/>
      <c r="H218" s="5"/>
      <c r="I218" s="6"/>
      <c r="J218" s="7" t="s">
        <v>93</v>
      </c>
      <c r="K218" s="9">
        <v>300000</v>
      </c>
      <c r="L218" s="510"/>
    </row>
    <row r="219" spans="5:13" ht="15" customHeight="1">
      <c r="E219" s="509">
        <f t="shared" si="3"/>
        <v>214</v>
      </c>
      <c r="F219" s="4" t="s">
        <v>545</v>
      </c>
      <c r="G219" s="5"/>
      <c r="H219" s="5"/>
      <c r="I219" s="6"/>
      <c r="J219" s="7" t="s">
        <v>546</v>
      </c>
      <c r="K219" s="9">
        <v>5490</v>
      </c>
      <c r="L219" s="510"/>
    </row>
    <row r="220" spans="5:13" ht="15" customHeight="1">
      <c r="E220" s="509">
        <f t="shared" si="3"/>
        <v>215</v>
      </c>
      <c r="F220" s="4" t="s">
        <v>1265</v>
      </c>
      <c r="G220" s="5"/>
      <c r="H220" s="5"/>
      <c r="I220" s="6"/>
      <c r="J220" s="7" t="s">
        <v>45</v>
      </c>
      <c r="K220" s="9">
        <v>42000</v>
      </c>
      <c r="L220" s="510"/>
    </row>
    <row r="221" spans="5:13" ht="15" customHeight="1">
      <c r="E221" s="509">
        <f t="shared" si="3"/>
        <v>216</v>
      </c>
      <c r="F221" s="4" t="s">
        <v>404</v>
      </c>
      <c r="G221" s="5"/>
      <c r="H221" s="5"/>
      <c r="I221" s="6"/>
      <c r="J221" s="7" t="s">
        <v>405</v>
      </c>
      <c r="K221" s="9">
        <v>25000</v>
      </c>
      <c r="L221" s="510"/>
    </row>
    <row r="222" spans="5:13" ht="15" customHeight="1">
      <c r="E222" s="509">
        <f t="shared" si="3"/>
        <v>217</v>
      </c>
      <c r="F222" s="4" t="s">
        <v>1307</v>
      </c>
      <c r="G222" s="5"/>
      <c r="H222" s="5"/>
      <c r="I222" s="6"/>
      <c r="J222" s="7" t="s">
        <v>44</v>
      </c>
      <c r="K222" s="9">
        <v>1633500</v>
      </c>
      <c r="L222" s="510"/>
    </row>
    <row r="223" spans="5:13" ht="15" customHeight="1">
      <c r="E223" s="509">
        <f t="shared" si="3"/>
        <v>218</v>
      </c>
      <c r="F223" s="4" t="s">
        <v>450</v>
      </c>
      <c r="G223" s="5"/>
      <c r="H223" s="5"/>
      <c r="I223" s="6"/>
      <c r="J223" s="7" t="s">
        <v>202</v>
      </c>
      <c r="K223" s="9">
        <v>255000</v>
      </c>
      <c r="L223" s="510"/>
    </row>
    <row r="224" spans="5:13" ht="15" customHeight="1">
      <c r="E224" s="509">
        <f t="shared" si="3"/>
        <v>219</v>
      </c>
      <c r="F224" s="4" t="s">
        <v>572</v>
      </c>
      <c r="G224" s="5"/>
      <c r="H224" s="5"/>
      <c r="I224" s="6"/>
      <c r="J224" s="7" t="s">
        <v>33</v>
      </c>
      <c r="K224" s="9">
        <v>571500</v>
      </c>
      <c r="L224" s="510"/>
    </row>
    <row r="225" spans="5:12" ht="15" customHeight="1">
      <c r="E225" s="509">
        <f t="shared" si="3"/>
        <v>220</v>
      </c>
      <c r="F225" s="4" t="s">
        <v>549</v>
      </c>
      <c r="G225" s="5"/>
      <c r="H225" s="5"/>
      <c r="I225" s="6"/>
      <c r="J225" s="7" t="s">
        <v>23</v>
      </c>
      <c r="K225" s="9">
        <v>676500</v>
      </c>
      <c r="L225" s="510"/>
    </row>
    <row r="226" spans="5:12" ht="15" customHeight="1">
      <c r="E226" s="509">
        <f t="shared" si="3"/>
        <v>221</v>
      </c>
      <c r="F226" s="4" t="s">
        <v>552</v>
      </c>
      <c r="G226" s="5"/>
      <c r="H226" s="5"/>
      <c r="I226" s="6"/>
      <c r="J226" s="7" t="s">
        <v>23</v>
      </c>
      <c r="K226" s="9">
        <v>630000</v>
      </c>
      <c r="L226" s="510"/>
    </row>
    <row r="227" spans="5:12" ht="15" customHeight="1">
      <c r="E227" s="509">
        <f t="shared" si="3"/>
        <v>222</v>
      </c>
      <c r="F227" s="4" t="s">
        <v>1497</v>
      </c>
      <c r="G227" s="5"/>
      <c r="H227" s="5"/>
      <c r="I227" s="6"/>
      <c r="J227" s="7" t="s">
        <v>33</v>
      </c>
      <c r="K227" s="10"/>
      <c r="L227" s="510"/>
    </row>
    <row r="228" spans="5:12" ht="15" customHeight="1">
      <c r="E228" s="509">
        <f t="shared" si="3"/>
        <v>223</v>
      </c>
      <c r="F228" s="4" t="s">
        <v>1509</v>
      </c>
      <c r="G228" s="5"/>
      <c r="H228" s="5"/>
      <c r="I228" s="6"/>
      <c r="J228" s="7" t="s">
        <v>33</v>
      </c>
      <c r="K228" s="9"/>
      <c r="L228" s="510"/>
    </row>
    <row r="229" spans="5:12" ht="15" customHeight="1">
      <c r="E229" s="509">
        <f t="shared" si="3"/>
        <v>224</v>
      </c>
      <c r="F229" s="4" t="s">
        <v>1510</v>
      </c>
      <c r="G229" s="5"/>
      <c r="H229" s="5"/>
      <c r="I229" s="6"/>
      <c r="J229" s="7" t="s">
        <v>33</v>
      </c>
      <c r="K229" s="9"/>
      <c r="L229" s="510"/>
    </row>
    <row r="230" spans="5:12" ht="15" customHeight="1">
      <c r="E230" s="509">
        <f t="shared" si="3"/>
        <v>225</v>
      </c>
      <c r="F230" s="4" t="s">
        <v>1511</v>
      </c>
      <c r="G230" s="5"/>
      <c r="H230" s="5"/>
      <c r="I230" s="6"/>
      <c r="J230" s="7" t="s">
        <v>33</v>
      </c>
      <c r="K230" s="9"/>
      <c r="L230" s="510"/>
    </row>
    <row r="231" spans="5:12" ht="15" customHeight="1">
      <c r="E231" s="509">
        <f t="shared" si="3"/>
        <v>226</v>
      </c>
      <c r="F231" s="4" t="s">
        <v>1498</v>
      </c>
      <c r="G231" s="5"/>
      <c r="H231" s="5"/>
      <c r="I231" s="6"/>
      <c r="J231" s="7" t="s">
        <v>33</v>
      </c>
      <c r="K231" s="10"/>
      <c r="L231" s="510"/>
    </row>
    <row r="232" spans="5:12" ht="15" customHeight="1">
      <c r="E232" s="509">
        <f t="shared" si="3"/>
        <v>227</v>
      </c>
      <c r="F232" s="4" t="s">
        <v>1499</v>
      </c>
      <c r="G232" s="5"/>
      <c r="H232" s="5"/>
      <c r="I232" s="6"/>
      <c r="J232" s="7" t="s">
        <v>33</v>
      </c>
      <c r="K232" s="10"/>
      <c r="L232" s="510"/>
    </row>
    <row r="233" spans="5:12" ht="15" customHeight="1">
      <c r="E233" s="509">
        <f t="shared" si="3"/>
        <v>228</v>
      </c>
      <c r="F233" s="4" t="s">
        <v>1500</v>
      </c>
      <c r="G233" s="5"/>
      <c r="H233" s="5"/>
      <c r="I233" s="6"/>
      <c r="J233" s="7" t="s">
        <v>33</v>
      </c>
      <c r="K233" s="10"/>
      <c r="L233" s="510"/>
    </row>
    <row r="234" spans="5:12" ht="15" customHeight="1">
      <c r="E234" s="509">
        <f t="shared" si="3"/>
        <v>229</v>
      </c>
      <c r="F234" s="4" t="s">
        <v>1501</v>
      </c>
      <c r="G234" s="5"/>
      <c r="H234" s="5"/>
      <c r="I234" s="6"/>
      <c r="J234" s="7" t="s">
        <v>33</v>
      </c>
      <c r="K234" s="10"/>
      <c r="L234" s="510"/>
    </row>
    <row r="235" spans="5:12" ht="15" customHeight="1">
      <c r="E235" s="509">
        <f t="shared" si="3"/>
        <v>230</v>
      </c>
      <c r="F235" s="4" t="s">
        <v>1502</v>
      </c>
      <c r="G235" s="5"/>
      <c r="H235" s="5"/>
      <c r="I235" s="6"/>
      <c r="J235" s="7" t="s">
        <v>33</v>
      </c>
      <c r="K235" s="10"/>
      <c r="L235" s="510"/>
    </row>
    <row r="236" spans="5:12" ht="15" customHeight="1">
      <c r="E236" s="509">
        <f t="shared" si="3"/>
        <v>231</v>
      </c>
      <c r="F236" s="4" t="s">
        <v>1503</v>
      </c>
      <c r="G236" s="5"/>
      <c r="H236" s="5"/>
      <c r="I236" s="6"/>
      <c r="J236" s="7" t="s">
        <v>33</v>
      </c>
      <c r="K236" s="10"/>
      <c r="L236" s="510"/>
    </row>
    <row r="237" spans="5:12" ht="15" customHeight="1">
      <c r="E237" s="509">
        <f t="shared" si="3"/>
        <v>232</v>
      </c>
      <c r="F237" s="4" t="s">
        <v>1504</v>
      </c>
      <c r="G237" s="5"/>
      <c r="H237" s="5"/>
      <c r="I237" s="6"/>
      <c r="J237" s="7" t="s">
        <v>33</v>
      </c>
      <c r="K237" s="10"/>
      <c r="L237" s="510"/>
    </row>
    <row r="238" spans="5:12" ht="15" customHeight="1">
      <c r="E238" s="509">
        <f t="shared" si="3"/>
        <v>233</v>
      </c>
      <c r="F238" s="4" t="s">
        <v>1505</v>
      </c>
      <c r="G238" s="5"/>
      <c r="H238" s="5"/>
      <c r="I238" s="6"/>
      <c r="J238" s="7" t="s">
        <v>33</v>
      </c>
      <c r="K238" s="10"/>
      <c r="L238" s="510"/>
    </row>
    <row r="239" spans="5:12" ht="15" customHeight="1">
      <c r="E239" s="509">
        <f t="shared" si="3"/>
        <v>234</v>
      </c>
      <c r="F239" s="4" t="s">
        <v>1506</v>
      </c>
      <c r="G239" s="5"/>
      <c r="H239" s="5"/>
      <c r="I239" s="6"/>
      <c r="J239" s="7" t="s">
        <v>33</v>
      </c>
      <c r="K239" s="9"/>
      <c r="L239" s="510"/>
    </row>
    <row r="240" spans="5:12" ht="15" customHeight="1">
      <c r="E240" s="509">
        <f t="shared" si="3"/>
        <v>235</v>
      </c>
      <c r="F240" s="4" t="s">
        <v>1496</v>
      </c>
      <c r="G240" s="5"/>
      <c r="H240" s="5"/>
      <c r="I240" s="6"/>
      <c r="J240" s="7" t="s">
        <v>33</v>
      </c>
      <c r="K240" s="10"/>
      <c r="L240" s="510"/>
    </row>
    <row r="241" spans="5:12" ht="15" customHeight="1">
      <c r="E241" s="509">
        <f t="shared" si="3"/>
        <v>236</v>
      </c>
      <c r="F241" s="4" t="s">
        <v>1507</v>
      </c>
      <c r="G241" s="5"/>
      <c r="H241" s="5"/>
      <c r="I241" s="6"/>
      <c r="J241" s="7" t="s">
        <v>33</v>
      </c>
      <c r="K241" s="9"/>
      <c r="L241" s="510"/>
    </row>
    <row r="242" spans="5:12" ht="15" customHeight="1">
      <c r="E242" s="509">
        <f t="shared" si="3"/>
        <v>237</v>
      </c>
      <c r="F242" s="4" t="s">
        <v>1508</v>
      </c>
      <c r="G242" s="5"/>
      <c r="H242" s="5"/>
      <c r="I242" s="6"/>
      <c r="J242" s="7" t="s">
        <v>33</v>
      </c>
      <c r="K242" s="9"/>
      <c r="L242" s="510"/>
    </row>
    <row r="243" spans="5:12" ht="15" customHeight="1">
      <c r="E243" s="509">
        <f t="shared" si="3"/>
        <v>238</v>
      </c>
      <c r="F243" s="4" t="s">
        <v>1429</v>
      </c>
      <c r="G243" s="5"/>
      <c r="H243" s="5"/>
      <c r="I243" s="6"/>
      <c r="J243" s="7" t="s">
        <v>221</v>
      </c>
      <c r="K243" s="9">
        <v>64900</v>
      </c>
      <c r="L243" s="510"/>
    </row>
    <row r="244" spans="5:12" ht="15" customHeight="1">
      <c r="E244" s="509">
        <f t="shared" si="3"/>
        <v>239</v>
      </c>
      <c r="F244" s="4" t="s">
        <v>1579</v>
      </c>
      <c r="G244" s="5"/>
      <c r="H244" s="5"/>
      <c r="I244" s="6"/>
      <c r="J244" s="7" t="s">
        <v>93</v>
      </c>
      <c r="K244" s="9">
        <v>6140</v>
      </c>
      <c r="L244" s="510"/>
    </row>
    <row r="245" spans="5:12" ht="15" customHeight="1">
      <c r="E245" s="509">
        <f t="shared" si="3"/>
        <v>240</v>
      </c>
      <c r="F245" s="4" t="s">
        <v>1480</v>
      </c>
      <c r="G245" s="5"/>
      <c r="H245" s="5"/>
      <c r="I245" s="6"/>
      <c r="J245" s="7" t="s">
        <v>33</v>
      </c>
      <c r="K245" s="9"/>
      <c r="L245" s="510"/>
    </row>
    <row r="246" spans="5:12" ht="15" customHeight="1">
      <c r="E246" s="509">
        <f t="shared" si="3"/>
        <v>241</v>
      </c>
      <c r="F246" s="4" t="s">
        <v>1493</v>
      </c>
      <c r="G246" s="5"/>
      <c r="H246" s="5"/>
      <c r="I246" s="6"/>
      <c r="J246" s="7" t="s">
        <v>33</v>
      </c>
      <c r="K246" s="9"/>
      <c r="L246" s="510"/>
    </row>
    <row r="247" spans="5:12" ht="15" customHeight="1">
      <c r="E247" s="509">
        <f t="shared" si="3"/>
        <v>242</v>
      </c>
      <c r="F247" s="4" t="s">
        <v>1494</v>
      </c>
      <c r="G247" s="5"/>
      <c r="H247" s="5"/>
      <c r="I247" s="6"/>
      <c r="J247" s="7" t="s">
        <v>33</v>
      </c>
      <c r="K247" s="9"/>
      <c r="L247" s="510"/>
    </row>
    <row r="248" spans="5:12" ht="15" customHeight="1">
      <c r="E248" s="509">
        <f t="shared" si="3"/>
        <v>243</v>
      </c>
      <c r="F248" s="4" t="s">
        <v>1495</v>
      </c>
      <c r="G248" s="5"/>
      <c r="H248" s="5"/>
      <c r="I248" s="6"/>
      <c r="J248" s="7" t="s">
        <v>33</v>
      </c>
      <c r="K248" s="9"/>
      <c r="L248" s="510"/>
    </row>
    <row r="249" spans="5:12" ht="15" customHeight="1">
      <c r="E249" s="509">
        <f t="shared" si="3"/>
        <v>244</v>
      </c>
      <c r="F249" s="4" t="s">
        <v>1481</v>
      </c>
      <c r="G249" s="5"/>
      <c r="H249" s="5"/>
      <c r="I249" s="6"/>
      <c r="J249" s="7" t="s">
        <v>33</v>
      </c>
      <c r="K249" s="9"/>
      <c r="L249" s="510"/>
    </row>
    <row r="250" spans="5:12" ht="15" customHeight="1">
      <c r="E250" s="509">
        <f t="shared" si="3"/>
        <v>245</v>
      </c>
      <c r="F250" s="4" t="s">
        <v>1482</v>
      </c>
      <c r="G250" s="5"/>
      <c r="H250" s="5"/>
      <c r="I250" s="6"/>
      <c r="J250" s="7" t="s">
        <v>33</v>
      </c>
      <c r="K250" s="9"/>
      <c r="L250" s="510"/>
    </row>
    <row r="251" spans="5:12" ht="15" customHeight="1">
      <c r="E251" s="509">
        <f t="shared" si="3"/>
        <v>246</v>
      </c>
      <c r="F251" s="4" t="s">
        <v>1483</v>
      </c>
      <c r="G251" s="5"/>
      <c r="H251" s="5"/>
      <c r="I251" s="6"/>
      <c r="J251" s="7" t="s">
        <v>20</v>
      </c>
      <c r="K251" s="9"/>
      <c r="L251" s="510"/>
    </row>
    <row r="252" spans="5:12" ht="15" customHeight="1">
      <c r="E252" s="509">
        <f t="shared" si="3"/>
        <v>247</v>
      </c>
      <c r="F252" s="4" t="s">
        <v>1484</v>
      </c>
      <c r="G252" s="5"/>
      <c r="H252" s="5"/>
      <c r="I252" s="6"/>
      <c r="J252" s="7" t="s">
        <v>20</v>
      </c>
      <c r="K252" s="9"/>
      <c r="L252" s="510"/>
    </row>
    <row r="253" spans="5:12" ht="15" customHeight="1">
      <c r="E253" s="509">
        <f t="shared" si="3"/>
        <v>248</v>
      </c>
      <c r="F253" s="4" t="s">
        <v>1485</v>
      </c>
      <c r="G253" s="5"/>
      <c r="H253" s="5"/>
      <c r="I253" s="6"/>
      <c r="J253" s="7" t="s">
        <v>33</v>
      </c>
      <c r="K253" s="9"/>
      <c r="L253" s="510"/>
    </row>
    <row r="254" spans="5:12" ht="15" customHeight="1">
      <c r="E254" s="509">
        <f t="shared" si="3"/>
        <v>249</v>
      </c>
      <c r="F254" s="4" t="s">
        <v>1486</v>
      </c>
      <c r="G254" s="5"/>
      <c r="H254" s="5"/>
      <c r="I254" s="6"/>
      <c r="J254" s="7" t="s">
        <v>33</v>
      </c>
      <c r="K254" s="9"/>
      <c r="L254" s="510"/>
    </row>
    <row r="255" spans="5:12" ht="15" customHeight="1">
      <c r="E255" s="509">
        <f t="shared" si="3"/>
        <v>250</v>
      </c>
      <c r="F255" s="4" t="s">
        <v>1488</v>
      </c>
      <c r="G255" s="5"/>
      <c r="H255" s="5"/>
      <c r="I255" s="6"/>
      <c r="J255" s="7" t="s">
        <v>33</v>
      </c>
      <c r="K255" s="9"/>
      <c r="L255" s="510"/>
    </row>
    <row r="256" spans="5:12" ht="15" customHeight="1">
      <c r="E256" s="509">
        <f t="shared" si="3"/>
        <v>251</v>
      </c>
      <c r="F256" s="4" t="s">
        <v>1489</v>
      </c>
      <c r="G256" s="5"/>
      <c r="H256" s="5"/>
      <c r="I256" s="6"/>
      <c r="J256" s="7" t="s">
        <v>33</v>
      </c>
      <c r="K256" s="9"/>
      <c r="L256" s="510"/>
    </row>
    <row r="257" spans="5:12" ht="15" customHeight="1">
      <c r="E257" s="509">
        <f t="shared" si="3"/>
        <v>252</v>
      </c>
      <c r="F257" s="4" t="s">
        <v>1490</v>
      </c>
      <c r="G257" s="5"/>
      <c r="H257" s="5"/>
      <c r="I257" s="6"/>
      <c r="J257" s="7" t="s">
        <v>33</v>
      </c>
      <c r="K257" s="9"/>
      <c r="L257" s="510"/>
    </row>
    <row r="258" spans="5:12" ht="15" customHeight="1">
      <c r="E258" s="509">
        <f t="shared" si="3"/>
        <v>253</v>
      </c>
      <c r="F258" s="4" t="s">
        <v>1491</v>
      </c>
      <c r="G258" s="5"/>
      <c r="H258" s="5"/>
      <c r="I258" s="6"/>
      <c r="J258" s="7" t="s">
        <v>33</v>
      </c>
      <c r="K258" s="9"/>
      <c r="L258" s="510"/>
    </row>
    <row r="259" spans="5:12" ht="15" customHeight="1">
      <c r="E259" s="509">
        <f t="shared" si="3"/>
        <v>254</v>
      </c>
      <c r="F259" s="4" t="s">
        <v>1492</v>
      </c>
      <c r="G259" s="5"/>
      <c r="H259" s="5"/>
      <c r="I259" s="6"/>
      <c r="J259" s="7" t="s">
        <v>33</v>
      </c>
      <c r="K259" s="9"/>
      <c r="L259" s="510"/>
    </row>
    <row r="260" spans="5:12" ht="15" customHeight="1">
      <c r="E260" s="509">
        <f t="shared" si="3"/>
        <v>255</v>
      </c>
      <c r="F260" s="4" t="s">
        <v>1378</v>
      </c>
      <c r="G260" s="5"/>
      <c r="H260" s="5"/>
      <c r="I260" s="6"/>
      <c r="J260" s="7" t="s">
        <v>20</v>
      </c>
      <c r="K260" s="9">
        <v>30000</v>
      </c>
      <c r="L260" s="510"/>
    </row>
    <row r="261" spans="5:12" ht="15" customHeight="1">
      <c r="E261" s="509">
        <f t="shared" si="3"/>
        <v>256</v>
      </c>
      <c r="F261" s="4" t="s">
        <v>1388</v>
      </c>
      <c r="G261" s="5"/>
      <c r="H261" s="5"/>
      <c r="I261" s="6"/>
      <c r="J261" s="7" t="s">
        <v>20</v>
      </c>
      <c r="K261" s="9">
        <v>35000</v>
      </c>
      <c r="L261" s="510"/>
    </row>
    <row r="262" spans="5:12" ht="15" customHeight="1">
      <c r="E262" s="509">
        <f t="shared" si="3"/>
        <v>257</v>
      </c>
      <c r="F262" s="4" t="s">
        <v>1391</v>
      </c>
      <c r="G262" s="5"/>
      <c r="H262" s="5"/>
      <c r="I262" s="6"/>
      <c r="J262" s="7" t="s">
        <v>20</v>
      </c>
      <c r="K262" s="9">
        <v>79350</v>
      </c>
      <c r="L262" s="510"/>
    </row>
    <row r="263" spans="5:12" ht="15" customHeight="1">
      <c r="E263" s="509">
        <f t="shared" si="3"/>
        <v>258</v>
      </c>
      <c r="F263" s="4" t="s">
        <v>1385</v>
      </c>
      <c r="G263" s="5"/>
      <c r="H263" s="5"/>
      <c r="I263" s="6"/>
      <c r="J263" s="7" t="s">
        <v>20</v>
      </c>
      <c r="K263" s="9">
        <v>32000</v>
      </c>
      <c r="L263" s="510"/>
    </row>
    <row r="264" spans="5:12" ht="15" customHeight="1">
      <c r="E264" s="509">
        <f t="shared" si="3"/>
        <v>259</v>
      </c>
      <c r="F264" s="4" t="s">
        <v>1394</v>
      </c>
      <c r="G264" s="5"/>
      <c r="H264" s="5"/>
      <c r="I264" s="6"/>
      <c r="J264" s="7" t="s">
        <v>20</v>
      </c>
      <c r="K264" s="10">
        <v>235750</v>
      </c>
      <c r="L264" s="510"/>
    </row>
    <row r="265" spans="5:12" ht="15" customHeight="1">
      <c r="E265" s="509">
        <f t="shared" si="3"/>
        <v>260</v>
      </c>
      <c r="F265" s="4" t="s">
        <v>1397</v>
      </c>
      <c r="G265" s="5"/>
      <c r="H265" s="5"/>
      <c r="I265" s="6"/>
      <c r="J265" s="7" t="s">
        <v>20</v>
      </c>
      <c r="K265" s="10">
        <v>448500</v>
      </c>
      <c r="L265" s="510"/>
    </row>
    <row r="266" spans="5:12" ht="15" customHeight="1">
      <c r="E266" s="509">
        <f t="shared" si="3"/>
        <v>261</v>
      </c>
      <c r="F266" s="4" t="s">
        <v>1465</v>
      </c>
      <c r="G266" s="5"/>
      <c r="H266" s="5"/>
      <c r="I266" s="6"/>
      <c r="J266" s="7" t="s">
        <v>33</v>
      </c>
      <c r="K266" s="9"/>
      <c r="L266" s="510"/>
    </row>
    <row r="267" spans="5:12" ht="15" customHeight="1">
      <c r="E267" s="509">
        <f t="shared" si="3"/>
        <v>262</v>
      </c>
      <c r="F267" s="4" t="s">
        <v>1477</v>
      </c>
      <c r="G267" s="5"/>
      <c r="H267" s="5"/>
      <c r="I267" s="6"/>
      <c r="J267" s="7" t="s">
        <v>33</v>
      </c>
      <c r="K267" s="9"/>
      <c r="L267" s="510"/>
    </row>
    <row r="268" spans="5:12" ht="15" customHeight="1">
      <c r="E268" s="509">
        <f t="shared" si="3"/>
        <v>263</v>
      </c>
      <c r="F268" s="4" t="s">
        <v>1478</v>
      </c>
      <c r="G268" s="5"/>
      <c r="H268" s="5"/>
      <c r="I268" s="6"/>
      <c r="J268" s="7" t="s">
        <v>33</v>
      </c>
      <c r="K268" s="9"/>
      <c r="L268" s="510"/>
    </row>
    <row r="269" spans="5:12" ht="15" customHeight="1">
      <c r="E269" s="509">
        <f t="shared" si="3"/>
        <v>264</v>
      </c>
      <c r="F269" s="4" t="s">
        <v>1479</v>
      </c>
      <c r="G269" s="5"/>
      <c r="H269" s="5"/>
      <c r="I269" s="6"/>
      <c r="J269" s="7" t="s">
        <v>33</v>
      </c>
      <c r="K269" s="9"/>
      <c r="L269" s="510"/>
    </row>
    <row r="270" spans="5:12" ht="15" customHeight="1">
      <c r="E270" s="509">
        <f t="shared" si="3"/>
        <v>265</v>
      </c>
      <c r="F270" s="4" t="s">
        <v>1466</v>
      </c>
      <c r="G270" s="5"/>
      <c r="H270" s="5"/>
      <c r="I270" s="6"/>
      <c r="J270" s="7" t="s">
        <v>33</v>
      </c>
      <c r="K270" s="9"/>
      <c r="L270" s="510"/>
    </row>
    <row r="271" spans="5:12" ht="15" customHeight="1">
      <c r="E271" s="509">
        <f t="shared" ref="E271:E334" si="4">E270+1</f>
        <v>266</v>
      </c>
      <c r="F271" s="4" t="s">
        <v>1467</v>
      </c>
      <c r="G271" s="5"/>
      <c r="H271" s="5"/>
      <c r="I271" s="6"/>
      <c r="J271" s="7" t="s">
        <v>33</v>
      </c>
      <c r="K271" s="9"/>
      <c r="L271" s="510"/>
    </row>
    <row r="272" spans="5:12" ht="15" customHeight="1">
      <c r="E272" s="509">
        <f t="shared" si="4"/>
        <v>267</v>
      </c>
      <c r="F272" s="4" t="s">
        <v>1468</v>
      </c>
      <c r="G272" s="5"/>
      <c r="H272" s="5"/>
      <c r="I272" s="6"/>
      <c r="J272" s="7" t="s">
        <v>33</v>
      </c>
      <c r="K272" s="9"/>
      <c r="L272" s="510"/>
    </row>
    <row r="273" spans="5:15" ht="15" customHeight="1">
      <c r="E273" s="509">
        <f t="shared" si="4"/>
        <v>268</v>
      </c>
      <c r="F273" s="4" t="s">
        <v>1469</v>
      </c>
      <c r="G273" s="5"/>
      <c r="H273" s="5"/>
      <c r="I273" s="6"/>
      <c r="J273" s="7" t="s">
        <v>33</v>
      </c>
      <c r="K273" s="9"/>
      <c r="L273" s="510"/>
    </row>
    <row r="274" spans="5:15" ht="15" customHeight="1">
      <c r="E274" s="509">
        <f t="shared" si="4"/>
        <v>269</v>
      </c>
      <c r="F274" s="4" t="s">
        <v>1470</v>
      </c>
      <c r="G274" s="5"/>
      <c r="H274" s="5"/>
      <c r="I274" s="6"/>
      <c r="J274" s="7" t="s">
        <v>33</v>
      </c>
      <c r="K274" s="9"/>
      <c r="L274" s="510"/>
    </row>
    <row r="275" spans="5:15" ht="15" customHeight="1">
      <c r="E275" s="509">
        <f t="shared" si="4"/>
        <v>270</v>
      </c>
      <c r="F275" s="4" t="s">
        <v>1471</v>
      </c>
      <c r="G275" s="5"/>
      <c r="H275" s="5"/>
      <c r="I275" s="6"/>
      <c r="J275" s="7" t="s">
        <v>33</v>
      </c>
      <c r="K275" s="9"/>
      <c r="L275" s="510"/>
    </row>
    <row r="276" spans="5:15" ht="15" customHeight="1">
      <c r="E276" s="509">
        <f t="shared" si="4"/>
        <v>271</v>
      </c>
      <c r="F276" s="4" t="s">
        <v>1472</v>
      </c>
      <c r="G276" s="5"/>
      <c r="H276" s="5"/>
      <c r="I276" s="6"/>
      <c r="J276" s="7" t="s">
        <v>33</v>
      </c>
      <c r="K276" s="9"/>
      <c r="L276" s="510"/>
    </row>
    <row r="277" spans="5:15" ht="15" customHeight="1">
      <c r="E277" s="509">
        <f t="shared" si="4"/>
        <v>272</v>
      </c>
      <c r="F277" s="4" t="s">
        <v>1473</v>
      </c>
      <c r="G277" s="5"/>
      <c r="H277" s="5"/>
      <c r="I277" s="6"/>
      <c r="J277" s="7" t="s">
        <v>33</v>
      </c>
      <c r="K277" s="9"/>
      <c r="L277" s="510"/>
    </row>
    <row r="278" spans="5:15" ht="15" customHeight="1">
      <c r="E278" s="509">
        <f t="shared" si="4"/>
        <v>273</v>
      </c>
      <c r="F278" s="4" t="s">
        <v>1474</v>
      </c>
      <c r="G278" s="5"/>
      <c r="H278" s="5"/>
      <c r="I278" s="6"/>
      <c r="J278" s="7" t="s">
        <v>33</v>
      </c>
      <c r="K278" s="9"/>
      <c r="L278" s="510"/>
    </row>
    <row r="279" spans="5:15" ht="15" customHeight="1">
      <c r="E279" s="509">
        <f t="shared" si="4"/>
        <v>274</v>
      </c>
      <c r="F279" s="4" t="s">
        <v>1464</v>
      </c>
      <c r="G279" s="5"/>
      <c r="H279" s="5"/>
      <c r="I279" s="6"/>
      <c r="J279" s="7" t="s">
        <v>33</v>
      </c>
      <c r="K279" s="9"/>
      <c r="L279" s="510"/>
    </row>
    <row r="280" spans="5:15" ht="15" customHeight="1">
      <c r="E280" s="509">
        <f t="shared" si="4"/>
        <v>275</v>
      </c>
      <c r="F280" s="4" t="s">
        <v>1475</v>
      </c>
      <c r="G280" s="5"/>
      <c r="H280" s="5"/>
      <c r="I280" s="6"/>
      <c r="J280" s="7" t="s">
        <v>33</v>
      </c>
      <c r="K280" s="9"/>
      <c r="L280" s="510"/>
    </row>
    <row r="281" spans="5:15" ht="15" customHeight="1">
      <c r="E281" s="509">
        <f t="shared" si="4"/>
        <v>276</v>
      </c>
      <c r="F281" s="4" t="s">
        <v>1476</v>
      </c>
      <c r="G281" s="5"/>
      <c r="H281" s="5"/>
      <c r="I281" s="6"/>
      <c r="J281" s="7" t="s">
        <v>33</v>
      </c>
      <c r="K281" s="9"/>
      <c r="L281" s="510"/>
    </row>
    <row r="282" spans="5:15" ht="15" customHeight="1">
      <c r="E282" s="509">
        <f t="shared" si="4"/>
        <v>277</v>
      </c>
      <c r="F282" s="4" t="s">
        <v>1450</v>
      </c>
      <c r="G282" s="5"/>
      <c r="H282" s="5"/>
      <c r="I282" s="6"/>
      <c r="J282" s="7" t="s">
        <v>33</v>
      </c>
      <c r="K282" s="9"/>
      <c r="L282" s="510"/>
    </row>
    <row r="283" spans="5:15" ht="15" customHeight="1">
      <c r="E283" s="509">
        <f t="shared" si="4"/>
        <v>278</v>
      </c>
      <c r="F283" s="4" t="s">
        <v>1516</v>
      </c>
      <c r="G283" s="5"/>
      <c r="H283" s="5"/>
      <c r="I283" s="6"/>
      <c r="J283" s="7" t="s">
        <v>36</v>
      </c>
      <c r="K283" s="9"/>
      <c r="L283" s="510"/>
    </row>
    <row r="284" spans="5:15" ht="15" customHeight="1">
      <c r="E284" s="509">
        <f t="shared" si="4"/>
        <v>279</v>
      </c>
      <c r="F284" s="4" t="s">
        <v>1461</v>
      </c>
      <c r="G284" s="5"/>
      <c r="H284" s="5"/>
      <c r="I284" s="6"/>
      <c r="J284" s="7" t="s">
        <v>33</v>
      </c>
      <c r="K284" s="9"/>
      <c r="L284" s="510"/>
    </row>
    <row r="285" spans="5:15" ht="15" customHeight="1">
      <c r="E285" s="509">
        <f t="shared" si="4"/>
        <v>280</v>
      </c>
      <c r="F285" s="4" t="s">
        <v>1517</v>
      </c>
      <c r="G285" s="5"/>
      <c r="H285" s="5"/>
      <c r="I285" s="6"/>
      <c r="J285" s="7" t="s">
        <v>36</v>
      </c>
      <c r="K285" s="9"/>
      <c r="L285" s="510"/>
    </row>
    <row r="286" spans="5:15" ht="15" customHeight="1">
      <c r="E286" s="509">
        <f t="shared" si="4"/>
        <v>281</v>
      </c>
      <c r="F286" s="4" t="s">
        <v>1462</v>
      </c>
      <c r="G286" s="5"/>
      <c r="H286" s="5"/>
      <c r="I286" s="6"/>
      <c r="J286" s="7" t="s">
        <v>33</v>
      </c>
      <c r="K286" s="9"/>
      <c r="L286" s="510"/>
    </row>
    <row r="287" spans="5:15" ht="15" customHeight="1">
      <c r="E287" s="509">
        <f t="shared" si="4"/>
        <v>282</v>
      </c>
      <c r="F287" s="4" t="s">
        <v>1463</v>
      </c>
      <c r="G287" s="5"/>
      <c r="H287" s="5"/>
      <c r="I287" s="6"/>
      <c r="J287" s="7" t="s">
        <v>33</v>
      </c>
      <c r="K287" s="9"/>
      <c r="L287" s="510"/>
    </row>
    <row r="288" spans="5:15" ht="15" customHeight="1">
      <c r="E288" s="509">
        <f t="shared" si="4"/>
        <v>283</v>
      </c>
      <c r="F288" s="4" t="s">
        <v>1451</v>
      </c>
      <c r="G288" s="5"/>
      <c r="H288" s="5"/>
      <c r="I288" s="6"/>
      <c r="J288" s="7" t="s">
        <v>33</v>
      </c>
      <c r="K288" s="11"/>
      <c r="L288" s="510"/>
      <c r="O288" s="92"/>
    </row>
    <row r="289" spans="5:15" ht="15" customHeight="1">
      <c r="E289" s="509">
        <f t="shared" si="4"/>
        <v>284</v>
      </c>
      <c r="F289" s="4" t="s">
        <v>1452</v>
      </c>
      <c r="G289" s="5"/>
      <c r="H289" s="5"/>
      <c r="I289" s="6"/>
      <c r="J289" s="7" t="s">
        <v>33</v>
      </c>
      <c r="K289" s="12"/>
      <c r="L289" s="510"/>
      <c r="O289" s="93"/>
    </row>
    <row r="290" spans="5:15" ht="15" customHeight="1">
      <c r="E290" s="509">
        <f t="shared" si="4"/>
        <v>285</v>
      </c>
      <c r="F290" s="4" t="s">
        <v>1453</v>
      </c>
      <c r="G290" s="5"/>
      <c r="H290" s="5"/>
      <c r="I290" s="6"/>
      <c r="J290" s="7" t="s">
        <v>33</v>
      </c>
      <c r="K290" s="12"/>
      <c r="L290" s="510"/>
      <c r="O290" s="92"/>
    </row>
    <row r="291" spans="5:15" ht="15" customHeight="1">
      <c r="E291" s="509">
        <f t="shared" si="4"/>
        <v>286</v>
      </c>
      <c r="F291" s="4" t="s">
        <v>1454</v>
      </c>
      <c r="G291" s="5"/>
      <c r="H291" s="5"/>
      <c r="I291" s="6"/>
      <c r="J291" s="7" t="s">
        <v>33</v>
      </c>
      <c r="K291" s="12"/>
      <c r="L291" s="510"/>
      <c r="O291" s="93"/>
    </row>
    <row r="292" spans="5:15" ht="15" customHeight="1">
      <c r="E292" s="509">
        <f t="shared" si="4"/>
        <v>287</v>
      </c>
      <c r="F292" s="4" t="s">
        <v>1455</v>
      </c>
      <c r="G292" s="5"/>
      <c r="H292" s="5"/>
      <c r="I292" s="6"/>
      <c r="J292" s="7" t="s">
        <v>33</v>
      </c>
      <c r="K292" s="12"/>
      <c r="L292" s="510"/>
      <c r="O292" s="92"/>
    </row>
    <row r="293" spans="5:15" ht="15" customHeight="1">
      <c r="E293" s="509">
        <f t="shared" si="4"/>
        <v>288</v>
      </c>
      <c r="F293" s="4" t="s">
        <v>1456</v>
      </c>
      <c r="G293" s="5"/>
      <c r="H293" s="5"/>
      <c r="I293" s="6"/>
      <c r="J293" s="7" t="s">
        <v>33</v>
      </c>
      <c r="K293" s="12"/>
      <c r="L293" s="510"/>
      <c r="O293" s="93"/>
    </row>
    <row r="294" spans="5:15" ht="15" customHeight="1">
      <c r="E294" s="509">
        <f t="shared" si="4"/>
        <v>289</v>
      </c>
      <c r="F294" s="4" t="s">
        <v>1457</v>
      </c>
      <c r="G294" s="5"/>
      <c r="H294" s="5"/>
      <c r="I294" s="6"/>
      <c r="J294" s="7" t="s">
        <v>33</v>
      </c>
      <c r="K294" s="11"/>
      <c r="L294" s="510"/>
      <c r="O294" s="93"/>
    </row>
    <row r="295" spans="5:15" ht="15" customHeight="1">
      <c r="E295" s="509">
        <f t="shared" si="4"/>
        <v>290</v>
      </c>
      <c r="F295" s="4" t="s">
        <v>1458</v>
      </c>
      <c r="G295" s="5"/>
      <c r="H295" s="5"/>
      <c r="I295" s="6"/>
      <c r="J295" s="7" t="s">
        <v>33</v>
      </c>
      <c r="K295" s="11"/>
      <c r="L295" s="510"/>
      <c r="O295" s="93"/>
    </row>
    <row r="296" spans="5:15" ht="15" customHeight="1">
      <c r="E296" s="509">
        <f t="shared" si="4"/>
        <v>291</v>
      </c>
      <c r="F296" s="4" t="s">
        <v>1515</v>
      </c>
      <c r="G296" s="5"/>
      <c r="H296" s="5"/>
      <c r="I296" s="6"/>
      <c r="J296" s="7" t="s">
        <v>33</v>
      </c>
      <c r="K296" s="11"/>
      <c r="L296" s="510"/>
      <c r="O296" s="93"/>
    </row>
    <row r="297" spans="5:15" ht="15" customHeight="1">
      <c r="E297" s="509">
        <f t="shared" si="4"/>
        <v>292</v>
      </c>
      <c r="F297" s="4" t="s">
        <v>1449</v>
      </c>
      <c r="G297" s="5"/>
      <c r="H297" s="5"/>
      <c r="I297" s="6"/>
      <c r="J297" s="7" t="s">
        <v>33</v>
      </c>
      <c r="K297" s="9"/>
      <c r="L297" s="510"/>
      <c r="O297" s="92"/>
    </row>
    <row r="298" spans="5:15" ht="15" customHeight="1">
      <c r="E298" s="509">
        <f t="shared" si="4"/>
        <v>293</v>
      </c>
      <c r="F298" s="4" t="s">
        <v>1459</v>
      </c>
      <c r="G298" s="5"/>
      <c r="H298" s="5"/>
      <c r="I298" s="6"/>
      <c r="J298" s="7" t="s">
        <v>33</v>
      </c>
      <c r="K298" s="11"/>
      <c r="L298" s="510"/>
      <c r="O298" s="92"/>
    </row>
    <row r="299" spans="5:15" ht="15" customHeight="1">
      <c r="E299" s="509">
        <f t="shared" si="4"/>
        <v>294</v>
      </c>
      <c r="F299" s="4" t="s">
        <v>1460</v>
      </c>
      <c r="G299" s="5"/>
      <c r="H299" s="5"/>
      <c r="I299" s="6"/>
      <c r="J299" s="7" t="s">
        <v>33</v>
      </c>
      <c r="K299" s="11"/>
      <c r="L299" s="510"/>
      <c r="O299" s="92"/>
    </row>
    <row r="300" spans="5:15" ht="15" customHeight="1">
      <c r="E300" s="509">
        <f>E299+1</f>
        <v>295</v>
      </c>
      <c r="F300" s="4" t="s">
        <v>1569</v>
      </c>
      <c r="G300" s="5"/>
      <c r="H300" s="5"/>
      <c r="I300" s="6"/>
      <c r="J300" s="7" t="s">
        <v>1570</v>
      </c>
      <c r="K300" s="9">
        <v>15380</v>
      </c>
      <c r="L300" s="510"/>
      <c r="O300" s="92"/>
    </row>
    <row r="301" spans="5:15" ht="15" customHeight="1">
      <c r="E301" s="509">
        <f t="shared" si="4"/>
        <v>296</v>
      </c>
      <c r="F301" s="4" t="s">
        <v>1551</v>
      </c>
      <c r="G301" s="5"/>
      <c r="H301" s="5"/>
      <c r="I301" s="6"/>
      <c r="J301" s="7" t="s">
        <v>36</v>
      </c>
      <c r="K301" s="9"/>
      <c r="L301" s="510"/>
      <c r="O301" s="92"/>
    </row>
    <row r="302" spans="5:15" ht="15" customHeight="1">
      <c r="E302" s="509">
        <f t="shared" si="4"/>
        <v>297</v>
      </c>
      <c r="F302" s="4" t="s">
        <v>1552</v>
      </c>
      <c r="G302" s="5"/>
      <c r="H302" s="5"/>
      <c r="I302" s="6"/>
      <c r="J302" s="7" t="s">
        <v>36</v>
      </c>
      <c r="K302" s="9"/>
      <c r="L302" s="510"/>
      <c r="O302" s="92"/>
    </row>
    <row r="303" spans="5:15" ht="15" customHeight="1">
      <c r="E303" s="509">
        <f t="shared" si="4"/>
        <v>298</v>
      </c>
      <c r="F303" s="4" t="s">
        <v>1553</v>
      </c>
      <c r="G303" s="5"/>
      <c r="H303" s="5"/>
      <c r="I303" s="6"/>
      <c r="J303" s="7" t="s">
        <v>36</v>
      </c>
      <c r="K303" s="9"/>
      <c r="L303" s="510"/>
      <c r="O303" s="92"/>
    </row>
    <row r="304" spans="5:15" ht="15" customHeight="1">
      <c r="E304" s="509">
        <f t="shared" si="4"/>
        <v>299</v>
      </c>
      <c r="F304" s="4" t="s">
        <v>1554</v>
      </c>
      <c r="G304" s="5"/>
      <c r="H304" s="5"/>
      <c r="I304" s="6"/>
      <c r="J304" s="7" t="s">
        <v>36</v>
      </c>
      <c r="K304" s="9"/>
      <c r="L304" s="510"/>
    </row>
    <row r="305" spans="5:12" ht="15" customHeight="1">
      <c r="E305" s="509">
        <f t="shared" si="4"/>
        <v>300</v>
      </c>
      <c r="F305" s="4" t="s">
        <v>1555</v>
      </c>
      <c r="G305" s="5"/>
      <c r="H305" s="5"/>
      <c r="I305" s="6"/>
      <c r="J305" s="7" t="s">
        <v>36</v>
      </c>
      <c r="K305" s="9"/>
      <c r="L305" s="510"/>
    </row>
    <row r="306" spans="5:12" ht="15" customHeight="1">
      <c r="E306" s="509">
        <f t="shared" si="4"/>
        <v>301</v>
      </c>
      <c r="F306" s="4" t="s">
        <v>1556</v>
      </c>
      <c r="G306" s="5"/>
      <c r="H306" s="5"/>
      <c r="I306" s="6"/>
      <c r="J306" s="7" t="s">
        <v>36</v>
      </c>
      <c r="K306" s="9"/>
      <c r="L306" s="510"/>
    </row>
    <row r="307" spans="5:12" ht="15" customHeight="1">
      <c r="E307" s="509">
        <f t="shared" si="4"/>
        <v>302</v>
      </c>
      <c r="F307" s="4" t="s">
        <v>1557</v>
      </c>
      <c r="G307" s="5"/>
      <c r="H307" s="5"/>
      <c r="I307" s="6"/>
      <c r="J307" s="7" t="s">
        <v>36</v>
      </c>
      <c r="K307" s="9"/>
      <c r="L307" s="510"/>
    </row>
    <row r="308" spans="5:12" ht="15" customHeight="1">
      <c r="E308" s="509">
        <f t="shared" si="4"/>
        <v>303</v>
      </c>
      <c r="F308" s="4" t="s">
        <v>1558</v>
      </c>
      <c r="G308" s="5"/>
      <c r="H308" s="5"/>
      <c r="I308" s="6"/>
      <c r="J308" s="7" t="s">
        <v>36</v>
      </c>
      <c r="K308" s="9"/>
      <c r="L308" s="510"/>
    </row>
    <row r="309" spans="5:12" ht="15" customHeight="1">
      <c r="E309" s="509">
        <f t="shared" si="4"/>
        <v>304</v>
      </c>
      <c r="F309" s="4" t="s">
        <v>1559</v>
      </c>
      <c r="G309" s="5"/>
      <c r="H309" s="5"/>
      <c r="I309" s="6"/>
      <c r="J309" s="7" t="s">
        <v>36</v>
      </c>
      <c r="K309" s="9"/>
      <c r="L309" s="510"/>
    </row>
    <row r="310" spans="5:12" ht="15" customHeight="1">
      <c r="E310" s="509">
        <f t="shared" si="4"/>
        <v>305</v>
      </c>
      <c r="F310" s="4" t="s">
        <v>1560</v>
      </c>
      <c r="G310" s="5"/>
      <c r="H310" s="5"/>
      <c r="I310" s="6"/>
      <c r="J310" s="7" t="s">
        <v>36</v>
      </c>
      <c r="K310" s="9"/>
      <c r="L310" s="510"/>
    </row>
    <row r="311" spans="5:12" ht="15" customHeight="1">
      <c r="E311" s="509">
        <f t="shared" si="4"/>
        <v>306</v>
      </c>
      <c r="F311" s="4" t="s">
        <v>1548</v>
      </c>
      <c r="G311" s="5"/>
      <c r="H311" s="5"/>
      <c r="I311" s="6"/>
      <c r="J311" s="7" t="s">
        <v>36</v>
      </c>
      <c r="K311" s="9"/>
      <c r="L311" s="510"/>
    </row>
    <row r="312" spans="5:12" ht="15" customHeight="1">
      <c r="E312" s="509">
        <f t="shared" si="4"/>
        <v>307</v>
      </c>
      <c r="F312" s="4" t="s">
        <v>1561</v>
      </c>
      <c r="G312" s="5"/>
      <c r="H312" s="5"/>
      <c r="I312" s="6"/>
      <c r="J312" s="7" t="s">
        <v>36</v>
      </c>
      <c r="K312" s="9"/>
      <c r="L312" s="510"/>
    </row>
    <row r="313" spans="5:12" ht="15" customHeight="1">
      <c r="E313" s="509">
        <f t="shared" si="4"/>
        <v>308</v>
      </c>
      <c r="F313" s="4" t="s">
        <v>1400</v>
      </c>
      <c r="G313" s="5"/>
      <c r="H313" s="5"/>
      <c r="I313" s="6"/>
      <c r="J313" s="7" t="s">
        <v>20</v>
      </c>
      <c r="K313" s="9">
        <v>6300</v>
      </c>
      <c r="L313" s="510"/>
    </row>
    <row r="314" spans="5:12" ht="15" customHeight="1">
      <c r="E314" s="509">
        <f t="shared" si="4"/>
        <v>309</v>
      </c>
      <c r="F314" s="4" t="s">
        <v>1406</v>
      </c>
      <c r="G314" s="5"/>
      <c r="H314" s="5"/>
      <c r="I314" s="6"/>
      <c r="J314" s="7" t="s">
        <v>20</v>
      </c>
      <c r="K314" s="9">
        <v>11200</v>
      </c>
      <c r="L314" s="510"/>
    </row>
    <row r="315" spans="5:12" ht="15" customHeight="1">
      <c r="E315" s="509">
        <f t="shared" si="4"/>
        <v>310</v>
      </c>
      <c r="F315" s="4" t="s">
        <v>1409</v>
      </c>
      <c r="G315" s="5"/>
      <c r="H315" s="5"/>
      <c r="I315" s="6"/>
      <c r="J315" s="7" t="s">
        <v>20</v>
      </c>
      <c r="K315" s="9">
        <v>19500</v>
      </c>
      <c r="L315" s="510"/>
    </row>
    <row r="316" spans="5:12" ht="15" customHeight="1">
      <c r="E316" s="509">
        <f t="shared" si="4"/>
        <v>311</v>
      </c>
      <c r="F316" s="4" t="s">
        <v>1412</v>
      </c>
      <c r="G316" s="5"/>
      <c r="H316" s="5"/>
      <c r="I316" s="6"/>
      <c r="J316" s="7" t="s">
        <v>20</v>
      </c>
      <c r="K316" s="9">
        <v>25000</v>
      </c>
      <c r="L316" s="510"/>
    </row>
    <row r="317" spans="5:12" ht="15" customHeight="1">
      <c r="E317" s="509">
        <f t="shared" si="4"/>
        <v>312</v>
      </c>
      <c r="F317" s="4" t="s">
        <v>1415</v>
      </c>
      <c r="G317" s="5"/>
      <c r="H317" s="5"/>
      <c r="I317" s="6"/>
      <c r="J317" s="7" t="s">
        <v>20</v>
      </c>
      <c r="K317" s="9">
        <v>36500</v>
      </c>
      <c r="L317" s="510"/>
    </row>
    <row r="318" spans="5:12" ht="15" customHeight="1">
      <c r="E318" s="509">
        <f t="shared" si="4"/>
        <v>313</v>
      </c>
      <c r="F318" s="4" t="s">
        <v>1403</v>
      </c>
      <c r="G318" s="5"/>
      <c r="H318" s="5"/>
      <c r="I318" s="6"/>
      <c r="J318" s="7" t="s">
        <v>20</v>
      </c>
      <c r="K318" s="9">
        <v>8300</v>
      </c>
      <c r="L318" s="510"/>
    </row>
    <row r="319" spans="5:12" ht="15" customHeight="1">
      <c r="E319" s="509">
        <f t="shared" si="4"/>
        <v>314</v>
      </c>
      <c r="F319" s="4" t="s">
        <v>1418</v>
      </c>
      <c r="G319" s="5"/>
      <c r="H319" s="5"/>
      <c r="I319" s="6"/>
      <c r="J319" s="7" t="s">
        <v>20</v>
      </c>
      <c r="K319" s="9">
        <v>50000</v>
      </c>
      <c r="L319" s="510"/>
    </row>
    <row r="320" spans="5:12" ht="15" customHeight="1">
      <c r="E320" s="509">
        <f t="shared" si="4"/>
        <v>315</v>
      </c>
      <c r="F320" s="4" t="s">
        <v>1421</v>
      </c>
      <c r="G320" s="5"/>
      <c r="H320" s="5"/>
      <c r="I320" s="6"/>
      <c r="J320" s="7" t="s">
        <v>20</v>
      </c>
      <c r="K320" s="9">
        <v>66000</v>
      </c>
      <c r="L320" s="510"/>
    </row>
    <row r="321" spans="5:15" ht="15" customHeight="1">
      <c r="E321" s="509">
        <f t="shared" si="4"/>
        <v>316</v>
      </c>
      <c r="F321" s="4" t="s">
        <v>1446</v>
      </c>
      <c r="G321" s="5"/>
      <c r="H321" s="5"/>
      <c r="I321" s="6"/>
      <c r="J321" s="7" t="s">
        <v>33</v>
      </c>
      <c r="K321" s="9"/>
      <c r="L321" s="510"/>
      <c r="N321" s="94"/>
      <c r="O321" s="95"/>
    </row>
    <row r="322" spans="5:15" ht="15" customHeight="1">
      <c r="E322" s="509">
        <f t="shared" si="4"/>
        <v>317</v>
      </c>
      <c r="F322" s="4" t="s">
        <v>1435</v>
      </c>
      <c r="G322" s="5"/>
      <c r="H322" s="5"/>
      <c r="I322" s="6"/>
      <c r="J322" s="7" t="s">
        <v>33</v>
      </c>
      <c r="K322" s="9"/>
      <c r="L322" s="510"/>
      <c r="N322" s="94"/>
      <c r="O322" s="95"/>
    </row>
    <row r="323" spans="5:15" ht="15" customHeight="1">
      <c r="E323" s="509">
        <f t="shared" si="4"/>
        <v>318</v>
      </c>
      <c r="F323" s="4" t="s">
        <v>1447</v>
      </c>
      <c r="G323" s="5"/>
      <c r="H323" s="5"/>
      <c r="I323" s="6"/>
      <c r="J323" s="7" t="s">
        <v>33</v>
      </c>
      <c r="K323" s="9"/>
      <c r="L323" s="510"/>
      <c r="N323" s="94"/>
      <c r="O323" s="95"/>
    </row>
    <row r="324" spans="5:15" ht="15" customHeight="1">
      <c r="E324" s="509">
        <f t="shared" si="4"/>
        <v>319</v>
      </c>
      <c r="F324" s="4" t="s">
        <v>1448</v>
      </c>
      <c r="G324" s="5"/>
      <c r="H324" s="5"/>
      <c r="I324" s="6"/>
      <c r="J324" s="7" t="s">
        <v>33</v>
      </c>
      <c r="K324" s="9"/>
      <c r="L324" s="510"/>
      <c r="N324" s="94"/>
      <c r="O324" s="95"/>
    </row>
    <row r="325" spans="5:15" ht="15" customHeight="1">
      <c r="E325" s="509">
        <f t="shared" si="4"/>
        <v>320</v>
      </c>
      <c r="F325" s="4" t="s">
        <v>1436</v>
      </c>
      <c r="G325" s="5"/>
      <c r="H325" s="5"/>
      <c r="I325" s="6"/>
      <c r="J325" s="7" t="s">
        <v>33</v>
      </c>
      <c r="K325" s="9"/>
      <c r="L325" s="510"/>
      <c r="N325" s="94"/>
      <c r="O325" s="95"/>
    </row>
    <row r="326" spans="5:15" ht="15" customHeight="1">
      <c r="E326" s="509">
        <f t="shared" si="4"/>
        <v>321</v>
      </c>
      <c r="F326" s="4" t="s">
        <v>1437</v>
      </c>
      <c r="G326" s="5"/>
      <c r="H326" s="5"/>
      <c r="I326" s="6"/>
      <c r="J326" s="7" t="s">
        <v>33</v>
      </c>
      <c r="K326" s="9"/>
      <c r="L326" s="510"/>
      <c r="N326" s="94"/>
      <c r="O326" s="95"/>
    </row>
    <row r="327" spans="5:15" ht="15" customHeight="1">
      <c r="E327" s="509">
        <f t="shared" si="4"/>
        <v>322</v>
      </c>
      <c r="F327" s="4" t="s">
        <v>1438</v>
      </c>
      <c r="G327" s="5"/>
      <c r="H327" s="5"/>
      <c r="I327" s="6"/>
      <c r="J327" s="7" t="s">
        <v>33</v>
      </c>
      <c r="K327" s="9"/>
      <c r="L327" s="510"/>
      <c r="N327" s="94"/>
      <c r="O327" s="95"/>
    </row>
    <row r="328" spans="5:15" ht="15" customHeight="1">
      <c r="E328" s="509">
        <f t="shared" si="4"/>
        <v>323</v>
      </c>
      <c r="F328" s="4" t="s">
        <v>1439</v>
      </c>
      <c r="G328" s="5"/>
      <c r="H328" s="5"/>
      <c r="I328" s="6"/>
      <c r="J328" s="7" t="s">
        <v>33</v>
      </c>
      <c r="K328" s="9"/>
      <c r="L328" s="510"/>
      <c r="N328" s="94"/>
      <c r="O328" s="95"/>
    </row>
    <row r="329" spans="5:15" ht="15" customHeight="1">
      <c r="E329" s="509">
        <f t="shared" si="4"/>
        <v>324</v>
      </c>
      <c r="F329" s="4" t="s">
        <v>1440</v>
      </c>
      <c r="G329" s="5"/>
      <c r="H329" s="5"/>
      <c r="I329" s="6"/>
      <c r="J329" s="7" t="s">
        <v>33</v>
      </c>
      <c r="K329" s="9"/>
      <c r="L329" s="510"/>
      <c r="N329" s="94"/>
      <c r="O329" s="95"/>
    </row>
    <row r="330" spans="5:15" ht="15" customHeight="1">
      <c r="E330" s="509">
        <f t="shared" si="4"/>
        <v>325</v>
      </c>
      <c r="F330" s="4" t="s">
        <v>1441</v>
      </c>
      <c r="G330" s="5"/>
      <c r="H330" s="5"/>
      <c r="I330" s="6"/>
      <c r="J330" s="7" t="s">
        <v>33</v>
      </c>
      <c r="K330" s="9"/>
      <c r="L330" s="510"/>
      <c r="N330" s="94"/>
      <c r="O330" s="95"/>
    </row>
    <row r="331" spans="5:15" ht="15" customHeight="1">
      <c r="E331" s="509">
        <f t="shared" si="4"/>
        <v>326</v>
      </c>
      <c r="F331" s="4" t="s">
        <v>1442</v>
      </c>
      <c r="G331" s="5"/>
      <c r="H331" s="5"/>
      <c r="I331" s="6"/>
      <c r="J331" s="7" t="s">
        <v>33</v>
      </c>
      <c r="K331" s="9"/>
      <c r="L331" s="510"/>
      <c r="N331" s="94"/>
      <c r="O331" s="95"/>
    </row>
    <row r="332" spans="5:15" ht="15" customHeight="1">
      <c r="E332" s="509">
        <f t="shared" si="4"/>
        <v>327</v>
      </c>
      <c r="F332" s="4" t="s">
        <v>1443</v>
      </c>
      <c r="G332" s="5"/>
      <c r="H332" s="5"/>
      <c r="I332" s="6"/>
      <c r="J332" s="7" t="s">
        <v>33</v>
      </c>
      <c r="K332" s="9"/>
      <c r="L332" s="510"/>
      <c r="N332" s="94"/>
      <c r="O332" s="95"/>
    </row>
    <row r="333" spans="5:15" ht="15" customHeight="1">
      <c r="E333" s="509">
        <f t="shared" si="4"/>
        <v>328</v>
      </c>
      <c r="F333" s="4" t="s">
        <v>1432</v>
      </c>
      <c r="G333" s="5"/>
      <c r="H333" s="5"/>
      <c r="I333" s="6"/>
      <c r="J333" s="7" t="s">
        <v>33</v>
      </c>
      <c r="K333" s="9"/>
      <c r="L333" s="510"/>
      <c r="N333" s="94"/>
      <c r="O333" s="95"/>
    </row>
    <row r="334" spans="5:15" ht="15" customHeight="1">
      <c r="E334" s="509">
        <f t="shared" si="4"/>
        <v>329</v>
      </c>
      <c r="F334" s="4" t="s">
        <v>1444</v>
      </c>
      <c r="G334" s="5"/>
      <c r="H334" s="5"/>
      <c r="I334" s="6"/>
      <c r="J334" s="7" t="s">
        <v>33</v>
      </c>
      <c r="K334" s="9"/>
      <c r="L334" s="510"/>
      <c r="N334" s="96"/>
      <c r="O334" s="95"/>
    </row>
    <row r="335" spans="5:15" ht="15" customHeight="1">
      <c r="E335" s="509">
        <f t="shared" ref="E335:E399" si="5">E334+1</f>
        <v>330</v>
      </c>
      <c r="F335" s="4" t="s">
        <v>1434</v>
      </c>
      <c r="G335" s="5"/>
      <c r="H335" s="5"/>
      <c r="I335" s="6"/>
      <c r="J335" s="7" t="s">
        <v>33</v>
      </c>
      <c r="K335" s="9"/>
      <c r="L335" s="510"/>
      <c r="O335" s="95"/>
    </row>
    <row r="336" spans="5:15" ht="15" customHeight="1">
      <c r="E336" s="509">
        <f t="shared" si="5"/>
        <v>331</v>
      </c>
      <c r="F336" s="4" t="s">
        <v>1445</v>
      </c>
      <c r="G336" s="5"/>
      <c r="H336" s="5"/>
      <c r="I336" s="6"/>
      <c r="J336" s="7" t="s">
        <v>33</v>
      </c>
      <c r="K336" s="9"/>
      <c r="L336" s="510"/>
      <c r="N336" s="94"/>
      <c r="O336" s="95"/>
    </row>
    <row r="337" spans="5:15" ht="15" customHeight="1">
      <c r="E337" s="509">
        <f t="shared" si="5"/>
        <v>332</v>
      </c>
      <c r="F337" s="4" t="s">
        <v>1424</v>
      </c>
      <c r="G337" s="5"/>
      <c r="H337" s="5"/>
      <c r="I337" s="6"/>
      <c r="J337" s="7" t="s">
        <v>221</v>
      </c>
      <c r="K337" s="9">
        <v>57200</v>
      </c>
      <c r="L337" s="510"/>
      <c r="N337" s="94"/>
      <c r="O337" s="95"/>
    </row>
    <row r="338" spans="5:15" ht="15" customHeight="1">
      <c r="E338" s="509">
        <f t="shared" si="5"/>
        <v>333</v>
      </c>
      <c r="F338" s="4" t="s">
        <v>991</v>
      </c>
      <c r="G338" s="5"/>
      <c r="H338" s="5"/>
      <c r="I338" s="6"/>
      <c r="J338" s="7" t="s">
        <v>23</v>
      </c>
      <c r="K338" s="9">
        <v>131890</v>
      </c>
      <c r="L338" s="510"/>
      <c r="N338" s="94"/>
      <c r="O338" s="95"/>
    </row>
    <row r="339" spans="5:15" ht="15" customHeight="1">
      <c r="E339" s="509">
        <f t="shared" si="5"/>
        <v>334</v>
      </c>
      <c r="F339" s="4" t="s">
        <v>1261</v>
      </c>
      <c r="G339" s="5"/>
      <c r="H339" s="5"/>
      <c r="I339" s="6"/>
      <c r="J339" s="7" t="s">
        <v>45</v>
      </c>
      <c r="K339" s="9">
        <v>22000</v>
      </c>
      <c r="L339" s="510"/>
    </row>
    <row r="340" spans="5:15" ht="15" customHeight="1">
      <c r="E340" s="509">
        <f t="shared" si="5"/>
        <v>335</v>
      </c>
      <c r="F340" s="4" t="s">
        <v>1067</v>
      </c>
      <c r="G340" s="5"/>
      <c r="H340" s="5"/>
      <c r="I340" s="6"/>
      <c r="J340" s="7" t="s">
        <v>221</v>
      </c>
      <c r="K340" s="9">
        <v>44100</v>
      </c>
      <c r="L340" s="510"/>
    </row>
    <row r="341" spans="5:15" ht="15" customHeight="1">
      <c r="E341" s="509">
        <f t="shared" si="5"/>
        <v>336</v>
      </c>
      <c r="F341" s="4" t="s">
        <v>873</v>
      </c>
      <c r="G341" s="5"/>
      <c r="H341" s="5"/>
      <c r="I341" s="6"/>
      <c r="J341" s="7" t="s">
        <v>221</v>
      </c>
      <c r="K341" s="9">
        <v>5360</v>
      </c>
      <c r="L341" s="510"/>
    </row>
    <row r="342" spans="5:15" ht="15" customHeight="1">
      <c r="E342" s="509">
        <f t="shared" si="5"/>
        <v>337</v>
      </c>
      <c r="F342" s="4" t="s">
        <v>867</v>
      </c>
      <c r="G342" s="5"/>
      <c r="H342" s="5"/>
      <c r="I342" s="6"/>
      <c r="J342" s="7" t="s">
        <v>221</v>
      </c>
      <c r="K342" s="9">
        <v>6440</v>
      </c>
      <c r="L342" s="510"/>
    </row>
    <row r="343" spans="5:15" ht="15" customHeight="1">
      <c r="E343" s="509">
        <f t="shared" si="5"/>
        <v>338</v>
      </c>
      <c r="F343" s="4" t="s">
        <v>864</v>
      </c>
      <c r="G343" s="5"/>
      <c r="H343" s="5"/>
      <c r="I343" s="6"/>
      <c r="J343" s="7" t="s">
        <v>221</v>
      </c>
      <c r="K343" s="9">
        <v>8130</v>
      </c>
      <c r="L343" s="510"/>
    </row>
    <row r="344" spans="5:15" ht="15" customHeight="1">
      <c r="E344" s="509">
        <f t="shared" si="5"/>
        <v>339</v>
      </c>
      <c r="F344" s="4" t="s">
        <v>870</v>
      </c>
      <c r="G344" s="5"/>
      <c r="H344" s="5"/>
      <c r="I344" s="6"/>
      <c r="J344" s="7" t="s">
        <v>221</v>
      </c>
      <c r="K344" s="9">
        <v>5630</v>
      </c>
      <c r="L344" s="510"/>
    </row>
    <row r="345" spans="5:15" ht="15" customHeight="1">
      <c r="E345" s="509">
        <f t="shared" si="5"/>
        <v>340</v>
      </c>
      <c r="F345" s="4" t="s">
        <v>821</v>
      </c>
      <c r="G345" s="5"/>
      <c r="H345" s="5"/>
      <c r="I345" s="6"/>
      <c r="J345" s="7" t="s">
        <v>221</v>
      </c>
      <c r="K345" s="9">
        <v>15730</v>
      </c>
      <c r="L345" s="510"/>
    </row>
    <row r="346" spans="5:15" ht="15" customHeight="1">
      <c r="E346" s="509">
        <f t="shared" si="5"/>
        <v>341</v>
      </c>
      <c r="F346" s="4" t="s">
        <v>818</v>
      </c>
      <c r="G346" s="5"/>
      <c r="H346" s="5"/>
      <c r="I346" s="6"/>
      <c r="J346" s="7" t="s">
        <v>221</v>
      </c>
      <c r="K346" s="9">
        <v>17780</v>
      </c>
      <c r="L346" s="510"/>
    </row>
    <row r="347" spans="5:15" ht="15" customHeight="1">
      <c r="E347" s="509">
        <f t="shared" si="5"/>
        <v>342</v>
      </c>
      <c r="F347" s="4" t="s">
        <v>797</v>
      </c>
      <c r="G347" s="5"/>
      <c r="H347" s="5"/>
      <c r="I347" s="6"/>
      <c r="J347" s="7" t="s">
        <v>221</v>
      </c>
      <c r="K347" s="9">
        <v>6300</v>
      </c>
      <c r="L347" s="510"/>
    </row>
    <row r="348" spans="5:15" ht="15" customHeight="1">
      <c r="E348" s="509">
        <f t="shared" si="5"/>
        <v>343</v>
      </c>
      <c r="F348" s="4" t="s">
        <v>800</v>
      </c>
      <c r="G348" s="5"/>
      <c r="H348" s="5"/>
      <c r="I348" s="6"/>
      <c r="J348" s="7" t="s">
        <v>221</v>
      </c>
      <c r="K348" s="9">
        <v>7080</v>
      </c>
      <c r="L348" s="510"/>
    </row>
    <row r="349" spans="5:15" ht="15" customHeight="1">
      <c r="E349" s="509">
        <f t="shared" si="5"/>
        <v>344</v>
      </c>
      <c r="F349" s="4" t="s">
        <v>794</v>
      </c>
      <c r="G349" s="5"/>
      <c r="H349" s="5"/>
      <c r="I349" s="6"/>
      <c r="J349" s="7" t="s">
        <v>221</v>
      </c>
      <c r="K349" s="9">
        <v>7540</v>
      </c>
      <c r="L349" s="510"/>
    </row>
    <row r="350" spans="5:15" ht="15" customHeight="1">
      <c r="E350" s="509">
        <f t="shared" si="5"/>
        <v>345</v>
      </c>
      <c r="F350" s="4" t="s">
        <v>827</v>
      </c>
      <c r="G350" s="5"/>
      <c r="H350" s="5"/>
      <c r="I350" s="6"/>
      <c r="J350" s="7" t="s">
        <v>221</v>
      </c>
      <c r="K350" s="9">
        <v>7040</v>
      </c>
      <c r="L350" s="510"/>
    </row>
    <row r="351" spans="5:15" ht="15" customHeight="1">
      <c r="E351" s="509">
        <f t="shared" si="5"/>
        <v>346</v>
      </c>
      <c r="F351" s="4" t="s">
        <v>824</v>
      </c>
      <c r="G351" s="5"/>
      <c r="H351" s="5"/>
      <c r="I351" s="6"/>
      <c r="J351" s="7" t="s">
        <v>221</v>
      </c>
      <c r="K351" s="9">
        <v>8120</v>
      </c>
      <c r="L351" s="510"/>
    </row>
    <row r="352" spans="5:15" ht="15" customHeight="1">
      <c r="E352" s="509">
        <f t="shared" si="5"/>
        <v>347</v>
      </c>
      <c r="F352" s="4" t="s">
        <v>836</v>
      </c>
      <c r="G352" s="5"/>
      <c r="H352" s="5"/>
      <c r="I352" s="6"/>
      <c r="J352" s="7" t="s">
        <v>221</v>
      </c>
      <c r="K352" s="9">
        <v>17500</v>
      </c>
      <c r="L352" s="510"/>
    </row>
    <row r="353" spans="5:12" ht="15" customHeight="1">
      <c r="E353" s="509">
        <f t="shared" si="5"/>
        <v>348</v>
      </c>
      <c r="F353" s="4" t="s">
        <v>833</v>
      </c>
      <c r="G353" s="5"/>
      <c r="H353" s="5"/>
      <c r="I353" s="6"/>
      <c r="J353" s="7" t="s">
        <v>221</v>
      </c>
      <c r="K353" s="9">
        <v>18000</v>
      </c>
      <c r="L353" s="510"/>
    </row>
    <row r="354" spans="5:12" ht="15" customHeight="1">
      <c r="E354" s="509">
        <f t="shared" si="5"/>
        <v>349</v>
      </c>
      <c r="F354" s="4" t="s">
        <v>830</v>
      </c>
      <c r="G354" s="5"/>
      <c r="H354" s="5"/>
      <c r="I354" s="6"/>
      <c r="J354" s="7" t="s">
        <v>221</v>
      </c>
      <c r="K354" s="9">
        <v>19040</v>
      </c>
      <c r="L354" s="510"/>
    </row>
    <row r="355" spans="5:12" ht="15" customHeight="1">
      <c r="E355" s="509">
        <f t="shared" si="5"/>
        <v>350</v>
      </c>
      <c r="F355" s="4" t="s">
        <v>812</v>
      </c>
      <c r="G355" s="5"/>
      <c r="H355" s="5"/>
      <c r="I355" s="6"/>
      <c r="J355" s="7" t="s">
        <v>221</v>
      </c>
      <c r="K355" s="9">
        <v>5950</v>
      </c>
      <c r="L355" s="510"/>
    </row>
    <row r="356" spans="5:12" ht="15" customHeight="1">
      <c r="E356" s="509">
        <f t="shared" si="5"/>
        <v>351</v>
      </c>
      <c r="F356" s="4" t="s">
        <v>815</v>
      </c>
      <c r="G356" s="5"/>
      <c r="H356" s="5"/>
      <c r="I356" s="6"/>
      <c r="J356" s="7" t="s">
        <v>221</v>
      </c>
      <c r="K356" s="9">
        <v>8400</v>
      </c>
      <c r="L356" s="510"/>
    </row>
    <row r="357" spans="5:12" ht="15" customHeight="1">
      <c r="E357" s="509">
        <f t="shared" si="5"/>
        <v>352</v>
      </c>
      <c r="F357" s="4" t="s">
        <v>803</v>
      </c>
      <c r="G357" s="5"/>
      <c r="H357" s="5"/>
      <c r="I357" s="6"/>
      <c r="J357" s="7" t="s">
        <v>221</v>
      </c>
      <c r="K357" s="9">
        <v>5090</v>
      </c>
      <c r="L357" s="510"/>
    </row>
    <row r="358" spans="5:12" ht="15" customHeight="1">
      <c r="E358" s="509">
        <f t="shared" si="5"/>
        <v>353</v>
      </c>
      <c r="F358" s="4" t="s">
        <v>806</v>
      </c>
      <c r="G358" s="5"/>
      <c r="H358" s="5"/>
      <c r="I358" s="6"/>
      <c r="J358" s="7" t="s">
        <v>221</v>
      </c>
      <c r="K358" s="9">
        <v>5700</v>
      </c>
      <c r="L358" s="510"/>
    </row>
    <row r="359" spans="5:12" ht="15" customHeight="1">
      <c r="E359" s="509">
        <f t="shared" si="5"/>
        <v>354</v>
      </c>
      <c r="F359" s="4" t="s">
        <v>809</v>
      </c>
      <c r="G359" s="5"/>
      <c r="H359" s="5"/>
      <c r="I359" s="6"/>
      <c r="J359" s="7" t="s">
        <v>221</v>
      </c>
      <c r="K359" s="9">
        <v>7870</v>
      </c>
      <c r="L359" s="510"/>
    </row>
    <row r="360" spans="5:12" ht="15" customHeight="1">
      <c r="E360" s="509">
        <f t="shared" si="5"/>
        <v>355</v>
      </c>
      <c r="F360" s="4" t="s">
        <v>935</v>
      </c>
      <c r="G360" s="5"/>
      <c r="H360" s="5"/>
      <c r="I360" s="6"/>
      <c r="J360" s="7" t="s">
        <v>221</v>
      </c>
      <c r="K360" s="9">
        <v>28750</v>
      </c>
      <c r="L360" s="510"/>
    </row>
    <row r="361" spans="5:12" ht="15" customHeight="1">
      <c r="E361" s="509">
        <f t="shared" si="5"/>
        <v>356</v>
      </c>
      <c r="F361" s="4" t="s">
        <v>226</v>
      </c>
      <c r="G361" s="5"/>
      <c r="H361" s="5"/>
      <c r="I361" s="6"/>
      <c r="J361" s="7" t="s">
        <v>202</v>
      </c>
      <c r="K361" s="9">
        <v>78000</v>
      </c>
      <c r="L361" s="510"/>
    </row>
    <row r="362" spans="5:12" ht="15" customHeight="1">
      <c r="E362" s="509">
        <f t="shared" si="5"/>
        <v>357</v>
      </c>
      <c r="F362" s="4" t="s">
        <v>1066</v>
      </c>
      <c r="G362" s="5"/>
      <c r="H362" s="5"/>
      <c r="I362" s="6"/>
      <c r="J362" s="7" t="s">
        <v>202</v>
      </c>
      <c r="K362" s="9">
        <v>86000</v>
      </c>
      <c r="L362" s="510"/>
    </row>
    <row r="363" spans="5:12" ht="15" customHeight="1">
      <c r="E363" s="509">
        <f t="shared" si="5"/>
        <v>358</v>
      </c>
      <c r="F363" s="4" t="s">
        <v>397</v>
      </c>
      <c r="G363" s="5"/>
      <c r="H363" s="5"/>
      <c r="I363" s="6"/>
      <c r="J363" s="7" t="s">
        <v>202</v>
      </c>
      <c r="K363" s="9">
        <v>135000</v>
      </c>
      <c r="L363" s="510"/>
    </row>
    <row r="364" spans="5:12" ht="15" customHeight="1">
      <c r="E364" s="509">
        <f t="shared" si="5"/>
        <v>359</v>
      </c>
      <c r="F364" s="4" t="s">
        <v>1274</v>
      </c>
      <c r="G364" s="5"/>
      <c r="H364" s="5"/>
      <c r="I364" s="6"/>
      <c r="J364" s="7" t="s">
        <v>438</v>
      </c>
      <c r="K364" s="9">
        <v>44100</v>
      </c>
      <c r="L364" s="510"/>
    </row>
    <row r="365" spans="5:12" ht="15" customHeight="1">
      <c r="E365" s="509">
        <f t="shared" si="5"/>
        <v>360</v>
      </c>
      <c r="F365" s="4" t="s">
        <v>1275</v>
      </c>
      <c r="G365" s="5"/>
      <c r="H365" s="5"/>
      <c r="I365" s="6"/>
      <c r="J365" s="7" t="s">
        <v>438</v>
      </c>
      <c r="K365" s="9">
        <v>55000</v>
      </c>
      <c r="L365" s="510"/>
    </row>
    <row r="366" spans="5:12" ht="15" customHeight="1">
      <c r="E366" s="509">
        <f t="shared" si="5"/>
        <v>361</v>
      </c>
      <c r="F366" s="4" t="s">
        <v>1586</v>
      </c>
      <c r="G366" s="5"/>
      <c r="H366" s="5"/>
      <c r="I366" s="6"/>
      <c r="J366" s="7" t="s">
        <v>221</v>
      </c>
      <c r="K366" s="9">
        <v>3800000</v>
      </c>
      <c r="L366" s="510"/>
    </row>
    <row r="367" spans="5:12" ht="15" customHeight="1">
      <c r="E367" s="509">
        <f t="shared" si="5"/>
        <v>362</v>
      </c>
      <c r="F367" s="4" t="s">
        <v>1350</v>
      </c>
      <c r="G367" s="5"/>
      <c r="H367" s="5"/>
      <c r="I367" s="6"/>
      <c r="J367" s="7" t="s">
        <v>36</v>
      </c>
      <c r="K367" s="9">
        <v>8260</v>
      </c>
      <c r="L367" s="510"/>
    </row>
    <row r="368" spans="5:12" ht="15" customHeight="1">
      <c r="E368" s="509">
        <f t="shared" si="5"/>
        <v>363</v>
      </c>
      <c r="F368" s="4" t="s">
        <v>895</v>
      </c>
      <c r="G368" s="5"/>
      <c r="H368" s="5"/>
      <c r="I368" s="6"/>
      <c r="J368" s="7" t="s">
        <v>221</v>
      </c>
      <c r="K368" s="9">
        <v>5900</v>
      </c>
      <c r="L368" s="510"/>
    </row>
    <row r="369" spans="5:15" ht="15" customHeight="1">
      <c r="E369" s="509">
        <f t="shared" si="5"/>
        <v>364</v>
      </c>
      <c r="F369" s="4" t="s">
        <v>892</v>
      </c>
      <c r="G369" s="5"/>
      <c r="H369" s="5"/>
      <c r="I369" s="6"/>
      <c r="J369" s="7" t="s">
        <v>221</v>
      </c>
      <c r="K369" s="9">
        <v>7200</v>
      </c>
      <c r="L369" s="510"/>
    </row>
    <row r="370" spans="5:15" ht="15" customHeight="1">
      <c r="E370" s="509">
        <f t="shared" si="5"/>
        <v>365</v>
      </c>
      <c r="F370" s="4" t="s">
        <v>898</v>
      </c>
      <c r="G370" s="5"/>
      <c r="H370" s="5"/>
      <c r="I370" s="6"/>
      <c r="J370" s="7" t="s">
        <v>221</v>
      </c>
      <c r="K370" s="9">
        <v>8750</v>
      </c>
      <c r="L370" s="510"/>
    </row>
    <row r="371" spans="5:15" ht="15" customHeight="1">
      <c r="E371" s="509">
        <f t="shared" si="5"/>
        <v>366</v>
      </c>
      <c r="F371" s="4" t="s">
        <v>983</v>
      </c>
      <c r="G371" s="5"/>
      <c r="H371" s="5"/>
      <c r="I371" s="6"/>
      <c r="J371" s="7" t="s">
        <v>33</v>
      </c>
      <c r="K371" s="9">
        <v>14520</v>
      </c>
      <c r="L371" s="510"/>
    </row>
    <row r="372" spans="5:15" ht="15" customHeight="1">
      <c r="E372" s="509">
        <f t="shared" si="5"/>
        <v>367</v>
      </c>
      <c r="F372" s="4" t="s">
        <v>563</v>
      </c>
      <c r="G372" s="5"/>
      <c r="H372" s="5"/>
      <c r="I372" s="6"/>
      <c r="J372" s="7" t="s">
        <v>33</v>
      </c>
      <c r="K372" s="9">
        <v>20000</v>
      </c>
      <c r="L372" s="510"/>
    </row>
    <row r="373" spans="5:15" ht="15" customHeight="1">
      <c r="E373" s="509">
        <f t="shared" si="5"/>
        <v>368</v>
      </c>
      <c r="F373" s="4" t="s">
        <v>573</v>
      </c>
      <c r="G373" s="5"/>
      <c r="H373" s="5"/>
      <c r="I373" s="6"/>
      <c r="J373" s="7" t="s">
        <v>33</v>
      </c>
      <c r="K373" s="9">
        <v>65000</v>
      </c>
      <c r="L373" s="510"/>
    </row>
    <row r="374" spans="5:15" ht="15" customHeight="1">
      <c r="E374" s="509">
        <f t="shared" si="5"/>
        <v>369</v>
      </c>
      <c r="F374" s="4" t="s">
        <v>985</v>
      </c>
      <c r="G374" s="5"/>
      <c r="H374" s="5"/>
      <c r="I374" s="6"/>
      <c r="J374" s="7" t="s">
        <v>405</v>
      </c>
      <c r="K374" s="9">
        <v>350</v>
      </c>
      <c r="L374" s="510"/>
      <c r="N374" s="3"/>
      <c r="O374" s="97"/>
    </row>
    <row r="375" spans="5:15" ht="15" customHeight="1">
      <c r="E375" s="509">
        <f t="shared" si="5"/>
        <v>370</v>
      </c>
      <c r="F375" s="4" t="s">
        <v>594</v>
      </c>
      <c r="G375" s="5"/>
      <c r="H375" s="5"/>
      <c r="I375" s="6"/>
      <c r="J375" s="7" t="s">
        <v>595</v>
      </c>
      <c r="K375" s="9">
        <v>57500</v>
      </c>
      <c r="L375" s="510"/>
    </row>
    <row r="376" spans="5:15" ht="15" customHeight="1">
      <c r="E376" s="509">
        <f t="shared" si="5"/>
        <v>371</v>
      </c>
      <c r="F376" s="4" t="s">
        <v>1216</v>
      </c>
      <c r="G376" s="5"/>
      <c r="H376" s="5"/>
      <c r="I376" s="6"/>
      <c r="J376" s="7" t="s">
        <v>1217</v>
      </c>
      <c r="K376" s="9">
        <v>238000</v>
      </c>
      <c r="L376" s="510"/>
    </row>
    <row r="377" spans="5:15" ht="15" customHeight="1">
      <c r="E377" s="509">
        <f t="shared" si="5"/>
        <v>372</v>
      </c>
      <c r="F377" s="4" t="s">
        <v>1144</v>
      </c>
      <c r="G377" s="5"/>
      <c r="H377" s="5"/>
      <c r="I377" s="6"/>
      <c r="J377" s="7" t="s">
        <v>44</v>
      </c>
      <c r="K377" s="9">
        <v>4500000</v>
      </c>
      <c r="L377" s="510"/>
    </row>
    <row r="378" spans="5:15" ht="15" customHeight="1">
      <c r="E378" s="509">
        <f t="shared" si="5"/>
        <v>373</v>
      </c>
      <c r="F378" s="4" t="s">
        <v>1141</v>
      </c>
      <c r="G378" s="5"/>
      <c r="H378" s="5"/>
      <c r="I378" s="6"/>
      <c r="J378" s="7" t="s">
        <v>44</v>
      </c>
      <c r="K378" s="9">
        <v>3456000</v>
      </c>
      <c r="L378" s="510"/>
    </row>
    <row r="379" spans="5:15" ht="15" customHeight="1">
      <c r="E379" s="509">
        <f t="shared" si="5"/>
        <v>374</v>
      </c>
      <c r="F379" s="4" t="s">
        <v>609</v>
      </c>
      <c r="G379" s="5"/>
      <c r="H379" s="5"/>
      <c r="I379" s="6"/>
      <c r="J379" s="7" t="s">
        <v>93</v>
      </c>
      <c r="K379" s="9">
        <v>11000</v>
      </c>
      <c r="L379" s="510"/>
    </row>
    <row r="380" spans="5:15" ht="15" customHeight="1">
      <c r="E380" s="509">
        <f t="shared" si="5"/>
        <v>375</v>
      </c>
      <c r="F380" s="4" t="s">
        <v>187</v>
      </c>
      <c r="G380" s="5"/>
      <c r="H380" s="5"/>
      <c r="I380" s="6"/>
      <c r="J380" s="7" t="s">
        <v>188</v>
      </c>
      <c r="K380" s="9">
        <v>10370</v>
      </c>
      <c r="L380" s="510"/>
    </row>
    <row r="381" spans="5:15" ht="15" customHeight="1">
      <c r="E381" s="509">
        <f t="shared" si="5"/>
        <v>376</v>
      </c>
      <c r="F381" s="4" t="s">
        <v>1278</v>
      </c>
      <c r="G381" s="5"/>
      <c r="H381" s="5"/>
      <c r="I381" s="6"/>
      <c r="J381" s="7" t="s">
        <v>438</v>
      </c>
      <c r="K381" s="9">
        <f>K380</f>
        <v>10370</v>
      </c>
      <c r="L381" s="510"/>
    </row>
    <row r="382" spans="5:15" ht="15" customHeight="1">
      <c r="E382" s="509">
        <f t="shared" si="5"/>
        <v>377</v>
      </c>
      <c r="F382" s="4" t="s">
        <v>560</v>
      </c>
      <c r="G382" s="5"/>
      <c r="H382" s="5"/>
      <c r="I382" s="6"/>
      <c r="J382" s="7" t="s">
        <v>23</v>
      </c>
      <c r="K382" s="9">
        <v>608400</v>
      </c>
      <c r="L382" s="510"/>
    </row>
    <row r="383" spans="5:15" ht="15" customHeight="1">
      <c r="E383" s="509">
        <f t="shared" si="5"/>
        <v>378</v>
      </c>
      <c r="F383" s="4" t="s">
        <v>1011</v>
      </c>
      <c r="G383" s="5"/>
      <c r="H383" s="5"/>
      <c r="I383" s="6"/>
      <c r="J383" s="7" t="s">
        <v>202</v>
      </c>
      <c r="K383" s="9">
        <v>144000</v>
      </c>
      <c r="L383" s="510"/>
    </row>
    <row r="384" spans="5:15" ht="15" customHeight="1">
      <c r="E384" s="509">
        <f t="shared" si="5"/>
        <v>379</v>
      </c>
      <c r="F384" s="4" t="s">
        <v>1253</v>
      </c>
      <c r="G384" s="5"/>
      <c r="H384" s="5"/>
      <c r="I384" s="6"/>
      <c r="J384" s="7" t="s">
        <v>45</v>
      </c>
      <c r="K384" s="9">
        <v>13000</v>
      </c>
      <c r="L384" s="510"/>
    </row>
    <row r="385" spans="5:12" ht="15" customHeight="1">
      <c r="E385" s="509">
        <f t="shared" si="5"/>
        <v>380</v>
      </c>
      <c r="F385" s="4" t="s">
        <v>1693</v>
      </c>
      <c r="G385" s="5"/>
      <c r="H385" s="5"/>
      <c r="I385" s="6"/>
      <c r="J385" s="7" t="s">
        <v>36</v>
      </c>
      <c r="K385" s="9">
        <v>33500</v>
      </c>
      <c r="L385" s="510"/>
    </row>
    <row r="386" spans="5:12" ht="15" customHeight="1">
      <c r="E386" s="509">
        <f t="shared" si="5"/>
        <v>381</v>
      </c>
      <c r="F386" s="4" t="s">
        <v>1695</v>
      </c>
      <c r="G386" s="5"/>
      <c r="H386" s="5"/>
      <c r="I386" s="6"/>
      <c r="J386" s="7" t="s">
        <v>36</v>
      </c>
      <c r="K386" s="9">
        <v>27500</v>
      </c>
      <c r="L386" s="510"/>
    </row>
    <row r="387" spans="5:12" ht="15" customHeight="1">
      <c r="E387" s="509">
        <f t="shared" si="5"/>
        <v>382</v>
      </c>
      <c r="F387" s="4" t="s">
        <v>504</v>
      </c>
      <c r="G387" s="5"/>
      <c r="H387" s="5"/>
      <c r="I387" s="6"/>
      <c r="J387" s="7" t="s">
        <v>45</v>
      </c>
      <c r="K387" s="9">
        <v>3050</v>
      </c>
      <c r="L387" s="510"/>
    </row>
    <row r="388" spans="5:12" ht="15" customHeight="1">
      <c r="E388" s="509">
        <f t="shared" si="5"/>
        <v>383</v>
      </c>
      <c r="F388" s="4" t="s">
        <v>956</v>
      </c>
      <c r="G388" s="5"/>
      <c r="H388" s="5"/>
      <c r="I388" s="6"/>
      <c r="J388" s="7" t="s">
        <v>36</v>
      </c>
      <c r="K388" s="9">
        <v>600</v>
      </c>
      <c r="L388" s="510"/>
    </row>
    <row r="389" spans="5:12" ht="15" customHeight="1">
      <c r="E389" s="509">
        <f t="shared" si="5"/>
        <v>384</v>
      </c>
      <c r="F389" s="4" t="s">
        <v>565</v>
      </c>
      <c r="G389" s="5"/>
      <c r="H389" s="5"/>
      <c r="I389" s="6"/>
      <c r="J389" s="7" t="s">
        <v>566</v>
      </c>
      <c r="K389" s="9">
        <v>45000</v>
      </c>
      <c r="L389" s="510"/>
    </row>
    <row r="390" spans="5:12" ht="15" customHeight="1">
      <c r="E390" s="509">
        <f t="shared" si="5"/>
        <v>385</v>
      </c>
      <c r="F390" s="4" t="s">
        <v>1382</v>
      </c>
      <c r="G390" s="5"/>
      <c r="H390" s="5"/>
      <c r="I390" s="6"/>
      <c r="J390" s="7" t="s">
        <v>405</v>
      </c>
      <c r="K390" s="9">
        <v>4060</v>
      </c>
      <c r="L390" s="510"/>
    </row>
    <row r="391" spans="5:12" ht="15" customHeight="1">
      <c r="E391" s="509">
        <f t="shared" si="5"/>
        <v>386</v>
      </c>
      <c r="F391" s="4" t="s">
        <v>1583</v>
      </c>
      <c r="G391" s="5"/>
      <c r="H391" s="5"/>
      <c r="I391" s="6"/>
      <c r="J391" s="7" t="s">
        <v>36</v>
      </c>
      <c r="K391" s="9">
        <v>310</v>
      </c>
      <c r="L391" s="510"/>
    </row>
    <row r="392" spans="5:12" ht="15" customHeight="1">
      <c r="E392" s="509">
        <f t="shared" si="5"/>
        <v>387</v>
      </c>
      <c r="F392" s="4" t="s">
        <v>503</v>
      </c>
      <c r="G392" s="5"/>
      <c r="H392" s="5"/>
      <c r="I392" s="6"/>
      <c r="J392" s="7" t="s">
        <v>45</v>
      </c>
      <c r="K392" s="9">
        <v>1920</v>
      </c>
      <c r="L392" s="510"/>
    </row>
    <row r="393" spans="5:12" ht="15" customHeight="1">
      <c r="E393" s="509">
        <f t="shared" si="5"/>
        <v>388</v>
      </c>
      <c r="F393" s="4" t="s">
        <v>645</v>
      </c>
      <c r="G393" s="5"/>
      <c r="H393" s="5"/>
      <c r="I393" s="6"/>
      <c r="J393" s="7" t="s">
        <v>45</v>
      </c>
      <c r="K393" s="9">
        <v>2460</v>
      </c>
      <c r="L393" s="510"/>
    </row>
    <row r="394" spans="5:12" ht="15" customHeight="1">
      <c r="E394" s="509">
        <f t="shared" si="5"/>
        <v>389</v>
      </c>
      <c r="F394" s="4" t="s">
        <v>743</v>
      </c>
      <c r="G394" s="5"/>
      <c r="H394" s="5"/>
      <c r="I394" s="6"/>
      <c r="J394" s="7" t="s">
        <v>45</v>
      </c>
      <c r="K394" s="9">
        <v>2330</v>
      </c>
      <c r="L394" s="510"/>
    </row>
    <row r="395" spans="5:12" ht="15" customHeight="1">
      <c r="E395" s="509">
        <f t="shared" si="5"/>
        <v>390</v>
      </c>
      <c r="F395" s="4" t="s">
        <v>740</v>
      </c>
      <c r="G395" s="5"/>
      <c r="H395" s="5"/>
      <c r="I395" s="6"/>
      <c r="J395" s="7" t="s">
        <v>45</v>
      </c>
      <c r="K395" s="9">
        <v>2330</v>
      </c>
      <c r="L395" s="510"/>
    </row>
    <row r="396" spans="5:12" ht="15" customHeight="1">
      <c r="E396" s="509">
        <f t="shared" si="5"/>
        <v>391</v>
      </c>
      <c r="F396" s="4" t="s">
        <v>183</v>
      </c>
      <c r="G396" s="5"/>
      <c r="H396" s="5"/>
      <c r="I396" s="6"/>
      <c r="J396" s="7" t="s">
        <v>45</v>
      </c>
      <c r="K396" s="9">
        <v>1880</v>
      </c>
      <c r="L396" s="510"/>
    </row>
    <row r="397" spans="5:12" ht="15" customHeight="1">
      <c r="E397" s="509">
        <f t="shared" si="5"/>
        <v>392</v>
      </c>
      <c r="F397" s="4" t="s">
        <v>758</v>
      </c>
      <c r="G397" s="5"/>
      <c r="H397" s="5"/>
      <c r="I397" s="6"/>
      <c r="J397" s="7" t="s">
        <v>45</v>
      </c>
      <c r="K397" s="9">
        <v>2460</v>
      </c>
      <c r="L397" s="510"/>
    </row>
    <row r="398" spans="5:12" ht="15" customHeight="1">
      <c r="E398" s="509">
        <f t="shared" si="5"/>
        <v>393</v>
      </c>
      <c r="F398" s="4" t="s">
        <v>201</v>
      </c>
      <c r="G398" s="5"/>
      <c r="H398" s="5"/>
      <c r="I398" s="6"/>
      <c r="J398" s="7" t="s">
        <v>202</v>
      </c>
      <c r="K398" s="9">
        <v>63500</v>
      </c>
      <c r="L398" s="510"/>
    </row>
    <row r="399" spans="5:12" ht="15" customHeight="1">
      <c r="E399" s="509">
        <f t="shared" si="5"/>
        <v>394</v>
      </c>
      <c r="F399" s="4" t="s">
        <v>222</v>
      </c>
      <c r="G399" s="5"/>
      <c r="H399" s="5"/>
      <c r="I399" s="6"/>
      <c r="J399" s="7" t="s">
        <v>202</v>
      </c>
      <c r="K399" s="9">
        <v>33000</v>
      </c>
      <c r="L399" s="510"/>
    </row>
    <row r="400" spans="5:12" ht="15" customHeight="1">
      <c r="E400" s="509">
        <f t="shared" ref="E400:E465" si="6">E399+1</f>
        <v>395</v>
      </c>
      <c r="F400" s="4" t="s">
        <v>1076</v>
      </c>
      <c r="G400" s="5"/>
      <c r="H400" s="5"/>
      <c r="I400" s="6"/>
      <c r="J400" s="7" t="s">
        <v>221</v>
      </c>
      <c r="K400" s="9">
        <v>12000</v>
      </c>
      <c r="L400" s="510"/>
    </row>
    <row r="401" spans="5:12" ht="15" customHeight="1">
      <c r="E401" s="509">
        <f t="shared" si="6"/>
        <v>396</v>
      </c>
      <c r="F401" s="4" t="s">
        <v>303</v>
      </c>
      <c r="G401" s="5"/>
      <c r="H401" s="5"/>
      <c r="I401" s="6"/>
      <c r="J401" s="7" t="s">
        <v>44</v>
      </c>
      <c r="K401" s="9">
        <v>274850</v>
      </c>
      <c r="L401" s="510"/>
    </row>
    <row r="402" spans="5:12" ht="15" customHeight="1">
      <c r="E402" s="509">
        <f t="shared" si="6"/>
        <v>397</v>
      </c>
      <c r="F402" s="4" t="s">
        <v>564</v>
      </c>
      <c r="G402" s="5"/>
      <c r="H402" s="5"/>
      <c r="I402" s="6"/>
      <c r="J402" s="7" t="s">
        <v>42</v>
      </c>
      <c r="K402" s="9">
        <v>200</v>
      </c>
      <c r="L402" s="510"/>
    </row>
    <row r="403" spans="5:12" ht="15" customHeight="1">
      <c r="E403" s="509">
        <f t="shared" si="6"/>
        <v>398</v>
      </c>
      <c r="F403" s="4" t="s">
        <v>1580</v>
      </c>
      <c r="G403" s="5"/>
      <c r="H403" s="5"/>
      <c r="I403" s="6"/>
      <c r="J403" s="7" t="s">
        <v>36</v>
      </c>
      <c r="K403" s="9">
        <v>16520</v>
      </c>
      <c r="L403" s="510"/>
    </row>
    <row r="404" spans="5:12" ht="15" customHeight="1">
      <c r="E404" s="509">
        <f t="shared" si="6"/>
        <v>399</v>
      </c>
      <c r="F404" s="4" t="s">
        <v>1250</v>
      </c>
      <c r="G404" s="5"/>
      <c r="H404" s="5"/>
      <c r="I404" s="6"/>
      <c r="J404" s="7" t="s">
        <v>45</v>
      </c>
      <c r="K404" s="9">
        <v>50850</v>
      </c>
      <c r="L404" s="510"/>
    </row>
    <row r="405" spans="5:12" ht="15" customHeight="1">
      <c r="E405" s="509">
        <f t="shared" si="6"/>
        <v>400</v>
      </c>
      <c r="F405" s="4" t="s">
        <v>476</v>
      </c>
      <c r="G405" s="5"/>
      <c r="H405" s="5"/>
      <c r="I405" s="6"/>
      <c r="J405" s="7" t="s">
        <v>438</v>
      </c>
      <c r="K405" s="9">
        <v>10540</v>
      </c>
      <c r="L405" s="510"/>
    </row>
    <row r="406" spans="5:12" ht="15" customHeight="1">
      <c r="E406" s="509">
        <f t="shared" si="6"/>
        <v>401</v>
      </c>
      <c r="F406" s="4" t="s">
        <v>1197</v>
      </c>
      <c r="G406" s="5"/>
      <c r="H406" s="5"/>
      <c r="I406" s="6"/>
      <c r="J406" s="7" t="s">
        <v>221</v>
      </c>
      <c r="K406" s="9">
        <v>8850</v>
      </c>
      <c r="L406" s="510"/>
    </row>
    <row r="407" spans="5:12" ht="15" customHeight="1">
      <c r="E407" s="509">
        <f t="shared" si="6"/>
        <v>402</v>
      </c>
      <c r="F407" s="4" t="s">
        <v>1697</v>
      </c>
      <c r="G407" s="5"/>
      <c r="H407" s="5"/>
      <c r="I407" s="6"/>
      <c r="J407" s="7" t="s">
        <v>221</v>
      </c>
      <c r="K407" s="9">
        <v>37250</v>
      </c>
      <c r="L407" s="510"/>
    </row>
    <row r="408" spans="5:12" ht="15" customHeight="1">
      <c r="E408" s="509">
        <f t="shared" si="6"/>
        <v>403</v>
      </c>
      <c r="F408" s="4" t="s">
        <v>365</v>
      </c>
      <c r="G408" s="5"/>
      <c r="H408" s="5"/>
      <c r="I408" s="6"/>
      <c r="J408" s="7" t="s">
        <v>38</v>
      </c>
      <c r="K408" s="9">
        <v>52700</v>
      </c>
      <c r="L408" s="510"/>
    </row>
    <row r="409" spans="5:12" ht="15" customHeight="1">
      <c r="E409" s="509">
        <f t="shared" si="6"/>
        <v>404</v>
      </c>
      <c r="F409" s="4" t="s">
        <v>555</v>
      </c>
      <c r="G409" s="5"/>
      <c r="H409" s="5"/>
      <c r="I409" s="6"/>
      <c r="J409" s="7" t="s">
        <v>23</v>
      </c>
      <c r="K409" s="9">
        <v>292500</v>
      </c>
      <c r="L409" s="510"/>
    </row>
    <row r="410" spans="5:12" ht="15" customHeight="1">
      <c r="E410" s="509">
        <f t="shared" si="6"/>
        <v>405</v>
      </c>
      <c r="F410" s="4" t="s">
        <v>610</v>
      </c>
      <c r="G410" s="5"/>
      <c r="H410" s="5"/>
      <c r="I410" s="6"/>
      <c r="J410" s="7" t="s">
        <v>93</v>
      </c>
      <c r="K410" s="9">
        <v>50400</v>
      </c>
      <c r="L410" s="510"/>
    </row>
    <row r="411" spans="5:12" ht="15" customHeight="1">
      <c r="E411" s="509">
        <f t="shared" si="6"/>
        <v>406</v>
      </c>
      <c r="F411" s="4" t="s">
        <v>244</v>
      </c>
      <c r="G411" s="5"/>
      <c r="H411" s="5"/>
      <c r="I411" s="6"/>
      <c r="J411" s="7" t="s">
        <v>45</v>
      </c>
      <c r="K411" s="9">
        <v>25510</v>
      </c>
      <c r="L411" s="510"/>
    </row>
    <row r="412" spans="5:12" ht="15" customHeight="1">
      <c r="E412" s="509">
        <f t="shared" si="6"/>
        <v>407</v>
      </c>
      <c r="F412" s="4" t="s">
        <v>297</v>
      </c>
      <c r="G412" s="5"/>
      <c r="H412" s="5"/>
      <c r="I412" s="6"/>
      <c r="J412" s="7" t="s">
        <v>44</v>
      </c>
      <c r="K412" s="9">
        <v>40000</v>
      </c>
      <c r="L412" s="510"/>
    </row>
    <row r="413" spans="5:12" ht="15" customHeight="1">
      <c r="E413" s="509">
        <f t="shared" si="6"/>
        <v>408</v>
      </c>
      <c r="F413" s="4" t="s">
        <v>1271</v>
      </c>
      <c r="G413" s="5"/>
      <c r="H413" s="5"/>
      <c r="I413" s="6"/>
      <c r="J413" s="7" t="s">
        <v>438</v>
      </c>
      <c r="K413" s="9">
        <v>20460</v>
      </c>
      <c r="L413" s="510"/>
    </row>
    <row r="414" spans="5:12" ht="15" customHeight="1">
      <c r="E414" s="509">
        <f t="shared" si="6"/>
        <v>409</v>
      </c>
      <c r="F414" s="4" t="s">
        <v>1129</v>
      </c>
      <c r="G414" s="5"/>
      <c r="H414" s="5"/>
      <c r="I414" s="6"/>
      <c r="J414" s="7" t="s">
        <v>423</v>
      </c>
      <c r="K414" s="9">
        <v>73080</v>
      </c>
      <c r="L414" s="510"/>
    </row>
    <row r="415" spans="5:12" ht="15" customHeight="1">
      <c r="E415" s="509">
        <f t="shared" si="6"/>
        <v>410</v>
      </c>
      <c r="F415" s="4" t="s">
        <v>1161</v>
      </c>
      <c r="G415" s="5"/>
      <c r="H415" s="5"/>
      <c r="I415" s="6"/>
      <c r="J415" s="7" t="s">
        <v>423</v>
      </c>
      <c r="K415" s="9">
        <v>81900</v>
      </c>
      <c r="L415" s="510"/>
    </row>
    <row r="416" spans="5:12" ht="15" customHeight="1">
      <c r="E416" s="509">
        <f t="shared" si="6"/>
        <v>411</v>
      </c>
      <c r="F416" s="4" t="s">
        <v>1572</v>
      </c>
      <c r="G416" s="5"/>
      <c r="H416" s="5"/>
      <c r="I416" s="6"/>
      <c r="J416" s="7" t="s">
        <v>36</v>
      </c>
      <c r="K416" s="9">
        <v>1770</v>
      </c>
      <c r="L416" s="510"/>
    </row>
    <row r="417" spans="5:12" ht="15" customHeight="1">
      <c r="E417" s="509">
        <f t="shared" si="6"/>
        <v>412</v>
      </c>
      <c r="F417" s="4" t="s">
        <v>1545</v>
      </c>
      <c r="G417" s="5"/>
      <c r="H417" s="5"/>
      <c r="I417" s="6"/>
      <c r="J417" s="7" t="s">
        <v>36</v>
      </c>
      <c r="K417" s="9"/>
      <c r="L417" s="510"/>
    </row>
    <row r="418" spans="5:12" ht="15" customHeight="1">
      <c r="E418" s="509">
        <f t="shared" si="6"/>
        <v>413</v>
      </c>
      <c r="F418" s="4" t="s">
        <v>1546</v>
      </c>
      <c r="G418" s="5"/>
      <c r="H418" s="5"/>
      <c r="I418" s="6"/>
      <c r="J418" s="7" t="s">
        <v>36</v>
      </c>
      <c r="K418" s="9"/>
      <c r="L418" s="510"/>
    </row>
    <row r="419" spans="5:12" ht="15" customHeight="1">
      <c r="E419" s="509">
        <f t="shared" si="6"/>
        <v>414</v>
      </c>
      <c r="F419" s="4" t="s">
        <v>1547</v>
      </c>
      <c r="G419" s="5"/>
      <c r="H419" s="5"/>
      <c r="I419" s="6"/>
      <c r="J419" s="7" t="s">
        <v>36</v>
      </c>
      <c r="K419" s="9"/>
      <c r="L419" s="510"/>
    </row>
    <row r="420" spans="5:12" ht="15" customHeight="1">
      <c r="E420" s="509">
        <f t="shared" si="6"/>
        <v>415</v>
      </c>
      <c r="F420" s="4" t="s">
        <v>1534</v>
      </c>
      <c r="G420" s="5"/>
      <c r="H420" s="5"/>
      <c r="I420" s="6"/>
      <c r="J420" s="7" t="s">
        <v>36</v>
      </c>
      <c r="K420" s="9"/>
      <c r="L420" s="510"/>
    </row>
    <row r="421" spans="5:12" ht="15" customHeight="1">
      <c r="E421" s="509">
        <f t="shared" si="6"/>
        <v>416</v>
      </c>
      <c r="F421" s="4" t="s">
        <v>1535</v>
      </c>
      <c r="G421" s="5"/>
      <c r="H421" s="5"/>
      <c r="I421" s="6"/>
      <c r="J421" s="7" t="s">
        <v>36</v>
      </c>
      <c r="K421" s="9"/>
      <c r="L421" s="510"/>
    </row>
    <row r="422" spans="5:12" ht="15" customHeight="1">
      <c r="E422" s="509">
        <f t="shared" si="6"/>
        <v>417</v>
      </c>
      <c r="F422" s="4" t="s">
        <v>1536</v>
      </c>
      <c r="G422" s="5"/>
      <c r="H422" s="5"/>
      <c r="I422" s="6"/>
      <c r="J422" s="7" t="s">
        <v>36</v>
      </c>
      <c r="K422" s="9"/>
      <c r="L422" s="510"/>
    </row>
    <row r="423" spans="5:12" ht="15" customHeight="1">
      <c r="E423" s="509">
        <f t="shared" si="6"/>
        <v>418</v>
      </c>
      <c r="F423" s="4" t="s">
        <v>1537</v>
      </c>
      <c r="G423" s="5"/>
      <c r="H423" s="5"/>
      <c r="I423" s="6"/>
      <c r="J423" s="7" t="s">
        <v>36</v>
      </c>
      <c r="K423" s="9"/>
      <c r="L423" s="510"/>
    </row>
    <row r="424" spans="5:12" ht="15" customHeight="1">
      <c r="E424" s="509">
        <f t="shared" si="6"/>
        <v>419</v>
      </c>
      <c r="F424" s="4" t="s">
        <v>1538</v>
      </c>
      <c r="G424" s="5"/>
      <c r="H424" s="5"/>
      <c r="I424" s="6"/>
      <c r="J424" s="7" t="s">
        <v>36</v>
      </c>
      <c r="K424" s="9"/>
      <c r="L424" s="510"/>
    </row>
    <row r="425" spans="5:12" ht="15" customHeight="1">
      <c r="E425" s="509">
        <f t="shared" si="6"/>
        <v>420</v>
      </c>
      <c r="F425" s="4" t="s">
        <v>1539</v>
      </c>
      <c r="G425" s="5"/>
      <c r="H425" s="5"/>
      <c r="I425" s="6"/>
      <c r="J425" s="7" t="s">
        <v>36</v>
      </c>
      <c r="K425" s="9"/>
      <c r="L425" s="510"/>
    </row>
    <row r="426" spans="5:12" ht="15" customHeight="1">
      <c r="E426" s="509">
        <f t="shared" si="6"/>
        <v>421</v>
      </c>
      <c r="F426" s="4" t="s">
        <v>1540</v>
      </c>
      <c r="G426" s="5"/>
      <c r="H426" s="5"/>
      <c r="I426" s="6"/>
      <c r="J426" s="7" t="s">
        <v>36</v>
      </c>
      <c r="K426" s="9"/>
      <c r="L426" s="510"/>
    </row>
    <row r="427" spans="5:12" ht="15" customHeight="1">
      <c r="E427" s="509">
        <f t="shared" si="6"/>
        <v>422</v>
      </c>
      <c r="F427" s="4" t="s">
        <v>1541</v>
      </c>
      <c r="G427" s="5"/>
      <c r="H427" s="5"/>
      <c r="I427" s="6"/>
      <c r="J427" s="7" t="s">
        <v>36</v>
      </c>
      <c r="K427" s="9"/>
      <c r="L427" s="510"/>
    </row>
    <row r="428" spans="5:12" ht="15" customHeight="1">
      <c r="E428" s="509">
        <f t="shared" si="6"/>
        <v>423</v>
      </c>
      <c r="F428" s="4" t="s">
        <v>1542</v>
      </c>
      <c r="G428" s="5"/>
      <c r="H428" s="5"/>
      <c r="I428" s="6"/>
      <c r="J428" s="7" t="s">
        <v>36</v>
      </c>
      <c r="K428" s="9"/>
      <c r="L428" s="510"/>
    </row>
    <row r="429" spans="5:12" ht="15" customHeight="1">
      <c r="E429" s="509">
        <f t="shared" si="6"/>
        <v>424</v>
      </c>
      <c r="F429" s="4" t="s">
        <v>1543</v>
      </c>
      <c r="G429" s="5"/>
      <c r="H429" s="5"/>
      <c r="I429" s="6"/>
      <c r="J429" s="7" t="s">
        <v>36</v>
      </c>
      <c r="K429" s="9"/>
      <c r="L429" s="510"/>
    </row>
    <row r="430" spans="5:12" ht="15" customHeight="1">
      <c r="E430" s="509">
        <f t="shared" si="6"/>
        <v>425</v>
      </c>
      <c r="F430" s="4" t="s">
        <v>1544</v>
      </c>
      <c r="G430" s="5"/>
      <c r="H430" s="5"/>
      <c r="I430" s="6"/>
      <c r="J430" s="7" t="s">
        <v>36</v>
      </c>
      <c r="K430" s="9"/>
      <c r="L430" s="510"/>
    </row>
    <row r="431" spans="5:12" ht="15" customHeight="1">
      <c r="E431" s="509">
        <f t="shared" si="6"/>
        <v>426</v>
      </c>
      <c r="F431" s="4" t="s">
        <v>839</v>
      </c>
      <c r="G431" s="5"/>
      <c r="H431" s="5"/>
      <c r="I431" s="6"/>
      <c r="J431" s="7" t="s">
        <v>292</v>
      </c>
      <c r="K431" s="9">
        <v>5400</v>
      </c>
      <c r="L431" s="510"/>
    </row>
    <row r="432" spans="5:12" ht="15" customHeight="1">
      <c r="E432" s="509"/>
      <c r="F432" s="4" t="s">
        <v>1672</v>
      </c>
      <c r="G432" s="5"/>
      <c r="H432" s="5"/>
      <c r="I432" s="6"/>
      <c r="J432" s="7" t="s">
        <v>45</v>
      </c>
      <c r="K432" s="9">
        <v>29000</v>
      </c>
      <c r="L432" s="510"/>
    </row>
    <row r="433" spans="5:12" ht="15" customHeight="1">
      <c r="E433" s="509">
        <f>E431+1</f>
        <v>427</v>
      </c>
      <c r="F433" s="4" t="s">
        <v>1598</v>
      </c>
      <c r="G433" s="5"/>
      <c r="H433" s="5"/>
      <c r="I433" s="6"/>
      <c r="J433" s="7" t="s">
        <v>33</v>
      </c>
      <c r="K433" s="9">
        <v>132250</v>
      </c>
      <c r="L433" s="510"/>
    </row>
    <row r="434" spans="5:12" ht="15" customHeight="1">
      <c r="E434" s="509">
        <f t="shared" si="6"/>
        <v>428</v>
      </c>
      <c r="F434" s="4" t="s">
        <v>974</v>
      </c>
      <c r="G434" s="5"/>
      <c r="H434" s="5"/>
      <c r="I434" s="6"/>
      <c r="J434" s="7" t="s">
        <v>423</v>
      </c>
      <c r="K434" s="9">
        <v>46990</v>
      </c>
      <c r="L434" s="510"/>
    </row>
    <row r="435" spans="5:12" ht="15" customHeight="1">
      <c r="E435" s="509">
        <f t="shared" si="6"/>
        <v>429</v>
      </c>
      <c r="F435" s="4" t="s">
        <v>776</v>
      </c>
      <c r="G435" s="5"/>
      <c r="H435" s="5"/>
      <c r="I435" s="6"/>
      <c r="J435" s="7" t="s">
        <v>221</v>
      </c>
      <c r="K435" s="9">
        <v>19840</v>
      </c>
      <c r="L435" s="510"/>
    </row>
    <row r="436" spans="5:12" ht="15" customHeight="1">
      <c r="E436" s="509">
        <f t="shared" si="6"/>
        <v>430</v>
      </c>
      <c r="F436" s="4" t="s">
        <v>773</v>
      </c>
      <c r="G436" s="5"/>
      <c r="H436" s="5"/>
      <c r="I436" s="6"/>
      <c r="J436" s="7" t="s">
        <v>221</v>
      </c>
      <c r="K436" s="9">
        <v>24600</v>
      </c>
      <c r="L436" s="510"/>
    </row>
    <row r="437" spans="5:12" ht="15" customHeight="1">
      <c r="E437" s="509">
        <f t="shared" si="6"/>
        <v>431</v>
      </c>
      <c r="F437" s="4" t="s">
        <v>858</v>
      </c>
      <c r="G437" s="5"/>
      <c r="H437" s="5"/>
      <c r="I437" s="6"/>
      <c r="J437" s="7" t="s">
        <v>221</v>
      </c>
      <c r="K437" s="9">
        <v>17700</v>
      </c>
      <c r="L437" s="510"/>
    </row>
    <row r="438" spans="5:12" ht="15" customHeight="1">
      <c r="E438" s="509">
        <f t="shared" si="6"/>
        <v>432</v>
      </c>
      <c r="F438" s="4" t="s">
        <v>754</v>
      </c>
      <c r="G438" s="5"/>
      <c r="H438" s="5"/>
      <c r="I438" s="6"/>
      <c r="J438" s="7" t="s">
        <v>221</v>
      </c>
      <c r="K438" s="9">
        <v>3630</v>
      </c>
      <c r="L438" s="510"/>
    </row>
    <row r="439" spans="5:12" ht="15" customHeight="1">
      <c r="E439" s="509">
        <f t="shared" si="6"/>
        <v>433</v>
      </c>
      <c r="F439" s="4" t="s">
        <v>751</v>
      </c>
      <c r="G439" s="5"/>
      <c r="H439" s="5"/>
      <c r="I439" s="6"/>
      <c r="J439" s="7" t="s">
        <v>221</v>
      </c>
      <c r="K439" s="9">
        <v>5180</v>
      </c>
      <c r="L439" s="510"/>
    </row>
    <row r="440" spans="5:12" ht="15" customHeight="1">
      <c r="E440" s="509">
        <f t="shared" si="6"/>
        <v>434</v>
      </c>
      <c r="F440" s="4" t="s">
        <v>748</v>
      </c>
      <c r="G440" s="5"/>
      <c r="H440" s="5"/>
      <c r="I440" s="6"/>
      <c r="J440" s="7" t="s">
        <v>221</v>
      </c>
      <c r="K440" s="9">
        <v>7380</v>
      </c>
      <c r="L440" s="510"/>
    </row>
    <row r="441" spans="5:12" ht="15" customHeight="1">
      <c r="E441" s="509">
        <f t="shared" si="6"/>
        <v>435</v>
      </c>
      <c r="F441" s="4" t="s">
        <v>1360</v>
      </c>
      <c r="G441" s="5"/>
      <c r="H441" s="5"/>
      <c r="I441" s="6"/>
      <c r="J441" s="7" t="s">
        <v>221</v>
      </c>
      <c r="K441" s="9">
        <v>7740</v>
      </c>
      <c r="L441" s="510"/>
    </row>
    <row r="442" spans="5:12" ht="15" customHeight="1">
      <c r="E442" s="509">
        <f t="shared" si="6"/>
        <v>436</v>
      </c>
      <c r="F442" s="4" t="s">
        <v>779</v>
      </c>
      <c r="G442" s="5"/>
      <c r="H442" s="5"/>
      <c r="I442" s="6"/>
      <c r="J442" s="7" t="s">
        <v>221</v>
      </c>
      <c r="K442" s="9">
        <v>13800</v>
      </c>
      <c r="L442" s="510"/>
    </row>
    <row r="443" spans="5:12" ht="15" customHeight="1">
      <c r="E443" s="509">
        <f t="shared" si="6"/>
        <v>437</v>
      </c>
      <c r="F443" s="4" t="s">
        <v>782</v>
      </c>
      <c r="G443" s="5"/>
      <c r="H443" s="5"/>
      <c r="I443" s="6"/>
      <c r="J443" s="7" t="s">
        <v>221</v>
      </c>
      <c r="K443" s="9">
        <v>17360</v>
      </c>
      <c r="L443" s="510"/>
    </row>
    <row r="444" spans="5:12" ht="15" customHeight="1">
      <c r="E444" s="509">
        <f t="shared" si="6"/>
        <v>438</v>
      </c>
      <c r="F444" s="4" t="s">
        <v>791</v>
      </c>
      <c r="G444" s="5"/>
      <c r="H444" s="5"/>
      <c r="I444" s="6"/>
      <c r="J444" s="7" t="s">
        <v>221</v>
      </c>
      <c r="K444" s="9">
        <v>39780</v>
      </c>
      <c r="L444" s="510"/>
    </row>
    <row r="445" spans="5:12" ht="15" customHeight="1">
      <c r="E445" s="509">
        <f t="shared" si="6"/>
        <v>439</v>
      </c>
      <c r="F445" s="4" t="s">
        <v>788</v>
      </c>
      <c r="G445" s="5"/>
      <c r="H445" s="5"/>
      <c r="I445" s="6"/>
      <c r="J445" s="7" t="s">
        <v>221</v>
      </c>
      <c r="K445" s="9">
        <v>41040</v>
      </c>
      <c r="L445" s="510"/>
    </row>
    <row r="446" spans="5:12" ht="15" customHeight="1">
      <c r="E446" s="509">
        <f t="shared" si="6"/>
        <v>440</v>
      </c>
      <c r="F446" s="4" t="s">
        <v>785</v>
      </c>
      <c r="G446" s="5"/>
      <c r="H446" s="5"/>
      <c r="I446" s="6"/>
      <c r="J446" s="7" t="s">
        <v>221</v>
      </c>
      <c r="K446" s="9">
        <v>55800</v>
      </c>
      <c r="L446" s="510"/>
    </row>
    <row r="447" spans="5:12" ht="15" customHeight="1">
      <c r="E447" s="509">
        <f t="shared" si="6"/>
        <v>441</v>
      </c>
      <c r="F447" s="4" t="s">
        <v>770</v>
      </c>
      <c r="G447" s="5"/>
      <c r="H447" s="5"/>
      <c r="I447" s="6"/>
      <c r="J447" s="7" t="s">
        <v>221</v>
      </c>
      <c r="K447" s="9">
        <v>16200</v>
      </c>
      <c r="L447" s="510"/>
    </row>
    <row r="448" spans="5:12" ht="15" customHeight="1">
      <c r="E448" s="509">
        <f t="shared" si="6"/>
        <v>442</v>
      </c>
      <c r="F448" s="4" t="s">
        <v>767</v>
      </c>
      <c r="G448" s="5"/>
      <c r="H448" s="5"/>
      <c r="I448" s="6"/>
      <c r="J448" s="7" t="s">
        <v>221</v>
      </c>
      <c r="K448" s="9">
        <v>19380</v>
      </c>
      <c r="L448" s="510"/>
    </row>
    <row r="449" spans="5:12" ht="15" customHeight="1">
      <c r="E449" s="509">
        <f t="shared" si="6"/>
        <v>443</v>
      </c>
      <c r="F449" s="4" t="s">
        <v>764</v>
      </c>
      <c r="G449" s="5"/>
      <c r="H449" s="5"/>
      <c r="I449" s="6"/>
      <c r="J449" s="7" t="s">
        <v>221</v>
      </c>
      <c r="K449" s="9">
        <v>14260</v>
      </c>
      <c r="L449" s="510"/>
    </row>
    <row r="450" spans="5:12" ht="15" customHeight="1">
      <c r="E450" s="509">
        <f t="shared" si="6"/>
        <v>444</v>
      </c>
      <c r="F450" s="4" t="s">
        <v>761</v>
      </c>
      <c r="G450" s="5"/>
      <c r="H450" s="5"/>
      <c r="I450" s="6"/>
      <c r="J450" s="7" t="s">
        <v>221</v>
      </c>
      <c r="K450" s="9">
        <v>15750</v>
      </c>
      <c r="L450" s="510"/>
    </row>
    <row r="451" spans="5:12" ht="15" customHeight="1">
      <c r="E451" s="509">
        <f t="shared" si="6"/>
        <v>445</v>
      </c>
      <c r="F451" s="4" t="s">
        <v>757</v>
      </c>
      <c r="G451" s="5"/>
      <c r="H451" s="5"/>
      <c r="I451" s="6"/>
      <c r="J451" s="7" t="s">
        <v>221</v>
      </c>
      <c r="K451" s="9">
        <v>17980</v>
      </c>
      <c r="L451" s="510"/>
    </row>
    <row r="452" spans="5:12" ht="15" customHeight="1">
      <c r="E452" s="509">
        <f t="shared" si="6"/>
        <v>446</v>
      </c>
      <c r="F452" s="4" t="s">
        <v>883</v>
      </c>
      <c r="G452" s="5"/>
      <c r="H452" s="5"/>
      <c r="I452" s="6"/>
      <c r="J452" s="7" t="s">
        <v>23</v>
      </c>
      <c r="K452" s="9">
        <v>35060</v>
      </c>
      <c r="L452" s="510"/>
    </row>
    <row r="453" spans="5:12" ht="15" customHeight="1">
      <c r="E453" s="509">
        <f t="shared" si="6"/>
        <v>447</v>
      </c>
      <c r="F453" s="4" t="s">
        <v>1338</v>
      </c>
      <c r="G453" s="5"/>
      <c r="H453" s="5"/>
      <c r="I453" s="6"/>
      <c r="J453" s="7" t="s">
        <v>1329</v>
      </c>
      <c r="K453" s="9">
        <v>1652000</v>
      </c>
      <c r="L453" s="510"/>
    </row>
    <row r="454" spans="5:12" ht="15" customHeight="1">
      <c r="E454" s="509">
        <f t="shared" si="6"/>
        <v>448</v>
      </c>
      <c r="F454" s="4" t="s">
        <v>1531</v>
      </c>
      <c r="G454" s="5"/>
      <c r="H454" s="5"/>
      <c r="I454" s="6"/>
      <c r="J454" s="7" t="s">
        <v>36</v>
      </c>
      <c r="K454" s="9"/>
      <c r="L454" s="510"/>
    </row>
    <row r="455" spans="5:12" ht="15" customHeight="1">
      <c r="E455" s="509">
        <f t="shared" si="6"/>
        <v>449</v>
      </c>
      <c r="F455" s="4" t="s">
        <v>1532</v>
      </c>
      <c r="G455" s="5"/>
      <c r="H455" s="5"/>
      <c r="I455" s="6"/>
      <c r="J455" s="7" t="s">
        <v>36</v>
      </c>
      <c r="K455" s="9"/>
      <c r="L455" s="510"/>
    </row>
    <row r="456" spans="5:12" ht="15" customHeight="1">
      <c r="E456" s="509">
        <f t="shared" si="6"/>
        <v>450</v>
      </c>
      <c r="F456" s="4" t="s">
        <v>1533</v>
      </c>
      <c r="G456" s="5"/>
      <c r="H456" s="5"/>
      <c r="I456" s="6"/>
      <c r="J456" s="7" t="s">
        <v>36</v>
      </c>
      <c r="K456" s="9"/>
      <c r="L456" s="510"/>
    </row>
    <row r="457" spans="5:12" ht="15" customHeight="1">
      <c r="E457" s="509">
        <f t="shared" si="6"/>
        <v>451</v>
      </c>
      <c r="F457" s="4" t="s">
        <v>1519</v>
      </c>
      <c r="G457" s="5"/>
      <c r="H457" s="5"/>
      <c r="I457" s="6"/>
      <c r="J457" s="7" t="s">
        <v>36</v>
      </c>
      <c r="K457" s="9"/>
      <c r="L457" s="510"/>
    </row>
    <row r="458" spans="5:12" ht="15" customHeight="1">
      <c r="E458" s="509">
        <f t="shared" si="6"/>
        <v>452</v>
      </c>
      <c r="F458" s="4" t="s">
        <v>1520</v>
      </c>
      <c r="G458" s="5"/>
      <c r="H458" s="5"/>
      <c r="I458" s="6"/>
      <c r="J458" s="7" t="s">
        <v>36</v>
      </c>
      <c r="K458" s="9"/>
      <c r="L458" s="510"/>
    </row>
    <row r="459" spans="5:12" ht="15" customHeight="1">
      <c r="E459" s="509">
        <f t="shared" si="6"/>
        <v>453</v>
      </c>
      <c r="F459" s="4" t="s">
        <v>1521</v>
      </c>
      <c r="G459" s="5"/>
      <c r="H459" s="5"/>
      <c r="I459" s="6"/>
      <c r="J459" s="7" t="s">
        <v>36</v>
      </c>
      <c r="K459" s="9"/>
      <c r="L459" s="510"/>
    </row>
    <row r="460" spans="5:12" ht="15" customHeight="1">
      <c r="E460" s="509">
        <f t="shared" si="6"/>
        <v>454</v>
      </c>
      <c r="F460" s="4" t="s">
        <v>1522</v>
      </c>
      <c r="G460" s="5"/>
      <c r="H460" s="5"/>
      <c r="I460" s="6"/>
      <c r="J460" s="7" t="s">
        <v>36</v>
      </c>
      <c r="K460" s="9"/>
      <c r="L460" s="510"/>
    </row>
    <row r="461" spans="5:12" ht="15" customHeight="1">
      <c r="E461" s="509">
        <f t="shared" si="6"/>
        <v>455</v>
      </c>
      <c r="F461" s="4" t="s">
        <v>1523</v>
      </c>
      <c r="G461" s="5"/>
      <c r="H461" s="5"/>
      <c r="I461" s="6"/>
      <c r="J461" s="7" t="s">
        <v>36</v>
      </c>
      <c r="K461" s="9"/>
      <c r="L461" s="510"/>
    </row>
    <row r="462" spans="5:12" ht="15" customHeight="1">
      <c r="E462" s="509">
        <f t="shared" si="6"/>
        <v>456</v>
      </c>
      <c r="F462" s="4" t="s">
        <v>1524</v>
      </c>
      <c r="G462" s="5"/>
      <c r="H462" s="5"/>
      <c r="I462" s="6"/>
      <c r="J462" s="7" t="s">
        <v>36</v>
      </c>
      <c r="K462" s="9"/>
      <c r="L462" s="510"/>
    </row>
    <row r="463" spans="5:12" ht="15" customHeight="1">
      <c r="E463" s="509">
        <f t="shared" si="6"/>
        <v>457</v>
      </c>
      <c r="F463" s="4" t="s">
        <v>1525</v>
      </c>
      <c r="G463" s="5"/>
      <c r="H463" s="5"/>
      <c r="I463" s="6"/>
      <c r="J463" s="7" t="s">
        <v>36</v>
      </c>
      <c r="K463" s="9"/>
      <c r="L463" s="510"/>
    </row>
    <row r="464" spans="5:12" ht="15" customHeight="1">
      <c r="E464" s="509">
        <f t="shared" si="6"/>
        <v>458</v>
      </c>
      <c r="F464" s="4" t="s">
        <v>1526</v>
      </c>
      <c r="G464" s="5"/>
      <c r="H464" s="5"/>
      <c r="I464" s="6"/>
      <c r="J464" s="7" t="s">
        <v>36</v>
      </c>
      <c r="K464" s="9"/>
      <c r="L464" s="510"/>
    </row>
    <row r="465" spans="5:12" ht="15" customHeight="1">
      <c r="E465" s="509">
        <f t="shared" si="6"/>
        <v>459</v>
      </c>
      <c r="F465" s="4" t="s">
        <v>1528</v>
      </c>
      <c r="G465" s="5"/>
      <c r="H465" s="5"/>
      <c r="I465" s="6"/>
      <c r="J465" s="7" t="s">
        <v>36</v>
      </c>
      <c r="K465" s="9"/>
      <c r="L465" s="510"/>
    </row>
    <row r="466" spans="5:12" ht="15" customHeight="1">
      <c r="E466" s="509">
        <f t="shared" ref="E466:E478" si="7">E465+1</f>
        <v>460</v>
      </c>
      <c r="F466" s="4" t="s">
        <v>1529</v>
      </c>
      <c r="G466" s="5"/>
      <c r="H466" s="5"/>
      <c r="I466" s="6"/>
      <c r="J466" s="7" t="s">
        <v>36</v>
      </c>
      <c r="K466" s="9"/>
      <c r="L466" s="510"/>
    </row>
    <row r="467" spans="5:12" ht="15" customHeight="1">
      <c r="E467" s="509">
        <f t="shared" si="7"/>
        <v>461</v>
      </c>
      <c r="F467" s="4" t="s">
        <v>1530</v>
      </c>
      <c r="G467" s="5"/>
      <c r="H467" s="5"/>
      <c r="I467" s="6"/>
      <c r="J467" s="7" t="s">
        <v>36</v>
      </c>
      <c r="K467" s="9"/>
      <c r="L467" s="510"/>
    </row>
    <row r="468" spans="5:12" ht="15" customHeight="1">
      <c r="E468" s="509">
        <f t="shared" si="7"/>
        <v>462</v>
      </c>
      <c r="F468" s="4" t="s">
        <v>613</v>
      </c>
      <c r="G468" s="5"/>
      <c r="H468" s="5"/>
      <c r="I468" s="6"/>
      <c r="J468" s="7" t="s">
        <v>614</v>
      </c>
      <c r="K468" s="9">
        <v>95250</v>
      </c>
      <c r="L468" s="510"/>
    </row>
    <row r="469" spans="5:12" ht="15" customHeight="1">
      <c r="E469" s="509">
        <f t="shared" si="7"/>
        <v>463</v>
      </c>
      <c r="F469" s="4" t="s">
        <v>576</v>
      </c>
      <c r="G469" s="5"/>
      <c r="H469" s="5"/>
      <c r="I469" s="6"/>
      <c r="J469" s="7" t="s">
        <v>23</v>
      </c>
      <c r="K469" s="9">
        <v>95250</v>
      </c>
      <c r="L469" s="510"/>
    </row>
    <row r="470" spans="5:12" ht="15" customHeight="1">
      <c r="E470" s="509">
        <f t="shared" si="7"/>
        <v>464</v>
      </c>
      <c r="F470" s="4" t="s">
        <v>1281</v>
      </c>
      <c r="G470" s="5"/>
      <c r="H470" s="5"/>
      <c r="I470" s="6"/>
      <c r="J470" s="7" t="s">
        <v>438</v>
      </c>
      <c r="K470" s="9">
        <v>146050</v>
      </c>
      <c r="L470" s="510"/>
    </row>
    <row r="471" spans="5:12" ht="15" customHeight="1">
      <c r="E471" s="509">
        <f t="shared" si="7"/>
        <v>465</v>
      </c>
      <c r="F471" s="4" t="s">
        <v>925</v>
      </c>
      <c r="G471" s="5"/>
      <c r="H471" s="5"/>
      <c r="I471" s="6"/>
      <c r="J471" s="7" t="s">
        <v>221</v>
      </c>
      <c r="K471" s="9">
        <v>20570</v>
      </c>
      <c r="L471" s="510"/>
    </row>
    <row r="472" spans="5:12" ht="15" customHeight="1">
      <c r="E472" s="509">
        <f t="shared" si="7"/>
        <v>466</v>
      </c>
      <c r="F472" s="4" t="s">
        <v>1301</v>
      </c>
      <c r="G472" s="5"/>
      <c r="H472" s="5"/>
      <c r="I472" s="6"/>
      <c r="J472" s="7" t="s">
        <v>23</v>
      </c>
      <c r="K472" s="9">
        <v>43750</v>
      </c>
      <c r="L472" s="510"/>
    </row>
    <row r="473" spans="5:12" ht="15" customHeight="1">
      <c r="E473" s="509">
        <f t="shared" si="7"/>
        <v>467</v>
      </c>
      <c r="F473" s="4" t="s">
        <v>928</v>
      </c>
      <c r="G473" s="5"/>
      <c r="H473" s="5"/>
      <c r="I473" s="6"/>
      <c r="J473" s="7" t="s">
        <v>33</v>
      </c>
      <c r="K473" s="9">
        <v>25000</v>
      </c>
      <c r="L473" s="510"/>
    </row>
    <row r="474" spans="5:12" ht="15" customHeight="1">
      <c r="E474" s="509">
        <f t="shared" si="7"/>
        <v>468</v>
      </c>
      <c r="F474" s="4" t="s">
        <v>1341</v>
      </c>
      <c r="G474" s="5"/>
      <c r="H474" s="5"/>
      <c r="I474" s="6"/>
      <c r="J474" s="7" t="s">
        <v>1329</v>
      </c>
      <c r="K474" s="9">
        <v>380000</v>
      </c>
      <c r="L474" s="510"/>
    </row>
    <row r="475" spans="5:12" ht="15" customHeight="1">
      <c r="E475" s="509">
        <f t="shared" si="7"/>
        <v>469</v>
      </c>
      <c r="F475" s="4" t="s">
        <v>1364</v>
      </c>
      <c r="G475" s="5"/>
      <c r="H475" s="5"/>
      <c r="I475" s="6"/>
      <c r="J475" s="7" t="s">
        <v>221</v>
      </c>
      <c r="K475" s="9">
        <v>87400</v>
      </c>
      <c r="L475" s="510"/>
    </row>
    <row r="476" spans="5:12" ht="15" customHeight="1">
      <c r="E476" s="509">
        <f t="shared" si="7"/>
        <v>470</v>
      </c>
      <c r="F476" s="4" t="s">
        <v>370</v>
      </c>
      <c r="G476" s="5"/>
      <c r="H476" s="5"/>
      <c r="I476" s="6"/>
      <c r="J476" s="7" t="s">
        <v>33</v>
      </c>
      <c r="K476" s="9">
        <v>92800</v>
      </c>
      <c r="L476" s="510"/>
    </row>
    <row r="477" spans="5:12" ht="15" customHeight="1">
      <c r="E477" s="509">
        <f t="shared" si="7"/>
        <v>471</v>
      </c>
      <c r="F477" s="4" t="s">
        <v>373</v>
      </c>
      <c r="G477" s="5"/>
      <c r="H477" s="5"/>
      <c r="I477" s="6"/>
      <c r="J477" s="7" t="s">
        <v>33</v>
      </c>
      <c r="K477" s="9">
        <v>93600</v>
      </c>
      <c r="L477" s="510"/>
    </row>
    <row r="478" spans="5:12" ht="15" customHeight="1">
      <c r="E478" s="509">
        <f t="shared" si="7"/>
        <v>472</v>
      </c>
      <c r="F478" s="4" t="s">
        <v>376</v>
      </c>
      <c r="G478" s="5"/>
      <c r="H478" s="5"/>
      <c r="I478" s="6"/>
      <c r="J478" s="7" t="s">
        <v>33</v>
      </c>
      <c r="K478" s="9">
        <v>118750</v>
      </c>
      <c r="L478" s="510"/>
    </row>
    <row r="479" spans="5:12" ht="15" customHeight="1">
      <c r="E479" s="509">
        <f t="shared" ref="E479:E485" si="8">E478+1</f>
        <v>473</v>
      </c>
      <c r="F479" s="4" t="s">
        <v>1589</v>
      </c>
      <c r="G479" s="5"/>
      <c r="H479" s="5"/>
      <c r="I479" s="6"/>
      <c r="J479" s="7" t="s">
        <v>38</v>
      </c>
      <c r="K479" s="9">
        <v>34500</v>
      </c>
      <c r="L479" s="510"/>
    </row>
    <row r="480" spans="5:12" ht="15" customHeight="1">
      <c r="E480" s="509">
        <f t="shared" si="8"/>
        <v>474</v>
      </c>
      <c r="F480" s="4" t="s">
        <v>1590</v>
      </c>
      <c r="G480" s="5"/>
      <c r="H480" s="5"/>
      <c r="I480" s="6"/>
      <c r="J480" s="7" t="s">
        <v>38</v>
      </c>
      <c r="K480" s="9">
        <v>23000</v>
      </c>
      <c r="L480" s="510"/>
    </row>
    <row r="481" spans="5:12" ht="15" customHeight="1">
      <c r="E481" s="509">
        <f t="shared" si="8"/>
        <v>475</v>
      </c>
      <c r="F481" s="4" t="s">
        <v>1591</v>
      </c>
      <c r="G481" s="5"/>
      <c r="H481" s="5"/>
      <c r="I481" s="6"/>
      <c r="J481" s="7" t="s">
        <v>38</v>
      </c>
      <c r="K481" s="9">
        <v>40250</v>
      </c>
      <c r="L481" s="510"/>
    </row>
    <row r="482" spans="5:12" ht="15" customHeight="1">
      <c r="E482" s="509">
        <f t="shared" si="8"/>
        <v>476</v>
      </c>
      <c r="F482" s="4" t="s">
        <v>1592</v>
      </c>
      <c r="G482" s="5"/>
      <c r="H482" s="5"/>
      <c r="I482" s="6"/>
      <c r="J482" s="7" t="s">
        <v>38</v>
      </c>
      <c r="K482" s="9">
        <v>115000</v>
      </c>
      <c r="L482" s="510"/>
    </row>
    <row r="483" spans="5:12" ht="15" customHeight="1">
      <c r="E483" s="509">
        <f t="shared" si="8"/>
        <v>477</v>
      </c>
      <c r="F483" s="4" t="s">
        <v>1593</v>
      </c>
      <c r="G483" s="5"/>
      <c r="H483" s="5"/>
      <c r="I483" s="6"/>
      <c r="J483" s="7" t="s">
        <v>38</v>
      </c>
      <c r="K483" s="9">
        <v>103500</v>
      </c>
      <c r="L483" s="510"/>
    </row>
    <row r="484" spans="5:12" ht="15" customHeight="1">
      <c r="E484" s="509">
        <f t="shared" si="8"/>
        <v>478</v>
      </c>
      <c r="F484" s="4" t="s">
        <v>1594</v>
      </c>
      <c r="G484" s="5"/>
      <c r="H484" s="5"/>
      <c r="I484" s="6"/>
      <c r="J484" s="7" t="s">
        <v>38</v>
      </c>
      <c r="K484" s="9">
        <v>172500</v>
      </c>
      <c r="L484" s="510"/>
    </row>
    <row r="485" spans="5:12" ht="15" customHeight="1">
      <c r="E485" s="509">
        <f t="shared" si="8"/>
        <v>479</v>
      </c>
      <c r="F485" s="4" t="s">
        <v>1595</v>
      </c>
      <c r="G485" s="5"/>
      <c r="H485" s="5"/>
      <c r="I485" s="6"/>
      <c r="J485" s="7" t="s">
        <v>1625</v>
      </c>
      <c r="K485" s="9">
        <v>160000</v>
      </c>
      <c r="L485" s="510"/>
    </row>
    <row r="486" spans="5:12" ht="15" customHeight="1">
      <c r="E486" s="509"/>
      <c r="F486" s="4"/>
      <c r="G486" s="5"/>
      <c r="H486" s="5"/>
      <c r="I486" s="6"/>
      <c r="J486" s="7"/>
      <c r="K486" s="9"/>
      <c r="L486" s="510"/>
    </row>
    <row r="487" spans="5:12" ht="15" customHeight="1">
      <c r="E487" s="509"/>
      <c r="F487" s="4"/>
      <c r="G487" s="5"/>
      <c r="H487" s="5"/>
      <c r="I487" s="6"/>
      <c r="J487" s="7"/>
      <c r="K487" s="9"/>
      <c r="L487" s="510"/>
    </row>
    <row r="488" spans="5:12" ht="15" customHeight="1">
      <c r="E488" s="509"/>
      <c r="F488" s="13" t="s">
        <v>1626</v>
      </c>
      <c r="G488" s="5"/>
      <c r="H488" s="5"/>
      <c r="I488" s="6"/>
      <c r="J488" s="7"/>
      <c r="K488" s="9"/>
      <c r="L488" s="510"/>
    </row>
    <row r="489" spans="5:12" ht="15" customHeight="1">
      <c r="E489" s="509">
        <v>1</v>
      </c>
      <c r="F489" s="14" t="s">
        <v>1527</v>
      </c>
      <c r="G489" s="5"/>
      <c r="H489" s="5"/>
      <c r="I489" s="6"/>
      <c r="J489" s="7" t="s">
        <v>1627</v>
      </c>
      <c r="K489" s="9">
        <v>1291500</v>
      </c>
      <c r="L489" s="510"/>
    </row>
    <row r="490" spans="5:12" ht="15" customHeight="1">
      <c r="E490" s="509">
        <f>E489+1</f>
        <v>2</v>
      </c>
      <c r="F490" s="15" t="s">
        <v>1512</v>
      </c>
      <c r="G490" s="5"/>
      <c r="H490" s="5"/>
      <c r="I490" s="6"/>
      <c r="J490" s="7" t="s">
        <v>1628</v>
      </c>
      <c r="K490" s="9">
        <v>280800</v>
      </c>
      <c r="L490" s="510"/>
    </row>
    <row r="491" spans="5:12" ht="15" customHeight="1">
      <c r="E491" s="509">
        <f t="shared" ref="E491:E503" si="9">E490+1</f>
        <v>3</v>
      </c>
      <c r="F491" s="15" t="s">
        <v>1513</v>
      </c>
      <c r="G491" s="5"/>
      <c r="H491" s="5"/>
      <c r="I491" s="6"/>
      <c r="J491" s="7" t="s">
        <v>1628</v>
      </c>
      <c r="K491" s="9">
        <v>767000</v>
      </c>
      <c r="L491" s="510"/>
    </row>
    <row r="492" spans="5:12" ht="15" customHeight="1">
      <c r="E492" s="509">
        <f t="shared" si="9"/>
        <v>4</v>
      </c>
      <c r="F492" s="15" t="s">
        <v>1518</v>
      </c>
      <c r="G492" s="5"/>
      <c r="H492" s="5"/>
      <c r="I492" s="6"/>
      <c r="J492" s="7" t="s">
        <v>1628</v>
      </c>
      <c r="K492" s="9">
        <v>767000</v>
      </c>
      <c r="L492" s="510"/>
    </row>
    <row r="493" spans="5:12" ht="15" customHeight="1">
      <c r="E493" s="509">
        <f t="shared" si="9"/>
        <v>5</v>
      </c>
      <c r="F493" s="5" t="s">
        <v>540</v>
      </c>
      <c r="G493" s="5"/>
      <c r="H493" s="5"/>
      <c r="I493" s="6"/>
      <c r="J493" s="7" t="s">
        <v>529</v>
      </c>
      <c r="K493" s="9">
        <v>150000</v>
      </c>
      <c r="L493" s="510"/>
    </row>
    <row r="494" spans="5:12" ht="15" customHeight="1">
      <c r="E494" s="509">
        <f t="shared" si="9"/>
        <v>6</v>
      </c>
      <c r="F494" s="15" t="s">
        <v>1549</v>
      </c>
      <c r="G494" s="5"/>
      <c r="H494" s="5"/>
      <c r="I494" s="6"/>
      <c r="J494" s="7" t="s">
        <v>1628</v>
      </c>
      <c r="K494" s="9">
        <v>393750</v>
      </c>
      <c r="L494" s="510"/>
    </row>
    <row r="495" spans="5:12" ht="15" customHeight="1">
      <c r="E495" s="509">
        <f t="shared" si="9"/>
        <v>7</v>
      </c>
      <c r="F495" s="15" t="s">
        <v>1550</v>
      </c>
      <c r="G495" s="5"/>
      <c r="H495" s="5"/>
      <c r="I495" s="6"/>
      <c r="J495" s="7" t="s">
        <v>1628</v>
      </c>
      <c r="K495" s="9">
        <v>358750</v>
      </c>
      <c r="L495" s="510"/>
    </row>
    <row r="496" spans="5:12" ht="15" customHeight="1">
      <c r="E496" s="509">
        <f t="shared" si="9"/>
        <v>8</v>
      </c>
      <c r="F496" s="15" t="s">
        <v>1433</v>
      </c>
      <c r="G496" s="5"/>
      <c r="H496" s="5"/>
      <c r="I496" s="6"/>
      <c r="J496" s="7" t="s">
        <v>1628</v>
      </c>
      <c r="K496" s="9">
        <v>562280</v>
      </c>
      <c r="L496" s="510"/>
    </row>
    <row r="497" spans="5:12" ht="15" customHeight="1">
      <c r="E497" s="509">
        <f t="shared" si="9"/>
        <v>9</v>
      </c>
      <c r="F497" s="4" t="s">
        <v>495</v>
      </c>
      <c r="G497" s="5"/>
      <c r="H497" s="5"/>
      <c r="I497" s="6"/>
      <c r="J497" s="7" t="s">
        <v>1628</v>
      </c>
      <c r="K497" s="9">
        <v>1540000</v>
      </c>
      <c r="L497" s="510"/>
    </row>
    <row r="498" spans="5:12" ht="15" customHeight="1">
      <c r="E498" s="509">
        <f t="shared" si="9"/>
        <v>10</v>
      </c>
      <c r="F498" s="4" t="s">
        <v>1629</v>
      </c>
      <c r="G498" s="5"/>
      <c r="H498" s="5"/>
      <c r="I498" s="6"/>
      <c r="J498" s="7" t="s">
        <v>1628</v>
      </c>
      <c r="K498" s="9">
        <v>396800</v>
      </c>
      <c r="L498" s="510"/>
    </row>
    <row r="499" spans="5:12" ht="15" customHeight="1">
      <c r="E499" s="511">
        <f t="shared" si="9"/>
        <v>11</v>
      </c>
      <c r="F499" s="4" t="s">
        <v>1487</v>
      </c>
      <c r="G499" s="5"/>
      <c r="H499" s="5"/>
      <c r="I499" s="6"/>
      <c r="J499" s="7" t="s">
        <v>1628</v>
      </c>
      <c r="K499" s="9">
        <v>1997520</v>
      </c>
      <c r="L499" s="510"/>
    </row>
    <row r="500" spans="5:12" ht="15" customHeight="1">
      <c r="E500" s="511">
        <f t="shared" si="9"/>
        <v>12</v>
      </c>
      <c r="F500" s="16" t="s">
        <v>1607</v>
      </c>
      <c r="G500" s="5"/>
      <c r="H500" s="5"/>
      <c r="I500" s="6"/>
      <c r="J500" s="7" t="s">
        <v>1627</v>
      </c>
      <c r="K500" s="9">
        <v>3500000</v>
      </c>
      <c r="L500" s="510"/>
    </row>
    <row r="501" spans="5:12" ht="15" customHeight="1">
      <c r="E501" s="511">
        <f t="shared" si="9"/>
        <v>13</v>
      </c>
      <c r="F501" s="16" t="s">
        <v>1608</v>
      </c>
      <c r="G501" s="5"/>
      <c r="H501" s="5"/>
      <c r="I501" s="6"/>
      <c r="J501" s="7"/>
      <c r="K501" s="9"/>
      <c r="L501" s="510"/>
    </row>
    <row r="502" spans="5:12" ht="15" customHeight="1">
      <c r="E502" s="511">
        <f t="shared" si="9"/>
        <v>14</v>
      </c>
      <c r="F502" s="16" t="s">
        <v>1609</v>
      </c>
      <c r="G502" s="5"/>
      <c r="H502" s="5"/>
      <c r="I502" s="6"/>
      <c r="J502" s="7" t="s">
        <v>1627</v>
      </c>
      <c r="K502" s="9">
        <v>750000</v>
      </c>
      <c r="L502" s="510"/>
    </row>
    <row r="503" spans="5:12" ht="15" customHeight="1">
      <c r="E503" s="511">
        <f t="shared" si="9"/>
        <v>15</v>
      </c>
      <c r="F503" s="16" t="s">
        <v>1610</v>
      </c>
      <c r="G503" s="5"/>
      <c r="H503" s="5"/>
      <c r="I503" s="6"/>
      <c r="J503" s="7" t="s">
        <v>1627</v>
      </c>
      <c r="K503" s="9">
        <v>505500</v>
      </c>
      <c r="L503" s="510"/>
    </row>
    <row r="504" spans="5:12" ht="15" customHeight="1">
      <c r="E504" s="511"/>
      <c r="F504" s="4"/>
      <c r="G504" s="5"/>
      <c r="H504" s="5"/>
      <c r="I504" s="6"/>
      <c r="J504" s="7"/>
      <c r="K504" s="9"/>
      <c r="L504" s="510"/>
    </row>
    <row r="505" spans="5:12" ht="15" customHeight="1">
      <c r="E505" s="512"/>
      <c r="F505" s="17"/>
      <c r="G505" s="18"/>
      <c r="H505" s="18"/>
      <c r="I505" s="19"/>
      <c r="J505" s="20"/>
      <c r="K505" s="21"/>
      <c r="L505" s="513"/>
    </row>
    <row r="506" spans="5:12" ht="15" customHeight="1">
      <c r="E506" s="512"/>
      <c r="F506" s="17"/>
      <c r="G506" s="18"/>
      <c r="H506" s="18"/>
      <c r="I506" s="19"/>
      <c r="J506" s="20"/>
      <c r="K506" s="21"/>
      <c r="L506" s="513"/>
    </row>
    <row r="507" spans="5:12" ht="15" customHeight="1">
      <c r="E507" s="509"/>
      <c r="F507" s="4"/>
      <c r="G507" s="5"/>
      <c r="H507" s="5"/>
      <c r="I507" s="6"/>
      <c r="J507" s="7"/>
      <c r="K507" s="9"/>
      <c r="L507" s="510"/>
    </row>
    <row r="508" spans="5:12" ht="15" customHeight="1">
      <c r="E508" s="509"/>
      <c r="F508" s="4"/>
      <c r="G508" s="5"/>
      <c r="H508" s="5"/>
      <c r="I508" s="6"/>
      <c r="J508" s="7"/>
      <c r="K508" s="9"/>
      <c r="L508" s="510"/>
    </row>
    <row r="509" spans="5:12" ht="15" customHeight="1">
      <c r="E509" s="509"/>
      <c r="F509" s="4"/>
      <c r="G509" s="5"/>
      <c r="H509" s="5"/>
      <c r="I509" s="6"/>
      <c r="J509" s="7"/>
      <c r="K509" s="9"/>
      <c r="L509" s="510"/>
    </row>
    <row r="510" spans="5:12" ht="15" customHeight="1" thickBot="1">
      <c r="E510" s="514"/>
      <c r="F510" s="515"/>
      <c r="G510" s="516"/>
      <c r="H510" s="516"/>
      <c r="I510" s="517"/>
      <c r="J510" s="518"/>
      <c r="K510" s="519"/>
      <c r="L510" s="520"/>
    </row>
  </sheetData>
  <mergeCells count="1">
    <mergeCell ref="A29:C29"/>
  </mergeCells>
  <pageMargins left="0.70866141732283472" right="0.70866141732283472" top="0.74803149606299213" bottom="0.74803149606299213" header="0.31496062992125984" footer="0.31496062992125984"/>
  <pageSetup paperSize="9" scale="9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9F177-0141-49B7-91F9-F66673D526E0}">
  <sheetPr codeName="Sheet5">
    <tabColor rgb="FF1F4E78"/>
  </sheetPr>
  <dimension ref="A1:R55"/>
  <sheetViews>
    <sheetView showGridLines="0" showRowColHeaders="0" zoomScale="75" zoomScaleNormal="75" workbookViewId="0">
      <pane ySplit="4" topLeftCell="A5" activePane="bottomLeft" state="frozen"/>
      <selection pane="bottomLeft" activeCell="M6" sqref="M6"/>
    </sheetView>
  </sheetViews>
  <sheetFormatPr defaultColWidth="9.21875" defaultRowHeight="15" customHeight="1"/>
  <cols>
    <col min="1" max="3" width="10.77734375" style="630" customWidth="1"/>
    <col min="4" max="4" width="3.77734375" style="665" customWidth="1"/>
    <col min="5" max="5" width="6.77734375" style="33" customWidth="1"/>
    <col min="6" max="6" width="1.77734375" style="33" customWidth="1"/>
    <col min="7" max="12" width="9.21875" style="33"/>
    <col min="13" max="14" width="18.77734375" style="33" customWidth="1"/>
    <col min="15" max="15" width="15.21875" style="33" customWidth="1"/>
    <col min="16" max="16" width="2" style="469" customWidth="1"/>
    <col min="17" max="17" width="12.5546875" style="469" bestFit="1" customWidth="1"/>
    <col min="18" max="16384" width="9.21875" style="469"/>
  </cols>
  <sheetData>
    <row r="1" spans="1:18" s="630" customFormat="1" ht="15" customHeight="1">
      <c r="E1" s="631"/>
      <c r="F1" s="631"/>
      <c r="G1" s="631"/>
      <c r="H1" s="631"/>
      <c r="I1" s="631"/>
      <c r="J1" s="631"/>
      <c r="K1" s="631"/>
      <c r="L1" s="631"/>
      <c r="M1" s="631"/>
      <c r="N1" s="631"/>
      <c r="O1" s="631"/>
    </row>
    <row r="2" spans="1:18" s="630" customFormat="1" ht="15" customHeight="1">
      <c r="E2" s="937" t="s">
        <v>2392</v>
      </c>
      <c r="F2" s="631"/>
      <c r="G2" s="631"/>
      <c r="H2" s="631"/>
      <c r="I2" s="631"/>
      <c r="J2" s="631"/>
      <c r="K2" s="631"/>
      <c r="L2" s="631"/>
      <c r="M2" s="631"/>
      <c r="N2" s="631"/>
      <c r="O2" s="631"/>
    </row>
    <row r="3" spans="1:18" s="630" customFormat="1" ht="15" customHeight="1" thickBot="1">
      <c r="E3" s="631"/>
      <c r="F3" s="631"/>
      <c r="G3" s="631"/>
      <c r="H3" s="631"/>
      <c r="I3" s="631"/>
      <c r="J3" s="631"/>
      <c r="K3" s="631"/>
      <c r="L3" s="631"/>
      <c r="M3" s="631"/>
      <c r="N3" s="631"/>
      <c r="O3" s="631"/>
    </row>
    <row r="4" spans="1:18" s="470" customFormat="1" ht="15" customHeight="1">
      <c r="A4" s="632"/>
      <c r="B4" s="632"/>
      <c r="C4" s="632"/>
      <c r="D4" s="666"/>
      <c r="E4" s="615" t="s">
        <v>1620</v>
      </c>
      <c r="F4" s="1106" t="s">
        <v>1630</v>
      </c>
      <c r="G4" s="1106"/>
      <c r="H4" s="1106"/>
      <c r="I4" s="1106"/>
      <c r="J4" s="1106"/>
      <c r="K4" s="616" t="s">
        <v>163</v>
      </c>
      <c r="L4" s="616" t="s">
        <v>138</v>
      </c>
      <c r="M4" s="1106" t="s">
        <v>165</v>
      </c>
      <c r="N4" s="1106"/>
      <c r="O4" s="617" t="s">
        <v>1621</v>
      </c>
      <c r="Q4" s="614" t="s">
        <v>1631</v>
      </c>
      <c r="R4" s="613">
        <v>8</v>
      </c>
    </row>
    <row r="5" spans="1:18" ht="15" customHeight="1">
      <c r="E5" s="532"/>
      <c r="F5" s="529"/>
      <c r="G5" s="530"/>
      <c r="H5" s="530"/>
      <c r="I5" s="530"/>
      <c r="J5" s="531"/>
      <c r="K5" s="528"/>
      <c r="L5" s="528"/>
      <c r="M5" s="528"/>
      <c r="N5" s="528"/>
      <c r="O5" s="533"/>
    </row>
    <row r="6" spans="1:18" ht="15" customHeight="1">
      <c r="E6" s="534">
        <v>1</v>
      </c>
      <c r="F6" s="23"/>
      <c r="G6" s="24" t="s">
        <v>169</v>
      </c>
      <c r="H6" s="24"/>
      <c r="I6" s="24"/>
      <c r="J6" s="25"/>
      <c r="K6" s="26" t="s">
        <v>1632</v>
      </c>
      <c r="L6" s="26" t="s">
        <v>171</v>
      </c>
      <c r="M6" s="27">
        <f t="shared" ref="M6:M41" si="0">TRUNC(N6/$R$4,-2)</f>
        <v>15600</v>
      </c>
      <c r="N6" s="27">
        <v>125000</v>
      </c>
      <c r="O6" s="535"/>
    </row>
    <row r="7" spans="1:18" ht="15" customHeight="1">
      <c r="E7" s="534">
        <f>E6+1</f>
        <v>2</v>
      </c>
      <c r="F7" s="23"/>
      <c r="G7" s="24" t="s">
        <v>1599</v>
      </c>
      <c r="H7" s="24"/>
      <c r="I7" s="24"/>
      <c r="J7" s="25"/>
      <c r="K7" s="26" t="s">
        <v>1632</v>
      </c>
      <c r="L7" s="26" t="s">
        <v>171</v>
      </c>
      <c r="M7" s="27">
        <f t="shared" si="0"/>
        <v>15600</v>
      </c>
      <c r="N7" s="27">
        <v>125000</v>
      </c>
      <c r="O7" s="535"/>
    </row>
    <row r="8" spans="1:18" ht="15" customHeight="1">
      <c r="E8" s="534">
        <f>E7+1</f>
        <v>3</v>
      </c>
      <c r="F8" s="23"/>
      <c r="G8" s="24" t="s">
        <v>1600</v>
      </c>
      <c r="H8" s="24"/>
      <c r="I8" s="24"/>
      <c r="J8" s="25"/>
      <c r="K8" s="26" t="s">
        <v>1632</v>
      </c>
      <c r="L8" s="26" t="s">
        <v>171</v>
      </c>
      <c r="M8" s="27">
        <f t="shared" si="0"/>
        <v>15600</v>
      </c>
      <c r="N8" s="27">
        <v>125000</v>
      </c>
      <c r="O8" s="535"/>
    </row>
    <row r="9" spans="1:18" ht="15" customHeight="1">
      <c r="E9" s="534">
        <f>E8+1</f>
        <v>4</v>
      </c>
      <c r="F9" s="23"/>
      <c r="G9" s="24" t="s">
        <v>258</v>
      </c>
      <c r="H9" s="24"/>
      <c r="I9" s="24"/>
      <c r="J9" s="25"/>
      <c r="K9" s="26" t="s">
        <v>1633</v>
      </c>
      <c r="L9" s="26" t="s">
        <v>171</v>
      </c>
      <c r="M9" s="27">
        <f t="shared" si="0"/>
        <v>18700</v>
      </c>
      <c r="N9" s="27">
        <v>150000</v>
      </c>
      <c r="O9" s="535"/>
    </row>
    <row r="10" spans="1:18" ht="15" customHeight="1">
      <c r="E10" s="534">
        <f>E9+1</f>
        <v>5</v>
      </c>
      <c r="F10" s="23"/>
      <c r="G10" s="24" t="s">
        <v>1634</v>
      </c>
      <c r="H10" s="24"/>
      <c r="I10" s="24"/>
      <c r="J10" s="25"/>
      <c r="K10" s="26" t="s">
        <v>1633</v>
      </c>
      <c r="L10" s="26" t="s">
        <v>171</v>
      </c>
      <c r="M10" s="27">
        <f t="shared" si="0"/>
        <v>15600</v>
      </c>
      <c r="N10" s="27">
        <f>$N$6</f>
        <v>125000</v>
      </c>
      <c r="O10" s="535"/>
    </row>
    <row r="11" spans="1:18" ht="15" customHeight="1">
      <c r="E11" s="534">
        <f t="shared" ref="E11:E41" si="1">E10+1</f>
        <v>6</v>
      </c>
      <c r="F11" s="23"/>
      <c r="G11" s="24" t="s">
        <v>308</v>
      </c>
      <c r="H11" s="24"/>
      <c r="I11" s="24"/>
      <c r="J11" s="25"/>
      <c r="K11" s="26" t="s">
        <v>1633</v>
      </c>
      <c r="L11" s="26" t="s">
        <v>171</v>
      </c>
      <c r="M11" s="27">
        <f t="shared" si="0"/>
        <v>18700</v>
      </c>
      <c r="N11" s="27">
        <f t="shared" ref="N11:N21" si="2">$N$9</f>
        <v>150000</v>
      </c>
      <c r="O11" s="535"/>
    </row>
    <row r="12" spans="1:18" ht="15" customHeight="1">
      <c r="E12" s="534">
        <f t="shared" si="1"/>
        <v>7</v>
      </c>
      <c r="F12" s="23"/>
      <c r="G12" s="24" t="s">
        <v>172</v>
      </c>
      <c r="H12" s="24"/>
      <c r="I12" s="24"/>
      <c r="J12" s="25"/>
      <c r="K12" s="26" t="s">
        <v>1633</v>
      </c>
      <c r="L12" s="26" t="s">
        <v>171</v>
      </c>
      <c r="M12" s="27">
        <f t="shared" si="0"/>
        <v>18700</v>
      </c>
      <c r="N12" s="27">
        <f t="shared" si="2"/>
        <v>150000</v>
      </c>
      <c r="O12" s="535"/>
    </row>
    <row r="13" spans="1:18" ht="15" customHeight="1">
      <c r="E13" s="534">
        <f t="shared" si="1"/>
        <v>8</v>
      </c>
      <c r="F13" s="23"/>
      <c r="G13" s="24" t="s">
        <v>379</v>
      </c>
      <c r="H13" s="24"/>
      <c r="I13" s="24"/>
      <c r="J13" s="25"/>
      <c r="K13" s="26" t="s">
        <v>1633</v>
      </c>
      <c r="L13" s="26" t="s">
        <v>171</v>
      </c>
      <c r="M13" s="27">
        <f t="shared" si="0"/>
        <v>18700</v>
      </c>
      <c r="N13" s="27">
        <f t="shared" si="2"/>
        <v>150000</v>
      </c>
      <c r="O13" s="535"/>
    </row>
    <row r="14" spans="1:18" ht="15" customHeight="1">
      <c r="E14" s="534">
        <f t="shared" si="1"/>
        <v>9</v>
      </c>
      <c r="F14" s="23"/>
      <c r="G14" s="24" t="s">
        <v>525</v>
      </c>
      <c r="H14" s="24"/>
      <c r="I14" s="24"/>
      <c r="J14" s="25"/>
      <c r="K14" s="26" t="s">
        <v>1633</v>
      </c>
      <c r="L14" s="26" t="s">
        <v>171</v>
      </c>
      <c r="M14" s="27">
        <f t="shared" si="0"/>
        <v>18700</v>
      </c>
      <c r="N14" s="27">
        <f>$N$9</f>
        <v>150000</v>
      </c>
      <c r="O14" s="535"/>
    </row>
    <row r="15" spans="1:18" ht="15" customHeight="1">
      <c r="E15" s="534">
        <f t="shared" si="1"/>
        <v>10</v>
      </c>
      <c r="F15" s="23"/>
      <c r="G15" s="24" t="s">
        <v>558</v>
      </c>
      <c r="H15" s="24"/>
      <c r="I15" s="24"/>
      <c r="J15" s="25"/>
      <c r="K15" s="26" t="s">
        <v>1633</v>
      </c>
      <c r="L15" s="26" t="s">
        <v>171</v>
      </c>
      <c r="M15" s="27">
        <f t="shared" si="0"/>
        <v>18700</v>
      </c>
      <c r="N15" s="27">
        <f>$N$9</f>
        <v>150000</v>
      </c>
      <c r="O15" s="535"/>
    </row>
    <row r="16" spans="1:18" ht="15" customHeight="1">
      <c r="E16" s="534">
        <f t="shared" si="1"/>
        <v>11</v>
      </c>
      <c r="F16" s="23"/>
      <c r="G16" s="24" t="s">
        <v>1635</v>
      </c>
      <c r="H16" s="24"/>
      <c r="I16" s="24"/>
      <c r="J16" s="25"/>
      <c r="K16" s="26" t="s">
        <v>1633</v>
      </c>
      <c r="L16" s="26" t="s">
        <v>171</v>
      </c>
      <c r="M16" s="27">
        <f t="shared" si="0"/>
        <v>18700</v>
      </c>
      <c r="N16" s="27">
        <f t="shared" si="2"/>
        <v>150000</v>
      </c>
      <c r="O16" s="535"/>
    </row>
    <row r="17" spans="1:15" ht="15" customHeight="1">
      <c r="E17" s="534">
        <f t="shared" si="1"/>
        <v>12</v>
      </c>
      <c r="F17" s="23"/>
      <c r="G17" s="24" t="s">
        <v>368</v>
      </c>
      <c r="H17" s="24"/>
      <c r="I17" s="24"/>
      <c r="J17" s="25"/>
      <c r="K17" s="26" t="s">
        <v>1633</v>
      </c>
      <c r="L17" s="26" t="s">
        <v>171</v>
      </c>
      <c r="M17" s="27">
        <f t="shared" si="0"/>
        <v>18700</v>
      </c>
      <c r="N17" s="27">
        <f t="shared" si="2"/>
        <v>150000</v>
      </c>
      <c r="O17" s="535"/>
    </row>
    <row r="18" spans="1:15" ht="15" customHeight="1">
      <c r="E18" s="534">
        <f t="shared" si="1"/>
        <v>13</v>
      </c>
      <c r="F18" s="23"/>
      <c r="G18" s="24" t="s">
        <v>1601</v>
      </c>
      <c r="H18" s="24"/>
      <c r="I18" s="24"/>
      <c r="J18" s="25"/>
      <c r="K18" s="26" t="s">
        <v>1633</v>
      </c>
      <c r="L18" s="26" t="s">
        <v>171</v>
      </c>
      <c r="M18" s="27">
        <f t="shared" si="0"/>
        <v>18700</v>
      </c>
      <c r="N18" s="27">
        <f t="shared" si="2"/>
        <v>150000</v>
      </c>
      <c r="O18" s="535"/>
    </row>
    <row r="19" spans="1:15" ht="15" customHeight="1">
      <c r="E19" s="534">
        <f t="shared" si="1"/>
        <v>14</v>
      </c>
      <c r="F19" s="23"/>
      <c r="G19" s="24" t="s">
        <v>1636</v>
      </c>
      <c r="H19" s="24"/>
      <c r="I19" s="24"/>
      <c r="J19" s="25"/>
      <c r="K19" s="26" t="s">
        <v>1633</v>
      </c>
      <c r="L19" s="26" t="s">
        <v>171</v>
      </c>
      <c r="M19" s="27">
        <f t="shared" si="0"/>
        <v>15600</v>
      </c>
      <c r="N19" s="27">
        <f>$N$6</f>
        <v>125000</v>
      </c>
      <c r="O19" s="535"/>
    </row>
    <row r="20" spans="1:15" ht="15" customHeight="1">
      <c r="E20" s="534">
        <f t="shared" si="1"/>
        <v>15</v>
      </c>
      <c r="F20" s="23"/>
      <c r="G20" s="24" t="s">
        <v>1637</v>
      </c>
      <c r="H20" s="24"/>
      <c r="I20" s="24"/>
      <c r="J20" s="25"/>
      <c r="K20" s="26" t="s">
        <v>1633</v>
      </c>
      <c r="L20" s="26" t="s">
        <v>171</v>
      </c>
      <c r="M20" s="27">
        <f t="shared" si="0"/>
        <v>18700</v>
      </c>
      <c r="N20" s="27">
        <f t="shared" si="2"/>
        <v>150000</v>
      </c>
      <c r="O20" s="535"/>
    </row>
    <row r="21" spans="1:15" ht="15" customHeight="1">
      <c r="E21" s="534">
        <f t="shared" si="1"/>
        <v>16</v>
      </c>
      <c r="F21" s="23"/>
      <c r="G21" s="24" t="s">
        <v>1638</v>
      </c>
      <c r="H21" s="24"/>
      <c r="I21" s="24"/>
      <c r="J21" s="25"/>
      <c r="K21" s="26" t="s">
        <v>1633</v>
      </c>
      <c r="L21" s="26" t="s">
        <v>171</v>
      </c>
      <c r="M21" s="27">
        <f t="shared" si="0"/>
        <v>18700</v>
      </c>
      <c r="N21" s="27">
        <f t="shared" si="2"/>
        <v>150000</v>
      </c>
      <c r="O21" s="535"/>
    </row>
    <row r="22" spans="1:15" ht="15" customHeight="1">
      <c r="E22" s="534">
        <f t="shared" si="1"/>
        <v>17</v>
      </c>
      <c r="F22" s="23"/>
      <c r="G22" s="24" t="s">
        <v>532</v>
      </c>
      <c r="H22" s="24"/>
      <c r="I22" s="24"/>
      <c r="J22" s="25"/>
      <c r="K22" s="26" t="s">
        <v>1633</v>
      </c>
      <c r="L22" s="26" t="s">
        <v>171</v>
      </c>
      <c r="M22" s="27">
        <f t="shared" si="0"/>
        <v>18700</v>
      </c>
      <c r="N22" s="27">
        <f>$N$9</f>
        <v>150000</v>
      </c>
      <c r="O22" s="535"/>
    </row>
    <row r="23" spans="1:15" ht="15" customHeight="1">
      <c r="E23" s="534">
        <f t="shared" si="1"/>
        <v>18</v>
      </c>
      <c r="F23" s="23"/>
      <c r="G23" s="28" t="s">
        <v>517</v>
      </c>
      <c r="H23" s="24"/>
      <c r="I23" s="24"/>
      <c r="J23" s="25"/>
      <c r="K23" s="26" t="s">
        <v>1633</v>
      </c>
      <c r="L23" s="26" t="s">
        <v>171</v>
      </c>
      <c r="M23" s="27">
        <f t="shared" si="0"/>
        <v>18700</v>
      </c>
      <c r="N23" s="27">
        <f>$N$9</f>
        <v>150000</v>
      </c>
      <c r="O23" s="535"/>
    </row>
    <row r="24" spans="1:15" ht="15" customHeight="1">
      <c r="E24" s="534">
        <f t="shared" si="1"/>
        <v>19</v>
      </c>
      <c r="F24" s="23"/>
      <c r="G24" s="24" t="s">
        <v>174</v>
      </c>
      <c r="H24" s="24"/>
      <c r="I24" s="24"/>
      <c r="J24" s="25"/>
      <c r="K24" s="26" t="s">
        <v>1639</v>
      </c>
      <c r="L24" s="26" t="s">
        <v>171</v>
      </c>
      <c r="M24" s="27">
        <f t="shared" si="0"/>
        <v>20600</v>
      </c>
      <c r="N24" s="27">
        <f>N9+15000</f>
        <v>165000</v>
      </c>
      <c r="O24" s="535"/>
    </row>
    <row r="25" spans="1:15" ht="15" customHeight="1">
      <c r="E25" s="534">
        <f t="shared" si="1"/>
        <v>20</v>
      </c>
      <c r="F25" s="23"/>
      <c r="G25" s="24" t="s">
        <v>176</v>
      </c>
      <c r="H25" s="24"/>
      <c r="I25" s="24"/>
      <c r="J25" s="25"/>
      <c r="K25" s="26" t="s">
        <v>1640</v>
      </c>
      <c r="L25" s="26" t="s">
        <v>171</v>
      </c>
      <c r="M25" s="27">
        <f t="shared" si="0"/>
        <v>21200</v>
      </c>
      <c r="N25" s="27">
        <f>N9+20000</f>
        <v>170000</v>
      </c>
      <c r="O25" s="535"/>
    </row>
    <row r="26" spans="1:15" ht="15" customHeight="1">
      <c r="E26" s="534">
        <f t="shared" si="1"/>
        <v>21</v>
      </c>
      <c r="F26" s="23"/>
      <c r="G26" s="24" t="s">
        <v>1641</v>
      </c>
      <c r="H26" s="24"/>
      <c r="I26" s="24"/>
      <c r="J26" s="25"/>
      <c r="K26" s="26" t="s">
        <v>1642</v>
      </c>
      <c r="L26" s="26" t="s">
        <v>171</v>
      </c>
      <c r="M26" s="27">
        <f t="shared" si="0"/>
        <v>20600</v>
      </c>
      <c r="N26" s="27">
        <f>$N$9*1.1</f>
        <v>165000</v>
      </c>
      <c r="O26" s="536"/>
    </row>
    <row r="27" spans="1:15" ht="15" customHeight="1">
      <c r="E27" s="534">
        <f t="shared" si="1"/>
        <v>22</v>
      </c>
      <c r="F27" s="23"/>
      <c r="G27" s="24" t="s">
        <v>1643</v>
      </c>
      <c r="H27" s="24"/>
      <c r="I27" s="24"/>
      <c r="J27" s="25"/>
      <c r="K27" s="26" t="s">
        <v>1644</v>
      </c>
      <c r="L27" s="26" t="s">
        <v>171</v>
      </c>
      <c r="M27" s="27">
        <f t="shared" si="0"/>
        <v>20600</v>
      </c>
      <c r="N27" s="27">
        <f>$N$9*1.1</f>
        <v>165000</v>
      </c>
      <c r="O27" s="535"/>
    </row>
    <row r="28" spans="1:15" ht="15" customHeight="1">
      <c r="E28" s="534">
        <f t="shared" si="1"/>
        <v>23</v>
      </c>
      <c r="F28" s="23"/>
      <c r="G28" s="24" t="s">
        <v>1645</v>
      </c>
      <c r="H28" s="24"/>
      <c r="I28" s="24"/>
      <c r="J28" s="25"/>
      <c r="K28" s="26" t="s">
        <v>1646</v>
      </c>
      <c r="L28" s="26" t="s">
        <v>171</v>
      </c>
      <c r="M28" s="27">
        <f t="shared" si="0"/>
        <v>20600</v>
      </c>
      <c r="N28" s="27">
        <f>$N$9*1.1</f>
        <v>165000</v>
      </c>
      <c r="O28" s="535"/>
    </row>
    <row r="29" spans="1:15" ht="15" customHeight="1">
      <c r="A29" s="1096" t="s">
        <v>2381</v>
      </c>
      <c r="B29" s="1096"/>
      <c r="C29" s="1096"/>
      <c r="E29" s="534">
        <f t="shared" si="1"/>
        <v>24</v>
      </c>
      <c r="F29" s="23"/>
      <c r="G29" s="24" t="s">
        <v>1647</v>
      </c>
      <c r="H29" s="24"/>
      <c r="I29" s="24"/>
      <c r="J29" s="25"/>
      <c r="K29" s="26" t="s">
        <v>1648</v>
      </c>
      <c r="L29" s="26" t="s">
        <v>171</v>
      </c>
      <c r="M29" s="27">
        <f t="shared" si="0"/>
        <v>20600</v>
      </c>
      <c r="N29" s="27">
        <f>$N$24</f>
        <v>165000</v>
      </c>
      <c r="O29" s="535"/>
    </row>
    <row r="30" spans="1:15" ht="15" customHeight="1">
      <c r="E30" s="534">
        <f t="shared" si="1"/>
        <v>25</v>
      </c>
      <c r="F30" s="23"/>
      <c r="G30" s="24" t="s">
        <v>1649</v>
      </c>
      <c r="H30" s="24"/>
      <c r="I30" s="24"/>
      <c r="J30" s="25"/>
      <c r="K30" s="26" t="s">
        <v>1650</v>
      </c>
      <c r="L30" s="26" t="s">
        <v>171</v>
      </c>
      <c r="M30" s="27">
        <f t="shared" si="0"/>
        <v>18500</v>
      </c>
      <c r="N30" s="27">
        <f>$N$29*0.9</f>
        <v>148500</v>
      </c>
      <c r="O30" s="535"/>
    </row>
    <row r="31" spans="1:15" ht="15" customHeight="1">
      <c r="E31" s="534">
        <f t="shared" si="1"/>
        <v>26</v>
      </c>
      <c r="F31" s="23"/>
      <c r="G31" s="24" t="s">
        <v>1514</v>
      </c>
      <c r="H31" s="24"/>
      <c r="I31" s="24"/>
      <c r="J31" s="25"/>
      <c r="K31" s="26" t="s">
        <v>1648</v>
      </c>
      <c r="L31" s="26" t="s">
        <v>171</v>
      </c>
      <c r="M31" s="27">
        <f t="shared" si="0"/>
        <v>20600</v>
      </c>
      <c r="N31" s="27">
        <f>$N$24</f>
        <v>165000</v>
      </c>
      <c r="O31" s="535"/>
    </row>
    <row r="32" spans="1:15" ht="15" customHeight="1">
      <c r="E32" s="534">
        <f t="shared" si="1"/>
        <v>27</v>
      </c>
      <c r="F32" s="23"/>
      <c r="G32" s="24" t="s">
        <v>1651</v>
      </c>
      <c r="H32" s="24"/>
      <c r="I32" s="24"/>
      <c r="J32" s="25"/>
      <c r="K32" s="26" t="s">
        <v>1652</v>
      </c>
      <c r="L32" s="26" t="s">
        <v>171</v>
      </c>
      <c r="M32" s="27">
        <f t="shared" si="0"/>
        <v>20600</v>
      </c>
      <c r="N32" s="27">
        <f t="shared" ref="N32:N37" si="3">$N$9*1.1</f>
        <v>165000</v>
      </c>
      <c r="O32" s="535"/>
    </row>
    <row r="33" spans="5:15" ht="15" customHeight="1">
      <c r="E33" s="534">
        <f t="shared" si="1"/>
        <v>28</v>
      </c>
      <c r="F33" s="23"/>
      <c r="G33" s="24" t="s">
        <v>1653</v>
      </c>
      <c r="H33" s="24"/>
      <c r="I33" s="24"/>
      <c r="J33" s="25"/>
      <c r="K33" s="26" t="s">
        <v>1654</v>
      </c>
      <c r="L33" s="26" t="s">
        <v>171</v>
      </c>
      <c r="M33" s="27">
        <f t="shared" si="0"/>
        <v>20600</v>
      </c>
      <c r="N33" s="27">
        <f t="shared" si="3"/>
        <v>165000</v>
      </c>
      <c r="O33" s="535"/>
    </row>
    <row r="34" spans="5:15" ht="15" customHeight="1">
      <c r="E34" s="534">
        <f t="shared" si="1"/>
        <v>29</v>
      </c>
      <c r="F34" s="23"/>
      <c r="G34" s="24" t="s">
        <v>1655</v>
      </c>
      <c r="H34" s="24"/>
      <c r="I34" s="24"/>
      <c r="J34" s="25"/>
      <c r="K34" s="26" t="s">
        <v>1656</v>
      </c>
      <c r="L34" s="26" t="s">
        <v>171</v>
      </c>
      <c r="M34" s="27">
        <f t="shared" si="0"/>
        <v>20600</v>
      </c>
      <c r="N34" s="27">
        <f t="shared" si="3"/>
        <v>165000</v>
      </c>
      <c r="O34" s="535"/>
    </row>
    <row r="35" spans="5:15" ht="15" customHeight="1">
      <c r="E35" s="534">
        <f t="shared" si="1"/>
        <v>30</v>
      </c>
      <c r="F35" s="23"/>
      <c r="G35" s="24" t="s">
        <v>1657</v>
      </c>
      <c r="H35" s="24"/>
      <c r="I35" s="24"/>
      <c r="J35" s="25"/>
      <c r="K35" s="26" t="s">
        <v>1658</v>
      </c>
      <c r="L35" s="26" t="s">
        <v>171</v>
      </c>
      <c r="M35" s="27">
        <f t="shared" si="0"/>
        <v>20600</v>
      </c>
      <c r="N35" s="27">
        <f t="shared" si="3"/>
        <v>165000</v>
      </c>
      <c r="O35" s="535"/>
    </row>
    <row r="36" spans="5:15" ht="15" customHeight="1">
      <c r="E36" s="534">
        <f t="shared" si="1"/>
        <v>31</v>
      </c>
      <c r="F36" s="23"/>
      <c r="G36" s="24" t="s">
        <v>1659</v>
      </c>
      <c r="H36" s="24"/>
      <c r="I36" s="24"/>
      <c r="J36" s="25"/>
      <c r="K36" s="26" t="s">
        <v>1660</v>
      </c>
      <c r="L36" s="26" t="s">
        <v>171</v>
      </c>
      <c r="M36" s="27">
        <f t="shared" si="0"/>
        <v>20600</v>
      </c>
      <c r="N36" s="27">
        <f t="shared" si="3"/>
        <v>165000</v>
      </c>
      <c r="O36" s="535"/>
    </row>
    <row r="37" spans="5:15" ht="15" customHeight="1">
      <c r="E37" s="534">
        <f t="shared" si="1"/>
        <v>32</v>
      </c>
      <c r="F37" s="23"/>
      <c r="G37" s="24" t="s">
        <v>1661</v>
      </c>
      <c r="H37" s="24"/>
      <c r="I37" s="24"/>
      <c r="J37" s="25"/>
      <c r="K37" s="26" t="s">
        <v>1662</v>
      </c>
      <c r="L37" s="26" t="s">
        <v>171</v>
      </c>
      <c r="M37" s="27">
        <f t="shared" si="0"/>
        <v>20600</v>
      </c>
      <c r="N37" s="27">
        <f t="shared" si="3"/>
        <v>165000</v>
      </c>
      <c r="O37" s="535"/>
    </row>
    <row r="38" spans="5:15" ht="15" customHeight="1">
      <c r="E38" s="534">
        <f t="shared" si="1"/>
        <v>33</v>
      </c>
      <c r="F38" s="23"/>
      <c r="G38" s="29" t="s">
        <v>2007</v>
      </c>
      <c r="H38" s="24"/>
      <c r="I38" s="24"/>
      <c r="J38" s="25"/>
      <c r="K38" s="26" t="s">
        <v>1648</v>
      </c>
      <c r="L38" s="26" t="s">
        <v>171</v>
      </c>
      <c r="M38" s="27">
        <f t="shared" si="0"/>
        <v>20600</v>
      </c>
      <c r="N38" s="27">
        <f>$N$24</f>
        <v>165000</v>
      </c>
      <c r="O38" s="535"/>
    </row>
    <row r="39" spans="5:15" ht="15" customHeight="1">
      <c r="E39" s="534">
        <f t="shared" si="1"/>
        <v>34</v>
      </c>
      <c r="F39" s="23"/>
      <c r="G39" s="30" t="s">
        <v>2008</v>
      </c>
      <c r="H39" s="24"/>
      <c r="I39" s="24"/>
      <c r="J39" s="25"/>
      <c r="K39" s="26" t="s">
        <v>1650</v>
      </c>
      <c r="L39" s="26" t="s">
        <v>171</v>
      </c>
      <c r="M39" s="27">
        <f t="shared" si="0"/>
        <v>18500</v>
      </c>
      <c r="N39" s="27">
        <f>$N$38*0.9</f>
        <v>148500</v>
      </c>
      <c r="O39" s="535"/>
    </row>
    <row r="40" spans="5:15" ht="15" customHeight="1">
      <c r="E40" s="534">
        <f t="shared" si="1"/>
        <v>35</v>
      </c>
      <c r="F40" s="23"/>
      <c r="G40" s="22" t="s">
        <v>1603</v>
      </c>
      <c r="H40" s="24"/>
      <c r="I40" s="24"/>
      <c r="J40" s="25"/>
      <c r="K40" s="26"/>
      <c r="L40" s="26" t="s">
        <v>171</v>
      </c>
      <c r="M40" s="27">
        <f t="shared" si="0"/>
        <v>31200</v>
      </c>
      <c r="N40" s="27">
        <v>250000</v>
      </c>
      <c r="O40" s="535"/>
    </row>
    <row r="41" spans="5:15" ht="15" customHeight="1">
      <c r="E41" s="534">
        <f t="shared" si="1"/>
        <v>36</v>
      </c>
      <c r="F41" s="23"/>
      <c r="G41" s="22" t="s">
        <v>1604</v>
      </c>
      <c r="H41" s="24"/>
      <c r="I41" s="24"/>
      <c r="J41" s="25"/>
      <c r="K41" s="31"/>
      <c r="L41" s="26" t="s">
        <v>171</v>
      </c>
      <c r="M41" s="27">
        <f t="shared" si="0"/>
        <v>11400</v>
      </c>
      <c r="N41" s="32">
        <v>91700</v>
      </c>
      <c r="O41" s="535"/>
    </row>
    <row r="42" spans="5:15" ht="15" customHeight="1">
      <c r="E42" s="534"/>
      <c r="F42" s="23"/>
      <c r="G42" s="22"/>
      <c r="H42" s="24"/>
      <c r="I42" s="24"/>
      <c r="J42" s="25"/>
      <c r="K42" s="31"/>
      <c r="L42" s="31"/>
      <c r="M42" s="31"/>
      <c r="N42" s="31"/>
      <c r="O42" s="535"/>
    </row>
    <row r="43" spans="5:15" ht="15" customHeight="1">
      <c r="E43" s="534"/>
      <c r="F43" s="23"/>
      <c r="G43" s="22"/>
      <c r="H43" s="24"/>
      <c r="I43" s="24"/>
      <c r="J43" s="25"/>
      <c r="K43" s="31"/>
      <c r="L43" s="31"/>
      <c r="M43" s="31"/>
      <c r="N43" s="31"/>
      <c r="O43" s="535"/>
    </row>
    <row r="44" spans="5:15" ht="15" customHeight="1">
      <c r="E44" s="534"/>
      <c r="F44" s="23"/>
      <c r="G44" s="24"/>
      <c r="H44" s="24"/>
      <c r="I44" s="24"/>
      <c r="J44" s="25"/>
      <c r="K44" s="31"/>
      <c r="L44" s="31"/>
      <c r="M44" s="31"/>
      <c r="N44" s="31"/>
      <c r="O44" s="535"/>
    </row>
    <row r="45" spans="5:15" ht="15" customHeight="1" thickBot="1">
      <c r="E45" s="537"/>
      <c r="F45" s="538"/>
      <c r="G45" s="539"/>
      <c r="H45" s="539"/>
      <c r="I45" s="539"/>
      <c r="J45" s="540"/>
      <c r="K45" s="541"/>
      <c r="L45" s="541"/>
      <c r="M45" s="541"/>
      <c r="N45" s="541"/>
      <c r="O45" s="542"/>
    </row>
    <row r="48" spans="5:15" ht="15" customHeight="1">
      <c r="N48" s="98"/>
      <c r="O48" s="98"/>
    </row>
    <row r="49" spans="14:15" ht="15" customHeight="1">
      <c r="N49" s="98"/>
      <c r="O49" s="98"/>
    </row>
    <row r="50" spans="14:15" ht="15" customHeight="1">
      <c r="N50" s="99"/>
      <c r="O50" s="98"/>
    </row>
    <row r="51" spans="14:15" ht="15" customHeight="1">
      <c r="N51" s="99"/>
      <c r="O51" s="98"/>
    </row>
    <row r="52" spans="14:15" ht="15" customHeight="1">
      <c r="N52" s="99"/>
      <c r="O52" s="98"/>
    </row>
    <row r="53" spans="14:15" ht="15" customHeight="1">
      <c r="N53" s="99"/>
      <c r="O53" s="98"/>
    </row>
    <row r="54" spans="14:15" ht="15" customHeight="1">
      <c r="N54" s="100"/>
      <c r="O54" s="98"/>
    </row>
    <row r="55" spans="14:15" ht="15" customHeight="1">
      <c r="N55" s="98"/>
      <c r="O55" s="98"/>
    </row>
  </sheetData>
  <protectedRanges>
    <protectedRange sqref="R4 E44:O45 F38:F39 F37:O37 E37:E39 F23 H23:O23 F24:O24 E22:E24 F22:O22 E25:O36 E40:F43 H38:O43 E1:O21" name="Range1"/>
  </protectedRanges>
  <mergeCells count="3">
    <mergeCell ref="F4:J4"/>
    <mergeCell ref="M4:N4"/>
    <mergeCell ref="A29:C29"/>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CB342-6C91-4E68-A498-412815146DB6}">
  <sheetPr codeName="Sheet10"/>
  <dimension ref="A1:AB538"/>
  <sheetViews>
    <sheetView showGridLines="0" showRowColHeaders="0" zoomScale="75" zoomScaleNormal="75" workbookViewId="0">
      <selection activeCell="Q5" sqref="Q5:Y6"/>
    </sheetView>
  </sheetViews>
  <sheetFormatPr defaultColWidth="8.77734375" defaultRowHeight="15" customHeight="1"/>
  <cols>
    <col min="1" max="3" width="10.77734375" style="633" customWidth="1"/>
    <col min="4" max="4" width="3" style="565" customWidth="1"/>
    <col min="5" max="16" width="3.77734375" style="574" customWidth="1"/>
    <col min="17" max="17" width="3.77734375" style="571" customWidth="1"/>
    <col min="18" max="18" width="46.44140625" style="574" bestFit="1" customWidth="1"/>
    <col min="19" max="24" width="8.77734375" style="574" customWidth="1"/>
    <col min="25" max="25" width="15.77734375" style="572" customWidth="1"/>
    <col min="26" max="26" width="8.77734375" style="565"/>
    <col min="27" max="27" width="2.88671875" style="565" bestFit="1" customWidth="1"/>
    <col min="28" max="16384" width="8.77734375" style="565"/>
  </cols>
  <sheetData>
    <row r="1" spans="4:25" s="633" customFormat="1" ht="15" customHeight="1">
      <c r="Q1" s="634"/>
      <c r="Y1" s="956"/>
    </row>
    <row r="2" spans="4:25" s="633" customFormat="1" ht="15" customHeight="1">
      <c r="D2" s="627"/>
      <c r="E2" s="937" t="s">
        <v>2393</v>
      </c>
      <c r="Q2" s="634"/>
      <c r="Y2" s="956"/>
    </row>
    <row r="3" spans="4:25" s="633" customFormat="1" ht="15" customHeight="1">
      <c r="Q3" s="634"/>
      <c r="Y3" s="956"/>
    </row>
    <row r="4" spans="4:25" ht="15" customHeight="1">
      <c r="E4" s="565"/>
      <c r="F4" s="565"/>
      <c r="G4" s="565"/>
      <c r="H4" s="565"/>
      <c r="I4" s="565"/>
      <c r="J4" s="565"/>
      <c r="K4" s="565"/>
      <c r="L4" s="565"/>
      <c r="M4" s="565"/>
      <c r="N4" s="565"/>
      <c r="O4" s="565"/>
      <c r="P4" s="565"/>
      <c r="Q4" s="566"/>
      <c r="R4" s="565"/>
      <c r="S4" s="565"/>
      <c r="T4" s="565"/>
      <c r="U4" s="565"/>
      <c r="V4" s="565"/>
      <c r="W4" s="565"/>
      <c r="X4" s="565"/>
      <c r="Y4" s="957"/>
    </row>
    <row r="5" spans="4:25" ht="15" customHeight="1">
      <c r="E5" s="567"/>
      <c r="F5" s="568"/>
      <c r="G5" s="568"/>
      <c r="H5" s="568"/>
      <c r="I5" s="568"/>
      <c r="J5" s="568"/>
      <c r="K5" s="568"/>
      <c r="L5" s="568"/>
      <c r="M5" s="568"/>
      <c r="N5" s="568"/>
      <c r="O5" s="568"/>
      <c r="P5" s="569"/>
      <c r="Q5" s="1113" t="s">
        <v>2090</v>
      </c>
      <c r="R5" s="1114"/>
      <c r="S5" s="1114"/>
      <c r="T5" s="1114"/>
      <c r="U5" s="1114"/>
      <c r="V5" s="1114"/>
      <c r="W5" s="1114"/>
      <c r="X5" s="1114"/>
      <c r="Y5" s="1115"/>
    </row>
    <row r="6" spans="4:25" ht="15" customHeight="1">
      <c r="E6" s="570"/>
      <c r="P6" s="575"/>
      <c r="Q6" s="1116"/>
      <c r="R6" s="1117"/>
      <c r="S6" s="1117"/>
      <c r="T6" s="1117"/>
      <c r="U6" s="1117"/>
      <c r="V6" s="1117"/>
      <c r="W6" s="1117"/>
      <c r="X6" s="1117"/>
      <c r="Y6" s="1118"/>
    </row>
    <row r="7" spans="4:25" ht="15" customHeight="1">
      <c r="E7" s="570"/>
      <c r="P7" s="575"/>
      <c r="Q7" s="584">
        <v>1</v>
      </c>
      <c r="R7" s="585" t="s">
        <v>96</v>
      </c>
      <c r="S7" s="586" t="s">
        <v>2076</v>
      </c>
      <c r="T7" s="586" t="s">
        <v>2077</v>
      </c>
      <c r="U7" s="586" t="s">
        <v>2078</v>
      </c>
      <c r="V7" s="586" t="s">
        <v>56</v>
      </c>
      <c r="W7" s="586" t="s">
        <v>138</v>
      </c>
      <c r="X7" s="586"/>
      <c r="Y7" s="587" t="s">
        <v>56</v>
      </c>
    </row>
    <row r="8" spans="4:25" ht="15" customHeight="1">
      <c r="E8" s="570"/>
      <c r="P8" s="575"/>
      <c r="Q8" s="570"/>
      <c r="R8" s="571" t="s">
        <v>7</v>
      </c>
      <c r="S8" s="572">
        <f>I22</f>
        <v>20</v>
      </c>
      <c r="T8" s="572">
        <f>I23</f>
        <v>10</v>
      </c>
      <c r="U8" s="588"/>
      <c r="V8" s="588"/>
      <c r="W8" s="572" t="s">
        <v>23</v>
      </c>
      <c r="X8" s="572"/>
      <c r="Y8" s="583">
        <f>S8*T8</f>
        <v>200</v>
      </c>
    </row>
    <row r="9" spans="4:25" ht="15" customHeight="1">
      <c r="E9" s="570"/>
      <c r="P9" s="575"/>
      <c r="Q9" s="570"/>
      <c r="R9" s="571"/>
      <c r="S9" s="572"/>
      <c r="T9" s="572"/>
      <c r="U9" s="572"/>
      <c r="V9" s="572"/>
      <c r="W9" s="572"/>
      <c r="X9" s="572"/>
      <c r="Y9" s="573"/>
    </row>
    <row r="10" spans="4:25" ht="15" customHeight="1">
      <c r="E10" s="570"/>
      <c r="P10" s="575"/>
      <c r="Q10" s="584">
        <v>2</v>
      </c>
      <c r="R10" s="585" t="s">
        <v>5</v>
      </c>
      <c r="S10" s="586" t="s">
        <v>2076</v>
      </c>
      <c r="T10" s="586" t="s">
        <v>2077</v>
      </c>
      <c r="U10" s="586" t="s">
        <v>2078</v>
      </c>
      <c r="V10" s="586" t="s">
        <v>56</v>
      </c>
      <c r="W10" s="586" t="s">
        <v>138</v>
      </c>
      <c r="X10" s="586"/>
      <c r="Y10" s="587" t="s">
        <v>58</v>
      </c>
    </row>
    <row r="11" spans="4:25" ht="15" customHeight="1">
      <c r="E11" s="570"/>
      <c r="P11" s="575"/>
      <c r="Q11" s="570"/>
      <c r="R11" s="571" t="s">
        <v>2079</v>
      </c>
      <c r="S11" s="572">
        <f>N22</f>
        <v>8</v>
      </c>
      <c r="T11" s="572">
        <f>N23</f>
        <v>6</v>
      </c>
      <c r="U11" s="588"/>
      <c r="V11" s="572">
        <v>2</v>
      </c>
      <c r="W11" s="572" t="s">
        <v>23</v>
      </c>
      <c r="X11" s="572"/>
      <c r="Y11" s="583">
        <f>S11*T11</f>
        <v>48</v>
      </c>
    </row>
    <row r="12" spans="4:25" ht="15" customHeight="1">
      <c r="E12" s="570"/>
      <c r="P12" s="575"/>
      <c r="Q12" s="570"/>
      <c r="R12" s="571"/>
      <c r="S12" s="572"/>
      <c r="T12" s="572"/>
      <c r="U12" s="572"/>
      <c r="V12" s="572"/>
      <c r="W12" s="572"/>
      <c r="X12" s="572"/>
      <c r="Y12" s="573"/>
    </row>
    <row r="13" spans="4:25" ht="15" customHeight="1">
      <c r="E13" s="570"/>
      <c r="P13" s="575"/>
      <c r="Q13" s="584">
        <v>3</v>
      </c>
      <c r="R13" s="585" t="s">
        <v>6</v>
      </c>
      <c r="S13" s="586"/>
      <c r="T13" s="586"/>
      <c r="U13" s="586"/>
      <c r="V13" s="586" t="s">
        <v>56</v>
      </c>
      <c r="W13" s="586" t="s">
        <v>138</v>
      </c>
      <c r="X13" s="586"/>
      <c r="Y13" s="587" t="s">
        <v>58</v>
      </c>
    </row>
    <row r="14" spans="4:25" ht="15" customHeight="1">
      <c r="E14" s="570"/>
      <c r="P14" s="575"/>
      <c r="Q14" s="570"/>
      <c r="R14" s="571"/>
      <c r="S14" s="572"/>
      <c r="T14" s="572"/>
      <c r="U14" s="572"/>
      <c r="V14" s="572">
        <v>1</v>
      </c>
      <c r="W14" s="572" t="s">
        <v>597</v>
      </c>
      <c r="X14" s="572"/>
      <c r="Y14" s="583">
        <f>V14</f>
        <v>1</v>
      </c>
    </row>
    <row r="15" spans="4:25" ht="15" customHeight="1">
      <c r="E15" s="570"/>
      <c r="P15" s="575"/>
      <c r="Q15" s="570"/>
      <c r="R15" s="571"/>
      <c r="S15" s="572"/>
      <c r="T15" s="572"/>
      <c r="U15" s="572"/>
      <c r="V15" s="572"/>
      <c r="W15" s="572"/>
      <c r="X15" s="572"/>
      <c r="Y15" s="573"/>
    </row>
    <row r="16" spans="4:25" ht="15" customHeight="1">
      <c r="E16" s="570"/>
      <c r="P16" s="575"/>
      <c r="Q16" s="584">
        <v>4</v>
      </c>
      <c r="R16" s="585" t="s">
        <v>98</v>
      </c>
      <c r="S16" s="586"/>
      <c r="T16" s="586"/>
      <c r="U16" s="586"/>
      <c r="V16" s="586" t="s">
        <v>56</v>
      </c>
      <c r="W16" s="586" t="s">
        <v>138</v>
      </c>
      <c r="X16" s="586"/>
      <c r="Y16" s="587" t="s">
        <v>58</v>
      </c>
    </row>
    <row r="17" spans="1:25" ht="15" customHeight="1">
      <c r="E17" s="570"/>
      <c r="P17" s="575"/>
      <c r="Q17" s="570"/>
      <c r="R17" s="571"/>
      <c r="S17" s="572"/>
      <c r="T17" s="572"/>
      <c r="U17" s="572"/>
      <c r="V17" s="572">
        <v>1</v>
      </c>
      <c r="W17" s="572" t="s">
        <v>597</v>
      </c>
      <c r="X17" s="572"/>
      <c r="Y17" s="583">
        <f>V17</f>
        <v>1</v>
      </c>
    </row>
    <row r="18" spans="1:25" ht="15" customHeight="1">
      <c r="E18" s="570"/>
      <c r="P18" s="575"/>
      <c r="Q18" s="570"/>
      <c r="R18" s="571"/>
      <c r="S18" s="572"/>
      <c r="T18" s="572"/>
      <c r="U18" s="572"/>
      <c r="V18" s="588"/>
      <c r="W18" s="572"/>
      <c r="X18" s="572"/>
      <c r="Y18" s="573"/>
    </row>
    <row r="19" spans="1:25" ht="15" customHeight="1">
      <c r="E19" s="570"/>
      <c r="P19" s="575"/>
      <c r="Q19" s="570"/>
      <c r="R19" s="571"/>
      <c r="S19" s="572"/>
      <c r="T19" s="572"/>
      <c r="U19" s="572"/>
      <c r="V19" s="588"/>
      <c r="W19" s="572"/>
      <c r="X19" s="572"/>
      <c r="Y19" s="573"/>
    </row>
    <row r="20" spans="1:25" ht="15" customHeight="1">
      <c r="E20" s="570"/>
      <c r="P20" s="575"/>
      <c r="Q20" s="570"/>
      <c r="R20" s="571"/>
      <c r="S20" s="572"/>
      <c r="T20" s="572"/>
      <c r="U20" s="572"/>
      <c r="V20" s="588"/>
      <c r="W20" s="572"/>
      <c r="X20" s="572"/>
      <c r="Y20" s="573"/>
    </row>
    <row r="21" spans="1:25" ht="15" customHeight="1">
      <c r="A21" s="1096" t="s">
        <v>2381</v>
      </c>
      <c r="B21" s="1096"/>
      <c r="C21" s="1096"/>
      <c r="E21" s="570"/>
      <c r="F21" s="571" t="s">
        <v>7</v>
      </c>
      <c r="K21" s="571" t="s">
        <v>15</v>
      </c>
      <c r="P21" s="575"/>
      <c r="Q21" s="570"/>
      <c r="R21" s="571"/>
      <c r="S21" s="572"/>
      <c r="T21" s="572"/>
      <c r="U21" s="572"/>
      <c r="V21" s="588"/>
      <c r="W21" s="572"/>
      <c r="X21" s="572"/>
      <c r="Y21" s="573"/>
    </row>
    <row r="22" spans="1:25" ht="15" customHeight="1">
      <c r="E22" s="570"/>
      <c r="F22" s="942" t="s">
        <v>9</v>
      </c>
      <c r="I22" s="1107">
        <v>20</v>
      </c>
      <c r="J22" s="1108"/>
      <c r="K22" s="942" t="s">
        <v>9</v>
      </c>
      <c r="N22" s="1107">
        <v>8</v>
      </c>
      <c r="O22" s="1108"/>
      <c r="P22" s="575"/>
      <c r="Q22" s="570"/>
      <c r="R22" s="571"/>
      <c r="S22" s="572"/>
      <c r="T22" s="572"/>
      <c r="U22" s="572"/>
      <c r="V22" s="588"/>
      <c r="W22" s="572"/>
      <c r="X22" s="572"/>
      <c r="Y22" s="573"/>
    </row>
    <row r="23" spans="1:25" ht="15" customHeight="1">
      <c r="E23" s="570"/>
      <c r="F23" s="942" t="s">
        <v>10</v>
      </c>
      <c r="I23" s="1107">
        <v>10</v>
      </c>
      <c r="J23" s="1108"/>
      <c r="K23" s="942" t="s">
        <v>10</v>
      </c>
      <c r="N23" s="1107">
        <v>6</v>
      </c>
      <c r="O23" s="1108"/>
      <c r="P23" s="575"/>
      <c r="Q23" s="570"/>
      <c r="R23" s="571"/>
      <c r="S23" s="572"/>
      <c r="T23" s="572"/>
      <c r="U23" s="572"/>
      <c r="V23" s="588"/>
      <c r="W23" s="572"/>
      <c r="X23" s="572"/>
      <c r="Y23" s="573"/>
    </row>
    <row r="24" spans="1:25" ht="15" customHeight="1">
      <c r="E24" s="576"/>
      <c r="F24" s="577"/>
      <c r="G24" s="577"/>
      <c r="H24" s="577"/>
      <c r="I24" s="577"/>
      <c r="J24" s="577"/>
      <c r="K24" s="577"/>
      <c r="L24" s="577"/>
      <c r="M24" s="577"/>
      <c r="N24" s="577"/>
      <c r="O24" s="577"/>
      <c r="P24" s="580"/>
      <c r="Q24" s="576"/>
      <c r="R24" s="577"/>
      <c r="S24" s="578"/>
      <c r="T24" s="578"/>
      <c r="U24" s="578"/>
      <c r="V24" s="578"/>
      <c r="W24" s="578"/>
      <c r="X24" s="578"/>
      <c r="Y24" s="579"/>
    </row>
    <row r="25" spans="1:25" ht="15" customHeight="1">
      <c r="A25" s="1096"/>
      <c r="B25" s="1096"/>
      <c r="C25" s="1096"/>
      <c r="E25" s="565"/>
      <c r="F25" s="565"/>
      <c r="G25" s="565"/>
      <c r="H25" s="565"/>
      <c r="I25" s="565"/>
      <c r="J25" s="565"/>
      <c r="K25" s="565"/>
      <c r="L25" s="565"/>
      <c r="M25" s="565"/>
      <c r="N25" s="565"/>
      <c r="O25" s="565"/>
      <c r="P25" s="565"/>
      <c r="Q25" s="565"/>
      <c r="R25" s="565"/>
      <c r="S25" s="565"/>
      <c r="T25" s="565"/>
      <c r="U25" s="565"/>
      <c r="V25" s="565"/>
      <c r="W25" s="565"/>
      <c r="X25" s="565"/>
      <c r="Y25" s="957"/>
    </row>
    <row r="26" spans="1:25" ht="15" customHeight="1">
      <c r="E26" s="567"/>
      <c r="F26" s="568"/>
      <c r="G26" s="568"/>
      <c r="H26" s="568"/>
      <c r="I26" s="568"/>
      <c r="J26" s="568"/>
      <c r="K26" s="568"/>
      <c r="L26" s="568"/>
      <c r="M26" s="568"/>
      <c r="N26" s="568"/>
      <c r="O26" s="568"/>
      <c r="P26" s="569"/>
      <c r="Q26" s="1113" t="s">
        <v>2091</v>
      </c>
      <c r="R26" s="1114"/>
      <c r="S26" s="1114"/>
      <c r="T26" s="1114"/>
      <c r="U26" s="1114"/>
      <c r="V26" s="1114"/>
      <c r="W26" s="1114"/>
      <c r="X26" s="1114"/>
      <c r="Y26" s="1115"/>
    </row>
    <row r="27" spans="1:25" ht="15" customHeight="1">
      <c r="A27" s="1096"/>
      <c r="B27" s="1096"/>
      <c r="C27" s="1096"/>
      <c r="E27" s="570"/>
      <c r="H27" s="955">
        <v>1.2</v>
      </c>
      <c r="P27" s="575"/>
      <c r="Q27" s="1126"/>
      <c r="R27" s="1127"/>
      <c r="S27" s="1127"/>
      <c r="T27" s="1127"/>
      <c r="U27" s="1127"/>
      <c r="V27" s="1127"/>
      <c r="W27" s="1127"/>
      <c r="X27" s="1127"/>
      <c r="Y27" s="1128"/>
    </row>
    <row r="28" spans="1:25" ht="15" customHeight="1">
      <c r="E28" s="570"/>
      <c r="L28" s="571"/>
      <c r="P28" s="575"/>
      <c r="Q28" s="584">
        <v>1</v>
      </c>
      <c r="R28" s="585" t="s">
        <v>12</v>
      </c>
      <c r="S28" s="586" t="s">
        <v>2076</v>
      </c>
      <c r="T28" s="586" t="s">
        <v>2083</v>
      </c>
      <c r="U28" s="586" t="s">
        <v>2082</v>
      </c>
      <c r="V28" s="586" t="s">
        <v>2078</v>
      </c>
      <c r="W28" s="586" t="s">
        <v>138</v>
      </c>
      <c r="X28" s="586"/>
      <c r="Y28" s="587" t="s">
        <v>56</v>
      </c>
    </row>
    <row r="29" spans="1:25" ht="15" customHeight="1">
      <c r="E29" s="570"/>
      <c r="L29" s="571" t="s">
        <v>2401</v>
      </c>
      <c r="P29" s="575"/>
      <c r="Q29" s="570"/>
      <c r="R29" s="571" t="s">
        <v>2080</v>
      </c>
      <c r="S29" s="572">
        <f>L43</f>
        <v>22</v>
      </c>
      <c r="T29" s="572">
        <f>H27</f>
        <v>1.2</v>
      </c>
      <c r="U29" s="572">
        <f>H33</f>
        <v>0.9</v>
      </c>
      <c r="V29" s="572">
        <f>L30</f>
        <v>0.65</v>
      </c>
      <c r="W29" s="572" t="s">
        <v>44</v>
      </c>
      <c r="Y29" s="573">
        <f>(((T29+U29)/2)*V29)*S29</f>
        <v>15.015000000000002</v>
      </c>
    </row>
    <row r="30" spans="1:25" ht="15" customHeight="1">
      <c r="E30" s="570"/>
      <c r="L30" s="955">
        <v>0.65</v>
      </c>
      <c r="P30" s="575"/>
      <c r="Q30" s="570"/>
      <c r="R30" s="571" t="s">
        <v>2081</v>
      </c>
      <c r="S30" s="572">
        <f>L44</f>
        <v>23</v>
      </c>
      <c r="T30" s="572">
        <f>H35</f>
        <v>1.2</v>
      </c>
      <c r="U30" s="572">
        <f>H41</f>
        <v>0.9</v>
      </c>
      <c r="V30" s="572">
        <f>L38</f>
        <v>0.65</v>
      </c>
      <c r="W30" s="572" t="s">
        <v>44</v>
      </c>
      <c r="X30" s="572"/>
      <c r="Y30" s="573">
        <f>(((T30+U30)/2)*V30)*S30</f>
        <v>15.697500000000002</v>
      </c>
    </row>
    <row r="31" spans="1:25" ht="15" customHeight="1">
      <c r="E31" s="570"/>
      <c r="P31" s="575"/>
      <c r="Q31" s="570"/>
      <c r="R31" s="571"/>
      <c r="S31" s="572"/>
      <c r="T31" s="572"/>
      <c r="U31" s="572"/>
      <c r="V31" s="572"/>
      <c r="W31" s="572"/>
      <c r="X31" s="572"/>
      <c r="Y31" s="583">
        <f>SUM(Y29:Y30)</f>
        <v>30.712500000000006</v>
      </c>
    </row>
    <row r="32" spans="1:25" ht="15" customHeight="1">
      <c r="E32" s="570"/>
      <c r="L32" s="571"/>
      <c r="P32" s="575"/>
      <c r="Q32" s="570"/>
      <c r="R32" s="571"/>
      <c r="S32" s="572"/>
      <c r="T32" s="572"/>
      <c r="U32" s="572"/>
      <c r="V32" s="572"/>
      <c r="W32" s="572"/>
      <c r="X32" s="572"/>
      <c r="Y32" s="943"/>
    </row>
    <row r="33" spans="5:25" ht="15" customHeight="1">
      <c r="E33" s="570"/>
      <c r="H33" s="955">
        <v>0.9</v>
      </c>
      <c r="L33" s="571"/>
      <c r="N33" s="978"/>
      <c r="P33" s="575"/>
      <c r="Q33" s="570"/>
      <c r="R33" s="571"/>
      <c r="S33" s="572"/>
      <c r="T33" s="572"/>
      <c r="U33" s="572"/>
      <c r="V33" s="572"/>
      <c r="W33" s="572"/>
      <c r="X33" s="572"/>
      <c r="Y33" s="943"/>
    </row>
    <row r="34" spans="5:25" ht="15" customHeight="1">
      <c r="E34" s="570"/>
      <c r="P34" s="575"/>
      <c r="Q34" s="570"/>
      <c r="R34" s="571"/>
      <c r="S34" s="572"/>
      <c r="T34" s="572"/>
      <c r="U34" s="572"/>
      <c r="V34" s="572"/>
      <c r="W34" s="572"/>
      <c r="X34" s="572"/>
      <c r="Y34" s="943"/>
    </row>
    <row r="35" spans="5:25" ht="15" customHeight="1">
      <c r="E35" s="570"/>
      <c r="H35" s="955">
        <v>1.2</v>
      </c>
      <c r="P35" s="575"/>
      <c r="Q35" s="570"/>
      <c r="R35" s="571"/>
      <c r="S35" s="572"/>
      <c r="T35" s="572"/>
      <c r="U35" s="572"/>
      <c r="V35" s="572"/>
      <c r="W35" s="572"/>
      <c r="X35" s="572"/>
      <c r="Y35" s="943"/>
    </row>
    <row r="36" spans="5:25" ht="15" customHeight="1">
      <c r="E36" s="570"/>
      <c r="P36" s="575"/>
      <c r="Q36" s="570"/>
      <c r="R36" s="571"/>
      <c r="S36" s="572"/>
      <c r="T36" s="572"/>
      <c r="U36" s="572"/>
      <c r="V36" s="572"/>
      <c r="W36" s="572"/>
      <c r="X36" s="572"/>
      <c r="Y36" s="943"/>
    </row>
    <row r="37" spans="5:25" ht="15" customHeight="1">
      <c r="E37" s="570"/>
      <c r="L37" s="571" t="s">
        <v>2402</v>
      </c>
      <c r="P37" s="575"/>
      <c r="Q37" s="570"/>
      <c r="R37" s="571"/>
      <c r="S37" s="572"/>
      <c r="T37" s="572"/>
      <c r="U37" s="572"/>
      <c r="V37" s="572"/>
      <c r="W37" s="572"/>
      <c r="X37" s="572"/>
      <c r="Y37" s="943"/>
    </row>
    <row r="38" spans="5:25" ht="15" customHeight="1">
      <c r="E38" s="570"/>
      <c r="L38" s="955">
        <v>0.65</v>
      </c>
      <c r="P38" s="575"/>
      <c r="Q38" s="570"/>
      <c r="R38" s="571"/>
      <c r="S38" s="572"/>
      <c r="T38" s="572"/>
      <c r="U38" s="572"/>
      <c r="V38" s="572"/>
      <c r="W38" s="572"/>
      <c r="X38" s="572"/>
      <c r="Y38" s="943"/>
    </row>
    <row r="39" spans="5:25" ht="15" customHeight="1">
      <c r="E39" s="570"/>
      <c r="P39" s="575"/>
      <c r="Q39" s="570"/>
      <c r="R39" s="571"/>
      <c r="S39" s="572"/>
      <c r="T39" s="572"/>
      <c r="U39" s="572"/>
      <c r="V39" s="572"/>
      <c r="W39" s="572"/>
      <c r="X39" s="572"/>
      <c r="Y39" s="943"/>
    </row>
    <row r="40" spans="5:25" ht="15" customHeight="1">
      <c r="E40" s="570"/>
      <c r="L40" s="571"/>
      <c r="P40" s="575"/>
      <c r="Q40" s="570"/>
      <c r="R40" s="571"/>
      <c r="S40" s="572"/>
      <c r="T40" s="572"/>
      <c r="U40" s="572"/>
      <c r="V40" s="572"/>
      <c r="W40" s="572"/>
      <c r="X40" s="572"/>
      <c r="Y40" s="943"/>
    </row>
    <row r="41" spans="5:25" ht="15" customHeight="1">
      <c r="E41" s="570"/>
      <c r="H41" s="955">
        <v>0.9</v>
      </c>
      <c r="L41" s="571"/>
      <c r="N41" s="978"/>
      <c r="P41" s="575"/>
      <c r="Q41" s="570"/>
      <c r="R41" s="571"/>
      <c r="S41" s="572"/>
      <c r="T41" s="572"/>
      <c r="U41" s="572"/>
      <c r="V41" s="572"/>
      <c r="W41" s="572"/>
      <c r="X41" s="572"/>
      <c r="Y41" s="943"/>
    </row>
    <row r="42" spans="5:25" ht="15" customHeight="1">
      <c r="E42" s="570"/>
      <c r="H42" s="977"/>
      <c r="L42" s="571"/>
      <c r="N42" s="978"/>
      <c r="P42" s="575"/>
      <c r="Q42" s="570"/>
      <c r="R42" s="571"/>
      <c r="S42" s="572"/>
      <c r="T42" s="572"/>
      <c r="U42" s="572"/>
      <c r="V42" s="572"/>
      <c r="W42" s="572"/>
      <c r="X42" s="572"/>
      <c r="Y42" s="943"/>
    </row>
    <row r="43" spans="5:25" ht="15" customHeight="1">
      <c r="E43" s="570"/>
      <c r="F43" s="571" t="s">
        <v>2510</v>
      </c>
      <c r="H43" s="977"/>
      <c r="L43" s="1107">
        <v>22</v>
      </c>
      <c r="M43" s="1108"/>
      <c r="N43" s="978"/>
      <c r="P43" s="575"/>
      <c r="Q43" s="570"/>
      <c r="R43" s="571"/>
      <c r="S43" s="572"/>
      <c r="T43" s="572"/>
      <c r="U43" s="572"/>
      <c r="V43" s="572"/>
      <c r="W43" s="572"/>
      <c r="X43" s="572"/>
      <c r="Y43" s="943"/>
    </row>
    <row r="44" spans="5:25" ht="15" customHeight="1">
      <c r="E44" s="570"/>
      <c r="F44" s="571" t="s">
        <v>2511</v>
      </c>
      <c r="H44" s="977"/>
      <c r="L44" s="1107">
        <v>23</v>
      </c>
      <c r="M44" s="1108"/>
      <c r="N44" s="978"/>
      <c r="P44" s="575"/>
      <c r="Q44" s="570"/>
      <c r="R44" s="571"/>
      <c r="S44" s="572"/>
      <c r="T44" s="572"/>
      <c r="U44" s="572"/>
      <c r="V44" s="572"/>
      <c r="W44" s="572"/>
      <c r="X44" s="572"/>
      <c r="Y44" s="943"/>
    </row>
    <row r="45" spans="5:25" ht="15" customHeight="1">
      <c r="E45" s="576"/>
      <c r="F45" s="577"/>
      <c r="G45" s="577"/>
      <c r="H45" s="577"/>
      <c r="I45" s="577"/>
      <c r="J45" s="577"/>
      <c r="K45" s="577"/>
      <c r="L45" s="577"/>
      <c r="M45" s="577"/>
      <c r="N45" s="577"/>
      <c r="O45" s="577"/>
      <c r="P45" s="580"/>
      <c r="Q45" s="570"/>
      <c r="R45" s="571"/>
      <c r="S45" s="572"/>
      <c r="T45" s="572"/>
      <c r="U45" s="572"/>
      <c r="V45" s="572"/>
      <c r="W45" s="572"/>
      <c r="X45" s="572"/>
      <c r="Y45" s="573"/>
    </row>
    <row r="46" spans="5:25" ht="15" customHeight="1">
      <c r="E46" s="570"/>
      <c r="L46" s="571"/>
      <c r="P46" s="575"/>
      <c r="Q46" s="584">
        <v>2</v>
      </c>
      <c r="R46" s="585" t="s">
        <v>13</v>
      </c>
      <c r="S46" s="586" t="s">
        <v>2076</v>
      </c>
      <c r="T46" s="586" t="s">
        <v>2077</v>
      </c>
      <c r="U46" s="586" t="s">
        <v>2078</v>
      </c>
      <c r="V46" s="586"/>
      <c r="W46" s="586" t="s">
        <v>138</v>
      </c>
      <c r="X46" s="586"/>
      <c r="Y46" s="587" t="s">
        <v>56</v>
      </c>
    </row>
    <row r="47" spans="5:25" ht="15" customHeight="1">
      <c r="E47" s="570"/>
      <c r="F47" s="951"/>
      <c r="G47" s="951"/>
      <c r="H47" s="951"/>
      <c r="I47" s="951"/>
      <c r="J47" s="951"/>
      <c r="K47" s="951"/>
      <c r="L47" s="571" t="s">
        <v>2403</v>
      </c>
      <c r="M47" s="951"/>
      <c r="N47" s="951"/>
      <c r="O47" s="951"/>
      <c r="P47" s="575"/>
      <c r="Q47" s="570"/>
      <c r="R47" s="571" t="s">
        <v>2508</v>
      </c>
      <c r="S47" s="572" t="s">
        <v>2024</v>
      </c>
      <c r="T47" s="572" t="s">
        <v>2024</v>
      </c>
      <c r="U47" s="572" t="s">
        <v>2024</v>
      </c>
      <c r="V47" s="572"/>
      <c r="W47" s="572" t="s">
        <v>44</v>
      </c>
      <c r="X47" s="572"/>
      <c r="Y47" s="573">
        <f>(Y29+Y30)*0.25</f>
        <v>7.6781250000000014</v>
      </c>
    </row>
    <row r="48" spans="5:25" ht="15" customHeight="1">
      <c r="E48" s="570"/>
      <c r="F48" s="951"/>
      <c r="G48" s="951"/>
      <c r="H48" s="951"/>
      <c r="I48" s="951"/>
      <c r="J48" s="951"/>
      <c r="K48" s="951"/>
      <c r="L48" s="571" t="s">
        <v>2404</v>
      </c>
      <c r="M48" s="951"/>
      <c r="N48" s="951"/>
      <c r="O48" s="951"/>
      <c r="P48" s="575"/>
      <c r="Q48" s="570"/>
      <c r="R48" s="571" t="s">
        <v>2084</v>
      </c>
      <c r="S48" s="572">
        <f>S11</f>
        <v>8</v>
      </c>
      <c r="T48" s="572">
        <f>T11</f>
        <v>6</v>
      </c>
      <c r="U48" s="572">
        <f>L49</f>
        <v>0.4</v>
      </c>
      <c r="V48" s="572"/>
      <c r="W48" s="572" t="s">
        <v>44</v>
      </c>
      <c r="X48" s="572"/>
      <c r="Y48" s="573">
        <f>S48*T48*U48</f>
        <v>19.200000000000003</v>
      </c>
    </row>
    <row r="49" spans="5:25" ht="15" customHeight="1">
      <c r="E49" s="570"/>
      <c r="F49" s="951"/>
      <c r="G49" s="951"/>
      <c r="H49" s="951"/>
      <c r="I49" s="951"/>
      <c r="J49" s="951"/>
      <c r="K49" s="951"/>
      <c r="L49" s="955">
        <v>0.4</v>
      </c>
      <c r="M49" s="951"/>
      <c r="N49" s="951"/>
      <c r="O49" s="951"/>
      <c r="P49" s="575"/>
      <c r="Q49" s="570"/>
      <c r="R49" s="571"/>
      <c r="S49" s="572"/>
      <c r="T49" s="572"/>
      <c r="U49" s="572"/>
      <c r="V49" s="572"/>
      <c r="W49" s="572"/>
      <c r="X49" s="572"/>
      <c r="Y49" s="583">
        <f>SUM(Y47:Y48)</f>
        <v>26.878125000000004</v>
      </c>
    </row>
    <row r="50" spans="5:25" ht="15" customHeight="1">
      <c r="E50" s="570"/>
      <c r="F50" s="951"/>
      <c r="G50" s="951"/>
      <c r="H50" s="951"/>
      <c r="I50" s="951"/>
      <c r="J50" s="951"/>
      <c r="K50" s="951"/>
      <c r="L50" s="951"/>
      <c r="M50" s="951"/>
      <c r="N50" s="951"/>
      <c r="O50" s="951"/>
      <c r="P50" s="575"/>
      <c r="Q50" s="570"/>
      <c r="R50" s="571"/>
      <c r="S50" s="572"/>
      <c r="T50" s="572"/>
      <c r="U50" s="572"/>
      <c r="V50" s="572"/>
      <c r="W50" s="572"/>
      <c r="X50" s="572"/>
      <c r="Y50" s="943"/>
    </row>
    <row r="51" spans="5:25" ht="15" customHeight="1">
      <c r="E51" s="570"/>
      <c r="F51" s="951"/>
      <c r="G51" s="951"/>
      <c r="H51" s="951"/>
      <c r="I51" s="951"/>
      <c r="J51" s="951"/>
      <c r="K51" s="951"/>
      <c r="L51" s="951"/>
      <c r="M51" s="951"/>
      <c r="N51" s="951"/>
      <c r="O51" s="951"/>
      <c r="P51" s="575"/>
      <c r="Q51" s="570"/>
      <c r="R51" s="571"/>
      <c r="S51" s="572"/>
      <c r="T51" s="572"/>
      <c r="U51" s="572"/>
      <c r="V51" s="572"/>
      <c r="W51" s="572"/>
      <c r="X51" s="572"/>
      <c r="Y51" s="943"/>
    </row>
    <row r="52" spans="5:25" ht="15" customHeight="1">
      <c r="E52" s="570"/>
      <c r="F52" s="951"/>
      <c r="G52" s="951"/>
      <c r="H52" s="951"/>
      <c r="I52" s="951"/>
      <c r="J52" s="951"/>
      <c r="K52" s="951"/>
      <c r="L52" s="951"/>
      <c r="M52" s="951"/>
      <c r="N52" s="951"/>
      <c r="O52" s="951"/>
      <c r="P52" s="575"/>
      <c r="Q52" s="570"/>
      <c r="R52" s="571"/>
      <c r="S52" s="572"/>
      <c r="T52" s="572"/>
      <c r="U52" s="572"/>
      <c r="V52" s="572"/>
      <c r="W52" s="572"/>
      <c r="X52" s="572"/>
      <c r="Y52" s="943"/>
    </row>
    <row r="53" spans="5:25" ht="15" customHeight="1">
      <c r="E53" s="576"/>
      <c r="F53" s="996"/>
      <c r="G53" s="996"/>
      <c r="H53" s="996"/>
      <c r="I53" s="996"/>
      <c r="J53" s="996"/>
      <c r="K53" s="996"/>
      <c r="L53" s="996"/>
      <c r="M53" s="996"/>
      <c r="N53" s="996"/>
      <c r="O53" s="996"/>
      <c r="P53" s="580"/>
      <c r="Q53" s="570"/>
      <c r="R53" s="571"/>
      <c r="S53" s="572"/>
      <c r="T53" s="572"/>
      <c r="U53" s="572"/>
      <c r="V53" s="572"/>
      <c r="W53" s="572"/>
      <c r="X53" s="572"/>
      <c r="Y53" s="573"/>
    </row>
    <row r="54" spans="5:25" ht="15" customHeight="1">
      <c r="E54" s="570"/>
      <c r="F54" s="951"/>
      <c r="G54" s="951"/>
      <c r="H54" s="951"/>
      <c r="I54" s="951"/>
      <c r="J54" s="951"/>
      <c r="K54" s="951"/>
      <c r="L54" s="951"/>
      <c r="M54" s="951"/>
      <c r="N54" s="951"/>
      <c r="O54" s="951"/>
      <c r="P54" s="575"/>
      <c r="Q54" s="584">
        <v>3</v>
      </c>
      <c r="R54" s="585" t="s">
        <v>14</v>
      </c>
      <c r="S54" s="586" t="s">
        <v>2076</v>
      </c>
      <c r="T54" s="586" t="s">
        <v>2077</v>
      </c>
      <c r="U54" s="586" t="s">
        <v>2078</v>
      </c>
      <c r="V54" s="586"/>
      <c r="W54" s="586" t="s">
        <v>138</v>
      </c>
      <c r="X54" s="586"/>
      <c r="Y54" s="587" t="s">
        <v>56</v>
      </c>
    </row>
    <row r="55" spans="5:25" ht="15" customHeight="1">
      <c r="E55" s="570"/>
      <c r="F55" s="951"/>
      <c r="G55" s="951"/>
      <c r="H55" s="951"/>
      <c r="I55" s="951"/>
      <c r="J55" s="951"/>
      <c r="K55" s="951"/>
      <c r="L55" s="948"/>
      <c r="M55" s="951"/>
      <c r="N55" s="951"/>
      <c r="O55" s="951"/>
      <c r="P55" s="575"/>
      <c r="Q55" s="570"/>
      <c r="R55" s="571"/>
      <c r="S55" s="572">
        <f>S29+S30</f>
        <v>45</v>
      </c>
      <c r="T55" s="572">
        <f>H60</f>
        <v>0.9</v>
      </c>
      <c r="U55" s="572">
        <f>L58</f>
        <v>0.05</v>
      </c>
      <c r="V55" s="572"/>
      <c r="W55" s="572" t="s">
        <v>44</v>
      </c>
      <c r="X55" s="572"/>
      <c r="Y55" s="583">
        <f>S55*T55*U55</f>
        <v>2.0249999999999999</v>
      </c>
    </row>
    <row r="56" spans="5:25" ht="15" customHeight="1">
      <c r="E56" s="570"/>
      <c r="F56" s="951"/>
      <c r="G56" s="951"/>
      <c r="H56" s="951"/>
      <c r="I56" s="951"/>
      <c r="J56" s="951"/>
      <c r="K56" s="951"/>
      <c r="L56" s="948" t="s">
        <v>1869</v>
      </c>
      <c r="M56" s="951"/>
      <c r="N56" s="951"/>
      <c r="O56" s="951"/>
      <c r="P56" s="575"/>
      <c r="Q56" s="570"/>
      <c r="R56" s="571"/>
      <c r="S56" s="572"/>
      <c r="T56" s="572"/>
      <c r="U56" s="572"/>
      <c r="V56" s="572"/>
      <c r="W56" s="572"/>
      <c r="X56" s="572"/>
      <c r="Y56" s="573"/>
    </row>
    <row r="57" spans="5:25" ht="15" customHeight="1">
      <c r="E57" s="570"/>
      <c r="F57" s="951"/>
      <c r="G57" s="951"/>
      <c r="H57" s="951"/>
      <c r="I57" s="951"/>
      <c r="J57" s="951"/>
      <c r="K57" s="951"/>
      <c r="L57" s="948" t="s">
        <v>2507</v>
      </c>
      <c r="M57" s="951"/>
      <c r="N57" s="951"/>
      <c r="O57" s="951"/>
      <c r="P57" s="575"/>
      <c r="Q57" s="947"/>
      <c r="R57" s="951"/>
      <c r="S57" s="951"/>
      <c r="T57" s="951"/>
      <c r="U57" s="951"/>
      <c r="V57" s="951"/>
      <c r="W57" s="951"/>
      <c r="X57" s="951"/>
      <c r="Y57" s="997"/>
    </row>
    <row r="58" spans="5:25" ht="15" customHeight="1">
      <c r="E58" s="570"/>
      <c r="F58" s="951"/>
      <c r="G58" s="951"/>
      <c r="H58" s="951"/>
      <c r="I58" s="951"/>
      <c r="J58" s="951"/>
      <c r="K58" s="951"/>
      <c r="L58" s="955">
        <v>0.05</v>
      </c>
      <c r="M58" s="951"/>
      <c r="N58" s="951"/>
      <c r="O58" s="951"/>
      <c r="P58" s="575"/>
      <c r="Q58" s="947"/>
      <c r="R58" s="951"/>
      <c r="S58" s="951"/>
      <c r="T58" s="951"/>
      <c r="U58" s="951"/>
      <c r="V58" s="951"/>
      <c r="W58" s="951"/>
      <c r="X58" s="951"/>
      <c r="Y58" s="997"/>
    </row>
    <row r="59" spans="5:25" ht="15" customHeight="1">
      <c r="E59" s="570"/>
      <c r="F59" s="951"/>
      <c r="G59" s="951"/>
      <c r="H59" s="951"/>
      <c r="I59" s="951"/>
      <c r="J59" s="951"/>
      <c r="K59" s="951"/>
      <c r="L59" s="948"/>
      <c r="M59" s="951"/>
      <c r="N59" s="951"/>
      <c r="O59" s="951"/>
      <c r="P59" s="575"/>
      <c r="Q59" s="570"/>
      <c r="R59" s="571"/>
      <c r="S59" s="572"/>
      <c r="T59" s="572"/>
      <c r="U59" s="572"/>
      <c r="V59" s="572"/>
      <c r="W59" s="572"/>
      <c r="X59" s="572"/>
      <c r="Y59" s="573"/>
    </row>
    <row r="60" spans="5:25" ht="15" customHeight="1">
      <c r="E60" s="570"/>
      <c r="H60" s="955">
        <v>0.9</v>
      </c>
      <c r="L60" s="948"/>
      <c r="P60" s="575"/>
      <c r="Q60" s="570"/>
      <c r="R60" s="571"/>
      <c r="S60" s="572"/>
      <c r="T60" s="572"/>
      <c r="U60" s="572"/>
      <c r="V60" s="572"/>
      <c r="W60" s="572"/>
      <c r="X60" s="572"/>
      <c r="Y60" s="573"/>
    </row>
    <row r="61" spans="5:25" ht="15" customHeight="1">
      <c r="E61" s="576"/>
      <c r="F61" s="577"/>
      <c r="G61" s="577"/>
      <c r="H61" s="577"/>
      <c r="I61" s="577"/>
      <c r="J61" s="577"/>
      <c r="K61" s="577"/>
      <c r="L61" s="998"/>
      <c r="M61" s="577"/>
      <c r="N61" s="577"/>
      <c r="O61" s="577"/>
      <c r="P61" s="580"/>
      <c r="Q61" s="570"/>
      <c r="R61" s="571"/>
      <c r="S61" s="572"/>
      <c r="T61" s="572"/>
      <c r="U61" s="572"/>
      <c r="V61" s="572"/>
      <c r="W61" s="572"/>
      <c r="X61" s="572"/>
      <c r="Y61" s="573"/>
    </row>
    <row r="62" spans="5:25" ht="15" customHeight="1">
      <c r="E62" s="570"/>
      <c r="L62" s="948"/>
      <c r="P62" s="575"/>
      <c r="Q62" s="584">
        <v>4</v>
      </c>
      <c r="R62" s="585" t="s">
        <v>100</v>
      </c>
      <c r="S62" s="586" t="s">
        <v>2076</v>
      </c>
      <c r="T62" s="586" t="s">
        <v>2077</v>
      </c>
      <c r="U62" s="586" t="s">
        <v>2078</v>
      </c>
      <c r="V62" s="586"/>
      <c r="W62" s="586" t="s">
        <v>138</v>
      </c>
      <c r="X62" s="586"/>
      <c r="Y62" s="587" t="s">
        <v>56</v>
      </c>
    </row>
    <row r="63" spans="5:25" ht="15" customHeight="1">
      <c r="E63" s="570"/>
      <c r="F63" s="571" t="s">
        <v>2509</v>
      </c>
      <c r="L63" s="951"/>
      <c r="O63" s="955">
        <v>0.1</v>
      </c>
      <c r="P63" s="575"/>
      <c r="Q63" s="570"/>
      <c r="R63" s="571"/>
      <c r="S63" s="572">
        <f>S11</f>
        <v>8</v>
      </c>
      <c r="T63" s="572">
        <f>T11</f>
        <v>6</v>
      </c>
      <c r="U63" s="572">
        <f>O63</f>
        <v>0.1</v>
      </c>
      <c r="V63" s="572"/>
      <c r="W63" s="572" t="s">
        <v>44</v>
      </c>
      <c r="X63" s="572"/>
      <c r="Y63" s="583">
        <f>S63*T63*U63</f>
        <v>4.8000000000000007</v>
      </c>
    </row>
    <row r="64" spans="5:25" ht="15" customHeight="1">
      <c r="E64" s="576"/>
      <c r="F64" s="577"/>
      <c r="G64" s="577"/>
      <c r="H64" s="577"/>
      <c r="I64" s="577"/>
      <c r="J64" s="577"/>
      <c r="K64" s="577"/>
      <c r="L64" s="577"/>
      <c r="M64" s="577"/>
      <c r="N64" s="577"/>
      <c r="O64" s="577"/>
      <c r="P64" s="580"/>
      <c r="Q64" s="576"/>
      <c r="R64" s="577"/>
      <c r="S64" s="578"/>
      <c r="T64" s="578"/>
      <c r="U64" s="578"/>
      <c r="V64" s="578"/>
      <c r="W64" s="578"/>
      <c r="X64" s="578"/>
      <c r="Y64" s="579"/>
    </row>
    <row r="65" spans="1:27" ht="15" customHeight="1">
      <c r="E65" s="565"/>
      <c r="F65" s="565"/>
      <c r="G65" s="565"/>
      <c r="H65" s="565"/>
      <c r="I65" s="565"/>
      <c r="J65" s="565"/>
      <c r="K65" s="565"/>
      <c r="L65" s="565"/>
      <c r="M65" s="565"/>
      <c r="N65" s="565"/>
      <c r="O65" s="565"/>
      <c r="P65" s="565"/>
      <c r="Q65" s="566"/>
      <c r="R65" s="565"/>
      <c r="S65" s="565"/>
      <c r="T65" s="565"/>
      <c r="U65" s="565"/>
      <c r="V65" s="565"/>
      <c r="W65" s="565"/>
      <c r="X65" s="565"/>
      <c r="Y65" s="957"/>
    </row>
    <row r="66" spans="1:27" ht="15" customHeight="1">
      <c r="E66" s="567"/>
      <c r="F66" s="568"/>
      <c r="G66" s="568"/>
      <c r="H66" s="568"/>
      <c r="I66" s="568"/>
      <c r="J66" s="568"/>
      <c r="K66" s="568"/>
      <c r="L66" s="568"/>
      <c r="M66" s="568"/>
      <c r="N66" s="568"/>
      <c r="O66" s="568"/>
      <c r="P66" s="569"/>
      <c r="Q66" s="1113" t="s">
        <v>2405</v>
      </c>
      <c r="R66" s="1114"/>
      <c r="S66" s="1114"/>
      <c r="T66" s="1114"/>
      <c r="U66" s="1114"/>
      <c r="V66" s="1114"/>
      <c r="W66" s="1114"/>
      <c r="X66" s="1114"/>
      <c r="Y66" s="1115"/>
      <c r="AA66" s="566"/>
    </row>
    <row r="67" spans="1:27" ht="15" customHeight="1">
      <c r="A67" s="1096"/>
      <c r="B67" s="1096"/>
      <c r="C67" s="1096"/>
      <c r="E67" s="570"/>
      <c r="P67" s="575"/>
      <c r="Q67" s="1126"/>
      <c r="R67" s="1127"/>
      <c r="S67" s="1127"/>
      <c r="T67" s="1127"/>
      <c r="U67" s="1127"/>
      <c r="V67" s="1127"/>
      <c r="W67" s="1127"/>
      <c r="X67" s="1127"/>
      <c r="Y67" s="1128"/>
      <c r="AA67" s="566"/>
    </row>
    <row r="68" spans="1:27" ht="15" customHeight="1">
      <c r="E68" s="570"/>
      <c r="L68" s="942" t="s">
        <v>2406</v>
      </c>
      <c r="P68" s="575"/>
      <c r="Q68" s="584">
        <v>1</v>
      </c>
      <c r="R68" s="585" t="s">
        <v>102</v>
      </c>
      <c r="S68" s="586" t="s">
        <v>2076</v>
      </c>
      <c r="T68" s="586" t="s">
        <v>2077</v>
      </c>
      <c r="U68" s="586" t="s">
        <v>2078</v>
      </c>
      <c r="V68" s="586"/>
      <c r="W68" s="586" t="s">
        <v>138</v>
      </c>
      <c r="X68" s="586"/>
      <c r="Y68" s="587" t="s">
        <v>56</v>
      </c>
      <c r="AA68" s="566"/>
    </row>
    <row r="69" spans="1:27" ht="15" customHeight="1">
      <c r="E69" s="570"/>
      <c r="L69" s="942" t="s">
        <v>2407</v>
      </c>
      <c r="P69" s="575"/>
      <c r="Q69" s="570"/>
      <c r="R69" s="571" t="s">
        <v>2412</v>
      </c>
      <c r="S69" s="572">
        <f>S29+S30</f>
        <v>45</v>
      </c>
      <c r="T69" s="572">
        <f>H73</f>
        <v>0.9</v>
      </c>
      <c r="U69" s="572">
        <f>L71</f>
        <v>0.15</v>
      </c>
      <c r="V69" s="572"/>
      <c r="W69" s="572" t="s">
        <v>44</v>
      </c>
      <c r="Y69" s="573">
        <f>S69*T69*U69</f>
        <v>6.0750000000000002</v>
      </c>
      <c r="AA69" s="566"/>
    </row>
    <row r="70" spans="1:27" ht="15" customHeight="1">
      <c r="E70" s="570"/>
      <c r="P70" s="575"/>
      <c r="Q70" s="570"/>
      <c r="R70" s="571"/>
      <c r="S70" s="572"/>
      <c r="T70" s="572"/>
      <c r="U70" s="572"/>
      <c r="V70" s="572"/>
      <c r="W70" s="572"/>
      <c r="X70" s="572"/>
      <c r="Y70" s="583">
        <f>Y69</f>
        <v>6.0750000000000002</v>
      </c>
      <c r="AA70" s="566"/>
    </row>
    <row r="71" spans="1:27" ht="15" customHeight="1">
      <c r="E71" s="570"/>
      <c r="L71" s="955">
        <v>0.15</v>
      </c>
      <c r="P71" s="575"/>
      <c r="Q71" s="570"/>
      <c r="R71" s="571"/>
      <c r="S71" s="572"/>
      <c r="T71" s="572"/>
      <c r="U71" s="572"/>
      <c r="V71" s="572"/>
      <c r="W71" s="572"/>
      <c r="X71" s="572"/>
      <c r="Y71" s="943"/>
      <c r="AA71" s="566"/>
    </row>
    <row r="72" spans="1:27" ht="15" customHeight="1">
      <c r="E72" s="570"/>
      <c r="P72" s="575"/>
      <c r="Q72" s="570"/>
      <c r="R72" s="571"/>
      <c r="S72" s="572"/>
      <c r="T72" s="572"/>
      <c r="U72" s="572"/>
      <c r="V72" s="572"/>
      <c r="W72" s="572"/>
      <c r="X72" s="572"/>
      <c r="Y72" s="943"/>
      <c r="AA72" s="566"/>
    </row>
    <row r="73" spans="1:27" ht="15" customHeight="1">
      <c r="E73" s="570"/>
      <c r="H73" s="955">
        <v>0.9</v>
      </c>
      <c r="P73" s="575"/>
      <c r="Q73" s="570"/>
      <c r="R73" s="571"/>
      <c r="S73" s="572"/>
      <c r="T73" s="572"/>
      <c r="U73" s="572"/>
      <c r="V73" s="572"/>
      <c r="W73" s="572"/>
      <c r="X73" s="572"/>
      <c r="Y73" s="943"/>
      <c r="AA73" s="566"/>
    </row>
    <row r="74" spans="1:27" ht="15" customHeight="1">
      <c r="E74" s="576"/>
      <c r="F74" s="577"/>
      <c r="G74" s="577"/>
      <c r="H74" s="577"/>
      <c r="I74" s="577"/>
      <c r="J74" s="577"/>
      <c r="K74" s="577"/>
      <c r="L74" s="577"/>
      <c r="M74" s="577"/>
      <c r="N74" s="577"/>
      <c r="O74" s="577"/>
      <c r="P74" s="580"/>
      <c r="Q74" s="570"/>
      <c r="R74" s="571"/>
      <c r="S74" s="572"/>
      <c r="T74" s="572"/>
      <c r="U74" s="572"/>
      <c r="V74" s="572"/>
      <c r="W74" s="572"/>
      <c r="X74" s="572"/>
      <c r="Y74" s="573"/>
    </row>
    <row r="75" spans="1:27" ht="15" customHeight="1">
      <c r="E75" s="570"/>
      <c r="L75" s="571"/>
      <c r="P75" s="575"/>
      <c r="Q75" s="584">
        <v>2</v>
      </c>
      <c r="R75" s="585" t="s">
        <v>18</v>
      </c>
      <c r="S75" s="586" t="s">
        <v>2076</v>
      </c>
      <c r="T75" s="586" t="s">
        <v>2082</v>
      </c>
      <c r="U75" s="586" t="s">
        <v>2083</v>
      </c>
      <c r="V75" s="586" t="s">
        <v>2078</v>
      </c>
      <c r="W75" s="586" t="s">
        <v>138</v>
      </c>
      <c r="X75" s="586"/>
      <c r="Y75" s="587" t="s">
        <v>56</v>
      </c>
    </row>
    <row r="76" spans="1:27" ht="15" customHeight="1">
      <c r="E76" s="570"/>
      <c r="H76" s="955">
        <v>0.3</v>
      </c>
      <c r="L76" s="571"/>
      <c r="P76" s="575"/>
      <c r="Q76" s="570"/>
      <c r="R76" s="571" t="s">
        <v>2410</v>
      </c>
      <c r="S76" s="572">
        <f>S29</f>
        <v>22</v>
      </c>
      <c r="T76" s="572">
        <f>H84</f>
        <v>0.7</v>
      </c>
      <c r="U76" s="572">
        <f>H76</f>
        <v>0.3</v>
      </c>
      <c r="V76" s="572">
        <f>K80</f>
        <v>0.8</v>
      </c>
      <c r="W76" s="572" t="s">
        <v>44</v>
      </c>
      <c r="X76" s="572"/>
      <c r="Y76" s="573">
        <f>(((T76+U76)/2)*V76)*S76</f>
        <v>8.8000000000000007</v>
      </c>
    </row>
    <row r="77" spans="1:27" ht="15" customHeight="1">
      <c r="E77" s="570"/>
      <c r="L77" s="571"/>
      <c r="P77" s="575"/>
      <c r="Q77" s="570"/>
      <c r="R77" s="571" t="s">
        <v>2411</v>
      </c>
      <c r="S77" s="572">
        <f>S30</f>
        <v>23</v>
      </c>
      <c r="T77" s="572">
        <f>H95</f>
        <v>0.7</v>
      </c>
      <c r="U77" s="572">
        <f>H86</f>
        <v>0.3</v>
      </c>
      <c r="V77" s="572">
        <f>L90</f>
        <v>0.8</v>
      </c>
      <c r="W77" s="572" t="s">
        <v>44</v>
      </c>
      <c r="X77" s="572"/>
      <c r="Y77" s="573">
        <f>(((T77+U77)/2)*V77)*S77</f>
        <v>9.2000000000000011</v>
      </c>
    </row>
    <row r="78" spans="1:27" ht="15" customHeight="1">
      <c r="E78" s="570"/>
      <c r="K78" s="571" t="s">
        <v>2512</v>
      </c>
      <c r="L78" s="571"/>
      <c r="P78" s="575"/>
      <c r="Q78" s="570"/>
      <c r="R78" s="571"/>
      <c r="S78" s="572"/>
      <c r="T78" s="572"/>
      <c r="U78" s="572"/>
      <c r="V78" s="572"/>
      <c r="W78" s="572"/>
      <c r="X78" s="572"/>
      <c r="Y78" s="583">
        <f>SUM(Y76:Y77)</f>
        <v>18</v>
      </c>
    </row>
    <row r="79" spans="1:27" ht="15" customHeight="1">
      <c r="E79" s="570"/>
      <c r="K79" s="571" t="s">
        <v>2408</v>
      </c>
      <c r="L79" s="571"/>
      <c r="P79" s="575"/>
      <c r="Q79" s="570"/>
      <c r="R79" s="571"/>
      <c r="S79" s="572"/>
      <c r="T79" s="572"/>
      <c r="U79" s="572"/>
      <c r="V79" s="572"/>
      <c r="W79" s="572"/>
      <c r="X79" s="572"/>
      <c r="Y79" s="943"/>
    </row>
    <row r="80" spans="1:27" ht="15" customHeight="1">
      <c r="E80" s="570"/>
      <c r="K80" s="955">
        <v>0.8</v>
      </c>
      <c r="L80" s="571"/>
      <c r="P80" s="575"/>
      <c r="Q80" s="570"/>
      <c r="R80" s="571"/>
      <c r="S80" s="572"/>
      <c r="T80" s="572"/>
      <c r="U80" s="572"/>
      <c r="V80" s="572"/>
      <c r="W80" s="572"/>
      <c r="X80" s="572"/>
      <c r="Y80" s="943"/>
    </row>
    <row r="81" spans="5:25" ht="15" customHeight="1">
      <c r="E81" s="570"/>
      <c r="L81" s="571"/>
      <c r="P81" s="575"/>
      <c r="Q81" s="570"/>
      <c r="R81" s="571"/>
      <c r="S81" s="572"/>
      <c r="T81" s="572"/>
      <c r="U81" s="572"/>
      <c r="V81" s="572"/>
      <c r="W81" s="572"/>
      <c r="X81" s="572"/>
      <c r="Y81" s="943"/>
    </row>
    <row r="82" spans="5:25" ht="15" customHeight="1">
      <c r="E82" s="570"/>
      <c r="L82" s="571"/>
      <c r="P82" s="575"/>
      <c r="Q82" s="570"/>
      <c r="R82" s="571"/>
      <c r="S82" s="572"/>
      <c r="T82" s="572"/>
      <c r="U82" s="572"/>
      <c r="V82" s="572"/>
      <c r="W82" s="572"/>
      <c r="X82" s="572"/>
      <c r="Y82" s="943"/>
    </row>
    <row r="83" spans="5:25" ht="15" customHeight="1">
      <c r="E83" s="570"/>
      <c r="L83" s="571"/>
      <c r="P83" s="575"/>
      <c r="Q83" s="570"/>
      <c r="R83" s="571"/>
      <c r="S83" s="572"/>
      <c r="T83" s="572"/>
      <c r="U83" s="572"/>
      <c r="V83" s="572"/>
      <c r="W83" s="572"/>
      <c r="X83" s="572"/>
      <c r="Y83" s="943"/>
    </row>
    <row r="84" spans="5:25" ht="15" customHeight="1">
      <c r="E84" s="570"/>
      <c r="G84" s="951"/>
      <c r="H84" s="955">
        <v>0.7</v>
      </c>
      <c r="L84" s="571"/>
      <c r="P84" s="575"/>
      <c r="Q84" s="570"/>
      <c r="R84" s="571"/>
      <c r="S84" s="572"/>
      <c r="T84" s="572"/>
      <c r="U84" s="572"/>
      <c r="V84" s="572"/>
      <c r="W84" s="572"/>
      <c r="X84" s="572"/>
      <c r="Y84" s="943"/>
    </row>
    <row r="85" spans="5:25" ht="15" customHeight="1">
      <c r="E85" s="570"/>
      <c r="L85" s="571"/>
      <c r="P85" s="575"/>
      <c r="Q85" s="570"/>
      <c r="R85" s="571"/>
      <c r="S85" s="572"/>
      <c r="T85" s="572"/>
      <c r="U85" s="572"/>
      <c r="V85" s="572"/>
      <c r="W85" s="572"/>
      <c r="X85" s="572"/>
      <c r="Y85" s="943"/>
    </row>
    <row r="86" spans="5:25" ht="15" customHeight="1">
      <c r="E86" s="570"/>
      <c r="H86" s="955">
        <v>0.3</v>
      </c>
      <c r="L86" s="571"/>
      <c r="P86" s="575"/>
      <c r="Q86" s="570"/>
      <c r="R86" s="571"/>
      <c r="S86" s="572"/>
      <c r="T86" s="572"/>
      <c r="U86" s="572"/>
      <c r="V86" s="572"/>
      <c r="W86" s="572"/>
      <c r="X86" s="572"/>
      <c r="Y86" s="943"/>
    </row>
    <row r="87" spans="5:25" ht="15" customHeight="1">
      <c r="E87" s="570"/>
      <c r="L87" s="571"/>
      <c r="P87" s="575"/>
      <c r="Q87" s="570"/>
      <c r="R87" s="571"/>
      <c r="S87" s="572"/>
      <c r="T87" s="572"/>
      <c r="U87" s="572"/>
      <c r="V87" s="572"/>
      <c r="W87" s="572"/>
      <c r="X87" s="572"/>
      <c r="Y87" s="943"/>
    </row>
    <row r="88" spans="5:25" ht="15" customHeight="1">
      <c r="E88" s="570"/>
      <c r="K88" s="571" t="s">
        <v>2512</v>
      </c>
      <c r="L88" s="571"/>
      <c r="P88" s="575"/>
      <c r="Q88" s="570"/>
      <c r="R88" s="571"/>
      <c r="S88" s="572"/>
      <c r="T88" s="572"/>
      <c r="U88" s="572"/>
      <c r="V88" s="572"/>
      <c r="W88" s="572"/>
      <c r="X88" s="572"/>
      <c r="Y88" s="943"/>
    </row>
    <row r="89" spans="5:25" ht="15" customHeight="1">
      <c r="E89" s="570"/>
      <c r="K89" s="571" t="s">
        <v>2409</v>
      </c>
      <c r="L89" s="571"/>
      <c r="P89" s="575"/>
      <c r="Q89" s="570"/>
      <c r="R89" s="571"/>
      <c r="S89" s="572"/>
      <c r="T89" s="572"/>
      <c r="U89" s="572"/>
      <c r="V89" s="572"/>
      <c r="W89" s="572"/>
      <c r="X89" s="572"/>
      <c r="Y89" s="943"/>
    </row>
    <row r="90" spans="5:25" ht="15" customHeight="1">
      <c r="E90" s="570"/>
      <c r="L90" s="955">
        <v>0.8</v>
      </c>
      <c r="P90" s="575"/>
      <c r="Q90" s="570"/>
      <c r="R90" s="571"/>
      <c r="S90" s="572"/>
      <c r="T90" s="572"/>
      <c r="U90" s="572"/>
      <c r="V90" s="572"/>
      <c r="W90" s="572"/>
      <c r="X90" s="572"/>
      <c r="Y90" s="943"/>
    </row>
    <row r="91" spans="5:25" ht="15" customHeight="1">
      <c r="E91" s="570"/>
      <c r="L91" s="571"/>
      <c r="P91" s="575"/>
      <c r="Q91" s="570"/>
      <c r="R91" s="571"/>
      <c r="S91" s="572"/>
      <c r="T91" s="572"/>
      <c r="U91" s="572"/>
      <c r="V91" s="572"/>
      <c r="W91" s="572"/>
      <c r="X91" s="572"/>
      <c r="Y91" s="943"/>
    </row>
    <row r="92" spans="5:25" ht="15" customHeight="1">
      <c r="E92" s="570"/>
      <c r="L92" s="571"/>
      <c r="P92" s="575"/>
      <c r="Q92" s="570"/>
      <c r="R92" s="571"/>
      <c r="S92" s="572"/>
      <c r="T92" s="572"/>
      <c r="U92" s="572"/>
      <c r="V92" s="572"/>
      <c r="W92" s="572"/>
      <c r="X92" s="572"/>
      <c r="Y92" s="943"/>
    </row>
    <row r="93" spans="5:25" ht="15" customHeight="1">
      <c r="E93" s="570"/>
      <c r="L93" s="571"/>
      <c r="P93" s="575"/>
      <c r="Q93" s="570"/>
      <c r="R93" s="571"/>
      <c r="S93" s="572"/>
      <c r="T93" s="572"/>
      <c r="U93" s="572"/>
      <c r="V93" s="572"/>
      <c r="W93" s="572"/>
      <c r="X93" s="572"/>
      <c r="Y93" s="943"/>
    </row>
    <row r="94" spans="5:25" ht="15" customHeight="1">
      <c r="E94" s="570"/>
      <c r="L94" s="571"/>
      <c r="P94" s="575"/>
      <c r="Q94" s="570"/>
      <c r="R94" s="571"/>
      <c r="S94" s="572"/>
      <c r="T94" s="572"/>
      <c r="U94" s="572"/>
      <c r="V94" s="572"/>
      <c r="W94" s="572"/>
      <c r="X94" s="572"/>
      <c r="Y94" s="943"/>
    </row>
    <row r="95" spans="5:25" ht="15" customHeight="1">
      <c r="E95" s="570"/>
      <c r="H95" s="955">
        <v>0.7</v>
      </c>
      <c r="L95" s="571"/>
      <c r="P95" s="575"/>
      <c r="Q95" s="570"/>
      <c r="R95" s="571"/>
      <c r="S95" s="572"/>
      <c r="T95" s="572"/>
      <c r="U95" s="572"/>
      <c r="V95" s="572"/>
      <c r="W95" s="572"/>
      <c r="X95" s="572"/>
      <c r="Y95" s="943"/>
    </row>
    <row r="96" spans="5:25" ht="15" customHeight="1">
      <c r="E96" s="576"/>
      <c r="F96" s="577"/>
      <c r="G96" s="577"/>
      <c r="H96" s="577"/>
      <c r="I96" s="577"/>
      <c r="J96" s="577"/>
      <c r="K96" s="577"/>
      <c r="L96" s="582"/>
      <c r="M96" s="577"/>
      <c r="N96" s="577"/>
      <c r="O96" s="577"/>
      <c r="P96" s="580"/>
      <c r="Q96" s="570"/>
      <c r="R96" s="571"/>
      <c r="S96" s="572"/>
      <c r="T96" s="572"/>
      <c r="U96" s="572"/>
      <c r="V96" s="572"/>
      <c r="W96" s="572"/>
      <c r="X96" s="572"/>
      <c r="Y96" s="573"/>
    </row>
    <row r="97" spans="5:25" ht="15" customHeight="1">
      <c r="E97" s="570"/>
      <c r="L97" s="571"/>
      <c r="P97" s="575"/>
      <c r="Q97" s="584">
        <v>3</v>
      </c>
      <c r="R97" s="585" t="s">
        <v>21</v>
      </c>
      <c r="S97" s="586" t="s">
        <v>54</v>
      </c>
      <c r="T97" s="586" t="s">
        <v>2413</v>
      </c>
      <c r="U97" s="586" t="s">
        <v>2078</v>
      </c>
      <c r="V97" s="586"/>
      <c r="W97" s="586" t="s">
        <v>138</v>
      </c>
      <c r="X97" s="586"/>
      <c r="Y97" s="587" t="s">
        <v>56</v>
      </c>
    </row>
    <row r="98" spans="5:25" ht="15" customHeight="1">
      <c r="E98" s="570"/>
      <c r="I98" s="571" t="s">
        <v>2414</v>
      </c>
      <c r="L98" s="571"/>
      <c r="P98" s="575"/>
      <c r="Q98" s="570"/>
      <c r="R98" s="571" t="s">
        <v>2517</v>
      </c>
      <c r="S98" s="572">
        <f>K115+L115+M115+N115</f>
        <v>19.8</v>
      </c>
      <c r="T98" s="572">
        <f>K116+L116+M116+N116</f>
        <v>25.5</v>
      </c>
      <c r="U98" s="572">
        <f>K118</f>
        <v>3.4</v>
      </c>
      <c r="V98" s="572"/>
      <c r="W98" s="572" t="s">
        <v>23</v>
      </c>
      <c r="X98" s="572"/>
      <c r="Y98" s="943">
        <f>S98*U98</f>
        <v>67.320000000000007</v>
      </c>
    </row>
    <row r="99" spans="5:25" ht="15" customHeight="1">
      <c r="E99" s="570"/>
      <c r="L99" s="571"/>
      <c r="P99" s="575"/>
      <c r="Q99" s="570"/>
      <c r="R99" s="571" t="s">
        <v>2422</v>
      </c>
      <c r="S99" s="572"/>
      <c r="T99" s="572"/>
      <c r="U99" s="572"/>
      <c r="V99" s="572"/>
      <c r="W99" s="572" t="s">
        <v>23</v>
      </c>
      <c r="X99" s="572"/>
      <c r="Y99" s="943">
        <f>K117+L117</f>
        <v>13.75</v>
      </c>
    </row>
    <row r="100" spans="5:25" ht="15" customHeight="1">
      <c r="E100" s="570"/>
      <c r="L100" s="571"/>
      <c r="P100" s="575"/>
      <c r="Q100" s="570"/>
      <c r="R100" s="571" t="s">
        <v>2423</v>
      </c>
      <c r="S100" s="572"/>
      <c r="T100" s="572"/>
      <c r="U100" s="572"/>
      <c r="V100" s="572"/>
      <c r="W100" s="572" t="s">
        <v>23</v>
      </c>
      <c r="X100" s="572"/>
      <c r="Y100" s="943">
        <f>Y120</f>
        <v>8.9699999999999989</v>
      </c>
    </row>
    <row r="101" spans="5:25" ht="15" customHeight="1">
      <c r="E101" s="570"/>
      <c r="P101" s="575"/>
      <c r="Q101" s="570"/>
      <c r="R101" s="571"/>
      <c r="S101" s="572"/>
      <c r="T101" s="572"/>
      <c r="U101" s="572"/>
      <c r="V101" s="572"/>
      <c r="W101" s="572"/>
      <c r="X101" s="572"/>
      <c r="Y101" s="583">
        <f>Y98+Y99-Y100</f>
        <v>72.100000000000009</v>
      </c>
    </row>
    <row r="102" spans="5:25" ht="15" customHeight="1">
      <c r="E102" s="570"/>
      <c r="P102" s="575"/>
      <c r="Q102" s="570"/>
      <c r="R102" s="571"/>
      <c r="S102" s="572"/>
      <c r="T102" s="572"/>
      <c r="U102" s="572"/>
      <c r="V102" s="572"/>
      <c r="W102" s="572"/>
      <c r="X102" s="572"/>
      <c r="Y102" s="943"/>
    </row>
    <row r="103" spans="5:25" ht="15" customHeight="1">
      <c r="E103" s="570"/>
      <c r="L103" s="571"/>
      <c r="O103" s="571"/>
      <c r="P103" s="575"/>
      <c r="Q103" s="584">
        <v>4</v>
      </c>
      <c r="R103" s="585" t="s">
        <v>154</v>
      </c>
      <c r="S103" s="586" t="s">
        <v>2076</v>
      </c>
      <c r="T103" s="586" t="s">
        <v>2077</v>
      </c>
      <c r="U103" s="586" t="s">
        <v>2078</v>
      </c>
      <c r="V103" s="586" t="s">
        <v>2426</v>
      </c>
      <c r="W103" s="586" t="s">
        <v>138</v>
      </c>
      <c r="X103" s="586"/>
      <c r="Y103" s="587" t="s">
        <v>56</v>
      </c>
    </row>
    <row r="104" spans="5:25" ht="15" customHeight="1">
      <c r="E104" s="570"/>
      <c r="L104" s="571"/>
      <c r="O104" s="571" t="s">
        <v>2513</v>
      </c>
      <c r="P104" s="575"/>
      <c r="Q104" s="570"/>
      <c r="R104" s="571" t="s">
        <v>2425</v>
      </c>
      <c r="S104" s="572" t="s">
        <v>2024</v>
      </c>
      <c r="T104" s="572" t="s">
        <v>2024</v>
      </c>
      <c r="U104" s="572" t="s">
        <v>2024</v>
      </c>
      <c r="V104" s="572">
        <f>Y101</f>
        <v>72.100000000000009</v>
      </c>
      <c r="W104" s="572" t="s">
        <v>23</v>
      </c>
      <c r="X104" s="572"/>
      <c r="Y104" s="943">
        <f>V104*2</f>
        <v>144.20000000000002</v>
      </c>
    </row>
    <row r="105" spans="5:25" ht="15" customHeight="1">
      <c r="E105" s="570"/>
      <c r="L105" s="571"/>
      <c r="O105" s="571" t="s">
        <v>2514</v>
      </c>
      <c r="P105" s="575"/>
      <c r="Q105" s="570"/>
      <c r="R105" s="571" t="s">
        <v>2423</v>
      </c>
      <c r="S105" s="572"/>
      <c r="T105" s="572"/>
      <c r="U105" s="572"/>
      <c r="V105" s="572"/>
      <c r="W105" s="572"/>
      <c r="X105" s="572"/>
      <c r="Y105" s="943">
        <f>Y120</f>
        <v>8.9699999999999989</v>
      </c>
    </row>
    <row r="106" spans="5:25" ht="15" customHeight="1">
      <c r="E106" s="570"/>
      <c r="L106" s="571"/>
      <c r="P106" s="575"/>
      <c r="Q106" s="570"/>
      <c r="R106" s="571"/>
      <c r="S106" s="572"/>
      <c r="T106" s="572"/>
      <c r="U106" s="572"/>
      <c r="V106" s="572"/>
      <c r="W106" s="572"/>
      <c r="X106" s="572"/>
      <c r="Y106" s="583">
        <f>Y104-Y105</f>
        <v>135.23000000000002</v>
      </c>
    </row>
    <row r="107" spans="5:25" ht="15" customHeight="1">
      <c r="E107" s="570"/>
      <c r="L107" s="571"/>
      <c r="P107" s="575"/>
      <c r="Q107" s="570"/>
      <c r="R107" s="571"/>
      <c r="S107" s="572"/>
      <c r="T107" s="572"/>
      <c r="U107" s="572"/>
      <c r="V107" s="572"/>
      <c r="W107" s="572"/>
      <c r="X107" s="572"/>
      <c r="Y107" s="943"/>
    </row>
    <row r="108" spans="5:25" ht="15" customHeight="1">
      <c r="E108" s="570"/>
      <c r="L108" s="571"/>
      <c r="P108" s="575"/>
      <c r="Q108" s="584">
        <v>5</v>
      </c>
      <c r="R108" s="585" t="s">
        <v>155</v>
      </c>
      <c r="S108" s="586" t="s">
        <v>2076</v>
      </c>
      <c r="T108" s="586" t="s">
        <v>2077</v>
      </c>
      <c r="U108" s="586" t="s">
        <v>2078</v>
      </c>
      <c r="V108" s="586" t="s">
        <v>2426</v>
      </c>
      <c r="W108" s="586" t="s">
        <v>138</v>
      </c>
      <c r="X108" s="586"/>
      <c r="Y108" s="587" t="s">
        <v>56</v>
      </c>
    </row>
    <row r="109" spans="5:25" ht="15" customHeight="1">
      <c r="E109" s="570"/>
      <c r="L109" s="571"/>
      <c r="P109" s="575"/>
      <c r="Q109" s="570"/>
      <c r="R109" s="571" t="s">
        <v>2425</v>
      </c>
      <c r="S109" s="572" t="s">
        <v>2024</v>
      </c>
      <c r="T109" s="572" t="s">
        <v>2024</v>
      </c>
      <c r="U109" s="572" t="s">
        <v>2024</v>
      </c>
      <c r="V109" s="572">
        <f>Y101</f>
        <v>72.100000000000009</v>
      </c>
      <c r="W109" s="572" t="s">
        <v>23</v>
      </c>
      <c r="X109" s="572"/>
      <c r="Y109" s="943">
        <f>V109*2</f>
        <v>144.20000000000002</v>
      </c>
    </row>
    <row r="110" spans="5:25" ht="15" customHeight="1">
      <c r="E110" s="570"/>
      <c r="L110" s="571"/>
      <c r="P110" s="575"/>
      <c r="Q110" s="570"/>
      <c r="R110" s="571" t="s">
        <v>2423</v>
      </c>
      <c r="S110" s="572"/>
      <c r="T110" s="572"/>
      <c r="U110" s="572"/>
      <c r="V110" s="572"/>
      <c r="W110" s="572"/>
      <c r="X110" s="572"/>
      <c r="Y110" s="943">
        <f>Y120</f>
        <v>8.9699999999999989</v>
      </c>
    </row>
    <row r="111" spans="5:25" ht="15" customHeight="1">
      <c r="E111" s="570"/>
      <c r="L111" s="571"/>
      <c r="P111" s="575"/>
      <c r="Q111" s="570"/>
      <c r="R111" s="571"/>
      <c r="S111" s="572"/>
      <c r="T111" s="572"/>
      <c r="U111" s="572"/>
      <c r="V111" s="572"/>
      <c r="W111" s="572"/>
      <c r="X111" s="572"/>
      <c r="Y111" s="583">
        <f>Y109-Y110</f>
        <v>135.23000000000002</v>
      </c>
    </row>
    <row r="112" spans="5:25" ht="15" customHeight="1">
      <c r="E112" s="570"/>
      <c r="L112" s="571"/>
      <c r="P112" s="575"/>
      <c r="Q112" s="570"/>
      <c r="R112" s="571"/>
      <c r="S112" s="572"/>
      <c r="T112" s="572"/>
      <c r="U112" s="572"/>
      <c r="V112" s="572"/>
      <c r="W112" s="572"/>
      <c r="X112" s="572"/>
      <c r="Y112" s="943"/>
    </row>
    <row r="113" spans="1:27" ht="15" customHeight="1">
      <c r="E113" s="570"/>
      <c r="F113" s="951"/>
      <c r="G113" s="951"/>
      <c r="H113" s="951"/>
      <c r="I113" s="951"/>
      <c r="J113" s="951"/>
      <c r="K113" s="951"/>
      <c r="L113" s="951"/>
      <c r="M113" s="951"/>
      <c r="N113" s="951"/>
      <c r="P113" s="575"/>
      <c r="Q113" s="584"/>
      <c r="R113" s="585" t="s">
        <v>2423</v>
      </c>
      <c r="S113" s="944" t="s">
        <v>2076</v>
      </c>
      <c r="T113" s="944" t="s">
        <v>2077</v>
      </c>
      <c r="U113" s="944" t="s">
        <v>2078</v>
      </c>
      <c r="V113" s="944"/>
      <c r="W113" s="586" t="s">
        <v>138</v>
      </c>
      <c r="X113" s="944"/>
      <c r="Y113" s="587" t="s">
        <v>56</v>
      </c>
    </row>
    <row r="114" spans="1:27" ht="15" customHeight="1">
      <c r="E114" s="570"/>
      <c r="F114" s="951"/>
      <c r="G114" s="951"/>
      <c r="H114" s="951"/>
      <c r="I114" s="951"/>
      <c r="J114" s="951"/>
      <c r="K114" s="951"/>
      <c r="L114" s="951"/>
      <c r="M114" s="951"/>
      <c r="N114" s="951"/>
      <c r="P114" s="575"/>
      <c r="Q114" s="574"/>
      <c r="R114" s="571" t="s">
        <v>2416</v>
      </c>
      <c r="S114" s="574">
        <v>0.9</v>
      </c>
      <c r="T114" s="574">
        <v>2.1</v>
      </c>
      <c r="W114" s="572" t="s">
        <v>23</v>
      </c>
      <c r="Y114" s="943">
        <f t="shared" ref="Y114:Y119" si="0">S114*T114</f>
        <v>1.8900000000000001</v>
      </c>
    </row>
    <row r="115" spans="1:27" ht="15" customHeight="1">
      <c r="E115" s="570"/>
      <c r="F115" s="999" t="s">
        <v>2414</v>
      </c>
      <c r="G115" s="1000"/>
      <c r="H115" s="1000"/>
      <c r="I115" s="951"/>
      <c r="J115" s="951"/>
      <c r="K115" s="972">
        <v>6</v>
      </c>
      <c r="L115" s="972">
        <v>6</v>
      </c>
      <c r="M115" s="972">
        <v>6</v>
      </c>
      <c r="N115" s="1002">
        <v>1.8</v>
      </c>
      <c r="P115" s="575"/>
      <c r="Q115" s="574"/>
      <c r="R115" s="571" t="s">
        <v>2417</v>
      </c>
      <c r="S115" s="995">
        <v>1</v>
      </c>
      <c r="T115" s="574">
        <v>1.2</v>
      </c>
      <c r="Y115" s="943">
        <f t="shared" si="0"/>
        <v>1.2</v>
      </c>
    </row>
    <row r="116" spans="1:27" ht="15" customHeight="1">
      <c r="E116" s="570"/>
      <c r="F116" s="999" t="s">
        <v>2415</v>
      </c>
      <c r="G116" s="1000"/>
      <c r="H116" s="1000"/>
      <c r="I116" s="951"/>
      <c r="J116" s="951"/>
      <c r="K116" s="972">
        <v>9</v>
      </c>
      <c r="L116" s="972">
        <f>8-1.8</f>
        <v>6.2</v>
      </c>
      <c r="M116" s="972">
        <v>8.5</v>
      </c>
      <c r="N116" s="1002">
        <v>1.8</v>
      </c>
      <c r="P116" s="575"/>
      <c r="Q116" s="574"/>
      <c r="R116" s="571" t="s">
        <v>2418</v>
      </c>
      <c r="S116" s="574">
        <v>0.7</v>
      </c>
      <c r="T116" s="574">
        <v>1.2</v>
      </c>
      <c r="Y116" s="943">
        <f t="shared" si="0"/>
        <v>0.84</v>
      </c>
    </row>
    <row r="117" spans="1:27" ht="15" customHeight="1">
      <c r="E117" s="570"/>
      <c r="F117" s="999" t="s">
        <v>2515</v>
      </c>
      <c r="G117" s="1000"/>
      <c r="H117" s="1000"/>
      <c r="I117" s="1000"/>
      <c r="J117" s="1000"/>
      <c r="K117" s="1003">
        <f>(0.5*5*1.36)</f>
        <v>3.4000000000000004</v>
      </c>
      <c r="L117" s="1004">
        <f>(0.5*9*2.3)</f>
        <v>10.35</v>
      </c>
      <c r="P117" s="575"/>
      <c r="Q117" s="574"/>
      <c r="R117" s="571" t="s">
        <v>2419</v>
      </c>
      <c r="S117" s="574">
        <v>0.8</v>
      </c>
      <c r="T117" s="574">
        <v>2.1</v>
      </c>
      <c r="Y117" s="943">
        <f t="shared" si="0"/>
        <v>1.6800000000000002</v>
      </c>
    </row>
    <row r="118" spans="1:27" ht="15" customHeight="1">
      <c r="E118" s="570"/>
      <c r="F118" s="999" t="s">
        <v>2516</v>
      </c>
      <c r="K118" s="1003">
        <v>3.4</v>
      </c>
      <c r="L118" s="571"/>
      <c r="P118" s="575"/>
      <c r="Q118" s="574"/>
      <c r="R118" s="571" t="s">
        <v>2420</v>
      </c>
      <c r="S118" s="574">
        <v>0.8</v>
      </c>
      <c r="T118" s="574">
        <v>2.1</v>
      </c>
      <c r="Y118" s="943">
        <f t="shared" si="0"/>
        <v>1.6800000000000002</v>
      </c>
    </row>
    <row r="119" spans="1:27" ht="15" customHeight="1">
      <c r="E119" s="570"/>
      <c r="L119" s="571"/>
      <c r="P119" s="575"/>
      <c r="Q119" s="574"/>
      <c r="R119" s="571" t="s">
        <v>2421</v>
      </c>
      <c r="S119" s="574">
        <v>0.8</v>
      </c>
      <c r="T119" s="574">
        <v>2.1</v>
      </c>
      <c r="Y119" s="943">
        <f t="shared" si="0"/>
        <v>1.6800000000000002</v>
      </c>
    </row>
    <row r="120" spans="1:27" ht="15" customHeight="1">
      <c r="E120" s="570"/>
      <c r="L120" s="571"/>
      <c r="P120" s="575"/>
      <c r="Q120" s="574"/>
      <c r="R120" s="571"/>
      <c r="Y120" s="583">
        <f>SUM(Y114:Y119)</f>
        <v>8.9699999999999989</v>
      </c>
    </row>
    <row r="121" spans="1:27" ht="15" customHeight="1">
      <c r="E121" s="576"/>
      <c r="F121" s="577"/>
      <c r="G121" s="577"/>
      <c r="H121" s="577"/>
      <c r="I121" s="577"/>
      <c r="J121" s="577"/>
      <c r="K121" s="577"/>
      <c r="L121" s="577"/>
      <c r="M121" s="577"/>
      <c r="N121" s="577"/>
      <c r="O121" s="577"/>
      <c r="P121" s="580"/>
      <c r="Q121" s="576"/>
      <c r="R121" s="577"/>
      <c r="S121" s="578"/>
      <c r="T121" s="578"/>
      <c r="U121" s="578"/>
      <c r="V121" s="578"/>
      <c r="W121" s="578"/>
      <c r="X121" s="578"/>
      <c r="Y121" s="579"/>
    </row>
    <row r="122" spans="1:27" ht="15" customHeight="1">
      <c r="E122" s="565"/>
      <c r="F122" s="565"/>
      <c r="G122" s="565"/>
      <c r="H122" s="565"/>
      <c r="I122" s="565"/>
      <c r="J122" s="565"/>
      <c r="K122" s="565"/>
      <c r="L122" s="565"/>
      <c r="M122" s="565"/>
      <c r="N122" s="565"/>
      <c r="O122" s="565"/>
      <c r="P122" s="565"/>
      <c r="Q122" s="566"/>
      <c r="R122" s="565"/>
      <c r="S122" s="565"/>
      <c r="T122" s="565"/>
      <c r="U122" s="565"/>
      <c r="V122" s="565"/>
      <c r="W122" s="565"/>
      <c r="X122" s="565"/>
      <c r="Y122" s="957"/>
    </row>
    <row r="123" spans="1:27" ht="15" customHeight="1">
      <c r="E123" s="567"/>
      <c r="F123" s="568"/>
      <c r="G123" s="568"/>
      <c r="H123" s="568"/>
      <c r="I123" s="568"/>
      <c r="J123" s="568"/>
      <c r="K123" s="568"/>
      <c r="L123" s="568"/>
      <c r="M123" s="568"/>
      <c r="N123" s="568"/>
      <c r="O123" s="568"/>
      <c r="P123" s="569"/>
      <c r="Q123" s="1113" t="s">
        <v>2427</v>
      </c>
      <c r="R123" s="1114"/>
      <c r="S123" s="1114"/>
      <c r="T123" s="1114"/>
      <c r="U123" s="1114"/>
      <c r="V123" s="1114"/>
      <c r="W123" s="1114"/>
      <c r="X123" s="1114"/>
      <c r="Y123" s="1115"/>
      <c r="AA123" s="566"/>
    </row>
    <row r="124" spans="1:27" ht="15" customHeight="1">
      <c r="A124" s="1096"/>
      <c r="B124" s="1096"/>
      <c r="C124" s="1096"/>
      <c r="E124" s="570"/>
      <c r="P124" s="575"/>
      <c r="Q124" s="1126"/>
      <c r="R124" s="1127"/>
      <c r="S124" s="1127"/>
      <c r="T124" s="1127"/>
      <c r="U124" s="1127"/>
      <c r="V124" s="1127"/>
      <c r="W124" s="1127"/>
      <c r="X124" s="1127"/>
      <c r="Y124" s="1128"/>
      <c r="AA124" s="959"/>
    </row>
    <row r="125" spans="1:27" ht="15" customHeight="1">
      <c r="E125" s="1005" t="s">
        <v>22</v>
      </c>
      <c r="F125" s="1006" t="s">
        <v>29</v>
      </c>
      <c r="G125" s="1007"/>
      <c r="H125" s="1007"/>
      <c r="I125" s="1007"/>
      <c r="J125" s="1007"/>
      <c r="K125" s="1007"/>
      <c r="L125" s="1008"/>
      <c r="M125" s="1007"/>
      <c r="N125" s="1007"/>
      <c r="O125" s="1007"/>
      <c r="P125" s="1009"/>
      <c r="Q125" s="584">
        <v>1</v>
      </c>
      <c r="R125" s="585" t="s">
        <v>1663</v>
      </c>
      <c r="S125" s="586"/>
      <c r="T125" s="586"/>
      <c r="U125" s="586"/>
      <c r="V125" s="586"/>
      <c r="W125" s="586"/>
      <c r="X125" s="586"/>
      <c r="Y125" s="587"/>
      <c r="AA125" s="959"/>
    </row>
    <row r="126" spans="1:27" ht="15" customHeight="1">
      <c r="E126" s="1010"/>
      <c r="F126" s="999" t="s">
        <v>2518</v>
      </c>
      <c r="G126" s="1000"/>
      <c r="H126" s="1000"/>
      <c r="I126" s="1000"/>
      <c r="J126" s="1000"/>
      <c r="K126" s="1000"/>
      <c r="L126" s="1001"/>
      <c r="M126" s="1000"/>
      <c r="N126" s="1107">
        <v>8</v>
      </c>
      <c r="O126" s="1108"/>
      <c r="P126" s="1011"/>
      <c r="Q126" s="574" t="s">
        <v>2428</v>
      </c>
      <c r="R126" s="952" t="s">
        <v>31</v>
      </c>
      <c r="S126" s="572"/>
      <c r="T126" s="588"/>
      <c r="X126" s="572"/>
      <c r="Y126" s="573"/>
      <c r="AA126" s="959"/>
    </row>
    <row r="127" spans="1:27" ht="15" customHeight="1">
      <c r="E127" s="1010"/>
      <c r="F127" s="999" t="s">
        <v>2519</v>
      </c>
      <c r="G127" s="1000"/>
      <c r="H127" s="1000"/>
      <c r="I127" s="1000"/>
      <c r="J127" s="1000"/>
      <c r="K127" s="1000"/>
      <c r="L127" s="1001"/>
      <c r="M127" s="1000"/>
      <c r="N127" s="1107">
        <v>0.2</v>
      </c>
      <c r="O127" s="1108"/>
      <c r="P127" s="1011"/>
      <c r="Q127" s="570"/>
      <c r="R127" s="948" t="s">
        <v>35</v>
      </c>
      <c r="S127" s="572">
        <f>N126</f>
        <v>8</v>
      </c>
      <c r="T127" s="953" t="s">
        <v>36</v>
      </c>
      <c r="U127" s="951"/>
      <c r="V127" s="951"/>
      <c r="W127" s="588"/>
      <c r="X127" s="572"/>
      <c r="Y127" s="573"/>
      <c r="AA127" s="959"/>
    </row>
    <row r="128" spans="1:27" ht="15" customHeight="1">
      <c r="E128" s="1010"/>
      <c r="F128" s="1000"/>
      <c r="G128" s="1000"/>
      <c r="H128" s="1000"/>
      <c r="I128" s="1000"/>
      <c r="J128" s="1000"/>
      <c r="K128" s="1000"/>
      <c r="L128" s="1000"/>
      <c r="M128" s="1000"/>
      <c r="N128" s="1000"/>
      <c r="O128" s="1000"/>
      <c r="P128" s="1011"/>
      <c r="Q128" s="570"/>
      <c r="R128" s="948" t="s">
        <v>32</v>
      </c>
      <c r="S128" s="949">
        <f>S29+S30</f>
        <v>45</v>
      </c>
      <c r="T128" s="953" t="s">
        <v>2110</v>
      </c>
      <c r="U128" s="951"/>
      <c r="V128" s="951"/>
      <c r="W128" s="953"/>
      <c r="X128" s="949"/>
      <c r="Y128" s="943"/>
      <c r="AA128" s="959"/>
    </row>
    <row r="129" spans="5:27" ht="15" customHeight="1">
      <c r="E129" s="1010"/>
      <c r="F129" s="1000"/>
      <c r="G129" s="1000"/>
      <c r="H129" s="1000"/>
      <c r="I129" s="1000"/>
      <c r="J129" s="955">
        <v>0.2</v>
      </c>
      <c r="K129" s="1000"/>
      <c r="L129" s="999"/>
      <c r="M129" s="1000"/>
      <c r="N129" s="1000"/>
      <c r="O129" s="1000"/>
      <c r="P129" s="1011"/>
      <c r="Q129" s="947"/>
      <c r="R129" s="948" t="s">
        <v>34</v>
      </c>
      <c r="S129" s="949">
        <f>S128*S127</f>
        <v>360</v>
      </c>
      <c r="T129" s="953" t="s">
        <v>2110</v>
      </c>
      <c r="U129" s="951"/>
      <c r="V129" s="951"/>
      <c r="W129" s="953"/>
      <c r="X129" s="949"/>
      <c r="Y129" s="943"/>
      <c r="AA129" s="959"/>
    </row>
    <row r="130" spans="5:27" ht="15" customHeight="1">
      <c r="E130" s="1010"/>
      <c r="F130" s="1000"/>
      <c r="G130" s="1000"/>
      <c r="H130" s="1000"/>
      <c r="I130" s="1000"/>
      <c r="J130" s="1000"/>
      <c r="K130" s="1000"/>
      <c r="L130" s="999"/>
      <c r="M130" s="1000"/>
      <c r="N130" s="1000"/>
      <c r="O130" s="1000"/>
      <c r="P130" s="1011"/>
      <c r="Q130" s="947"/>
      <c r="R130" s="948" t="s">
        <v>2444</v>
      </c>
      <c r="S130" s="949">
        <f>S129/J143</f>
        <v>30</v>
      </c>
      <c r="T130" s="953" t="s">
        <v>2110</v>
      </c>
      <c r="U130" s="949"/>
      <c r="V130" s="949"/>
      <c r="W130" s="949"/>
      <c r="X130" s="949"/>
      <c r="Y130" s="943"/>
      <c r="AA130" s="959"/>
    </row>
    <row r="131" spans="5:27" ht="15" customHeight="1">
      <c r="E131" s="1010"/>
      <c r="F131" s="1000"/>
      <c r="G131" s="1000"/>
      <c r="H131" s="1000"/>
      <c r="I131" s="1000"/>
      <c r="J131" s="1000"/>
      <c r="K131" s="1000"/>
      <c r="L131" s="999"/>
      <c r="M131" s="1000"/>
      <c r="N131" s="1000"/>
      <c r="O131" s="1000"/>
      <c r="P131" s="1011"/>
      <c r="Q131" s="947"/>
      <c r="R131" s="948" t="s">
        <v>2445</v>
      </c>
      <c r="S131" s="949">
        <f>S130*M143</f>
        <v>142.20000000000002</v>
      </c>
      <c r="T131" s="953" t="s">
        <v>38</v>
      </c>
      <c r="U131" s="949"/>
      <c r="V131" s="949"/>
      <c r="W131" s="949"/>
      <c r="X131" s="949"/>
      <c r="Y131" s="943"/>
      <c r="AA131" s="959"/>
    </row>
    <row r="132" spans="5:27" ht="15" customHeight="1">
      <c r="E132" s="1010"/>
      <c r="F132" s="1000"/>
      <c r="G132" s="1000"/>
      <c r="H132" s="1000"/>
      <c r="I132" s="1000"/>
      <c r="J132" s="1000"/>
      <c r="K132" s="1000"/>
      <c r="L132" s="999"/>
      <c r="M132" s="1000"/>
      <c r="N132" s="1000"/>
      <c r="O132" s="1000"/>
      <c r="P132" s="1011"/>
      <c r="Q132" s="947"/>
      <c r="R132" s="948"/>
      <c r="S132" s="949"/>
      <c r="T132" s="953"/>
      <c r="U132" s="949"/>
      <c r="V132" s="949"/>
      <c r="W132" s="949"/>
      <c r="X132" s="949"/>
      <c r="Y132" s="943"/>
      <c r="AA132" s="959"/>
    </row>
    <row r="133" spans="5:27" ht="15" customHeight="1">
      <c r="E133" s="1010"/>
      <c r="F133" s="1000"/>
      <c r="G133" s="1000"/>
      <c r="H133" s="1000"/>
      <c r="I133" s="1000"/>
      <c r="J133" s="1000"/>
      <c r="K133" s="1000"/>
      <c r="L133" s="999"/>
      <c r="M133" s="1000"/>
      <c r="N133" s="1000"/>
      <c r="O133" s="1000"/>
      <c r="P133" s="1011"/>
      <c r="Q133" s="947"/>
      <c r="R133" s="948" t="s">
        <v>39</v>
      </c>
      <c r="S133" s="949" t="s">
        <v>47</v>
      </c>
      <c r="T133" s="949" t="s">
        <v>2430</v>
      </c>
      <c r="U133" s="949" t="s">
        <v>2431</v>
      </c>
      <c r="V133" s="949" t="s">
        <v>2434</v>
      </c>
      <c r="W133" s="949" t="s">
        <v>2433</v>
      </c>
      <c r="X133" s="949"/>
      <c r="Y133" s="943" t="s">
        <v>56</v>
      </c>
      <c r="AA133" s="959"/>
    </row>
    <row r="134" spans="5:27" ht="15" customHeight="1">
      <c r="E134" s="1012"/>
      <c r="F134" s="999"/>
      <c r="G134" s="1000"/>
      <c r="H134" s="1000"/>
      <c r="I134" s="1000"/>
      <c r="J134" s="1000"/>
      <c r="K134" s="1000"/>
      <c r="L134" s="999"/>
      <c r="M134" s="1000"/>
      <c r="N134" s="1000"/>
      <c r="O134" s="955">
        <v>0.25</v>
      </c>
      <c r="P134" s="1011"/>
      <c r="Q134" s="947"/>
      <c r="R134" s="948" t="s">
        <v>2432</v>
      </c>
      <c r="S134" s="949">
        <f>2*O134</f>
        <v>0.5</v>
      </c>
      <c r="T134" s="949">
        <f>2*J129</f>
        <v>0.4</v>
      </c>
      <c r="U134" s="949">
        <v>0.05</v>
      </c>
      <c r="V134" s="949">
        <f>N127</f>
        <v>0.2</v>
      </c>
      <c r="W134" s="949">
        <f>S128</f>
        <v>45</v>
      </c>
      <c r="X134" s="949"/>
      <c r="Y134" s="943">
        <f>(U134+T134+S134)*(W134/V134)</f>
        <v>213.75</v>
      </c>
      <c r="AA134" s="959"/>
    </row>
    <row r="135" spans="5:27" ht="15" customHeight="1">
      <c r="E135" s="1010"/>
      <c r="F135" s="1000"/>
      <c r="G135" s="1000"/>
      <c r="H135" s="1000"/>
      <c r="I135" s="1000"/>
      <c r="J135" s="1000"/>
      <c r="K135" s="1000"/>
      <c r="L135" s="999"/>
      <c r="M135" s="1000"/>
      <c r="N135" s="1000"/>
      <c r="O135" s="1000"/>
      <c r="P135" s="1011"/>
      <c r="Q135" s="947"/>
      <c r="R135" s="948" t="s">
        <v>2444</v>
      </c>
      <c r="S135" s="949">
        <f>Y134/J142</f>
        <v>17.8125</v>
      </c>
      <c r="T135" s="953" t="s">
        <v>37</v>
      </c>
      <c r="U135" s="950"/>
      <c r="V135" s="949"/>
      <c r="W135" s="949"/>
      <c r="X135" s="949"/>
      <c r="Y135" s="943"/>
      <c r="AA135" s="959"/>
    </row>
    <row r="136" spans="5:27" ht="15" customHeight="1">
      <c r="E136" s="1012"/>
      <c r="F136" s="999"/>
      <c r="G136" s="1000"/>
      <c r="H136" s="1000"/>
      <c r="I136" s="1000"/>
      <c r="J136" s="1000"/>
      <c r="K136" s="1000"/>
      <c r="L136" s="999"/>
      <c r="M136" s="1000"/>
      <c r="N136" s="1000"/>
      <c r="O136" s="1000"/>
      <c r="P136" s="1011"/>
      <c r="Q136" s="947"/>
      <c r="R136" s="948" t="s">
        <v>2445</v>
      </c>
      <c r="S136" s="949">
        <f>S135*M142</f>
        <v>47.381250000000001</v>
      </c>
      <c r="T136" s="953" t="s">
        <v>38</v>
      </c>
      <c r="U136" s="950"/>
      <c r="V136" s="949"/>
      <c r="W136" s="949"/>
      <c r="X136" s="949"/>
      <c r="Y136" s="943"/>
      <c r="AA136" s="959"/>
    </row>
    <row r="137" spans="5:27" ht="15" customHeight="1">
      <c r="E137" s="1012"/>
      <c r="F137" s="999"/>
      <c r="G137" s="1000"/>
      <c r="H137" s="1000"/>
      <c r="I137" s="1000"/>
      <c r="J137" s="1000"/>
      <c r="K137" s="1000"/>
      <c r="L137" s="999"/>
      <c r="M137" s="1000"/>
      <c r="N137" s="1000"/>
      <c r="O137" s="1000"/>
      <c r="P137" s="1011"/>
      <c r="Q137" s="947"/>
      <c r="R137" s="948"/>
      <c r="S137" s="949"/>
      <c r="T137" s="953"/>
      <c r="U137" s="950"/>
      <c r="V137" s="949"/>
      <c r="W137" s="949"/>
      <c r="X137" s="949"/>
      <c r="Y137" s="943"/>
      <c r="AA137" s="946"/>
    </row>
    <row r="138" spans="5:27" ht="15" customHeight="1">
      <c r="E138" s="1012"/>
      <c r="F138" s="999"/>
      <c r="G138" s="1000"/>
      <c r="H138" s="1000"/>
      <c r="I138" s="1000"/>
      <c r="J138" s="1000"/>
      <c r="K138" s="1000"/>
      <c r="L138" s="999"/>
      <c r="M138" s="1000"/>
      <c r="N138" s="1000"/>
      <c r="O138" s="1000"/>
      <c r="P138" s="1011"/>
      <c r="Q138" s="947"/>
      <c r="R138" s="948" t="s">
        <v>2446</v>
      </c>
      <c r="S138" s="949"/>
      <c r="T138" s="953"/>
      <c r="U138" s="950"/>
      <c r="V138" s="949"/>
      <c r="W138" s="949"/>
      <c r="X138" s="949"/>
      <c r="Y138" s="583">
        <f>S131+S136</f>
        <v>189.58125000000001</v>
      </c>
      <c r="AA138" s="946"/>
    </row>
    <row r="139" spans="5:27" ht="15" customHeight="1">
      <c r="E139" s="1010"/>
      <c r="F139" s="1000"/>
      <c r="G139" s="1000"/>
      <c r="H139" s="1000"/>
      <c r="I139" s="1000"/>
      <c r="J139" s="1000"/>
      <c r="K139" s="1000"/>
      <c r="L139" s="999"/>
      <c r="M139" s="1000"/>
      <c r="N139" s="1000"/>
      <c r="O139" s="1000"/>
      <c r="P139" s="1011"/>
      <c r="Q139" s="947"/>
      <c r="R139" s="948"/>
      <c r="S139" s="949"/>
      <c r="T139" s="949"/>
      <c r="U139" s="949"/>
      <c r="V139" s="949"/>
      <c r="W139" s="949"/>
      <c r="X139" s="949"/>
      <c r="Y139" s="943"/>
      <c r="AA139" s="959"/>
    </row>
    <row r="140" spans="5:27" ht="15" customHeight="1">
      <c r="E140" s="1012"/>
      <c r="F140" s="999"/>
      <c r="G140" s="1000"/>
      <c r="H140" s="1000"/>
      <c r="I140" s="1000"/>
      <c r="J140" s="1000"/>
      <c r="K140" s="1000"/>
      <c r="L140" s="999"/>
      <c r="M140" s="1000"/>
      <c r="N140" s="1000"/>
      <c r="O140" s="1000"/>
      <c r="P140" s="1011"/>
      <c r="Q140" s="947" t="s">
        <v>2436</v>
      </c>
      <c r="R140" s="954" t="s">
        <v>156</v>
      </c>
      <c r="S140" s="949" t="s">
        <v>2076</v>
      </c>
      <c r="T140" s="949" t="s">
        <v>2078</v>
      </c>
      <c r="U140" s="949" t="s">
        <v>2424</v>
      </c>
      <c r="V140" s="949"/>
      <c r="W140" s="949"/>
      <c r="X140" s="949"/>
      <c r="Y140" s="943" t="s">
        <v>56</v>
      </c>
      <c r="AA140" s="959"/>
    </row>
    <row r="141" spans="5:27" ht="15" customHeight="1">
      <c r="E141" s="1010"/>
      <c r="F141" s="1111"/>
      <c r="G141" s="1111"/>
      <c r="H141" s="1111"/>
      <c r="I141" s="1111"/>
      <c r="J141" s="1112" t="s">
        <v>9</v>
      </c>
      <c r="K141" s="1112"/>
      <c r="L141" s="1112"/>
      <c r="M141" s="1112" t="s">
        <v>2463</v>
      </c>
      <c r="N141" s="1112"/>
      <c r="O141" s="1112"/>
      <c r="P141" s="1011"/>
      <c r="Q141" s="947"/>
      <c r="R141" s="948" t="s">
        <v>2437</v>
      </c>
      <c r="S141" s="949">
        <f>S128</f>
        <v>45</v>
      </c>
      <c r="T141" s="949">
        <f>O134</f>
        <v>0.25</v>
      </c>
      <c r="U141" s="949">
        <v>2</v>
      </c>
      <c r="V141" s="949"/>
      <c r="W141" s="949"/>
      <c r="X141" s="949"/>
      <c r="Y141" s="583">
        <f>S141*T141*U141</f>
        <v>22.5</v>
      </c>
      <c r="AA141" s="959"/>
    </row>
    <row r="142" spans="5:27" ht="15" customHeight="1">
      <c r="E142" s="1010"/>
      <c r="F142" s="1120" t="s">
        <v>2435</v>
      </c>
      <c r="G142" s="1121"/>
      <c r="H142" s="1121"/>
      <c r="I142" s="1122"/>
      <c r="J142" s="1120">
        <v>12</v>
      </c>
      <c r="K142" s="1121"/>
      <c r="L142" s="1122"/>
      <c r="M142" s="1123">
        <v>2.66</v>
      </c>
      <c r="N142" s="1124"/>
      <c r="O142" s="1125"/>
      <c r="P142" s="1011"/>
      <c r="Q142" s="947"/>
      <c r="R142" s="948"/>
      <c r="S142" s="949"/>
      <c r="T142" s="949"/>
      <c r="U142" s="949"/>
      <c r="V142" s="949"/>
      <c r="W142" s="949"/>
      <c r="X142" s="949"/>
      <c r="Y142" s="943"/>
      <c r="AA142" s="959"/>
    </row>
    <row r="143" spans="5:27" ht="15" customHeight="1">
      <c r="E143" s="1010"/>
      <c r="F143" s="1120" t="s">
        <v>2429</v>
      </c>
      <c r="G143" s="1121"/>
      <c r="H143" s="1121"/>
      <c r="I143" s="1122"/>
      <c r="J143" s="1120">
        <v>12</v>
      </c>
      <c r="K143" s="1121"/>
      <c r="L143" s="1122"/>
      <c r="M143" s="1123">
        <v>4.74</v>
      </c>
      <c r="N143" s="1124"/>
      <c r="O143" s="1125"/>
      <c r="P143" s="1011"/>
      <c r="Q143" s="947" t="s">
        <v>2438</v>
      </c>
      <c r="R143" s="954" t="s">
        <v>43</v>
      </c>
      <c r="S143" s="949" t="s">
        <v>47</v>
      </c>
      <c r="T143" s="949" t="s">
        <v>2430</v>
      </c>
      <c r="U143" s="949" t="s">
        <v>2076</v>
      </c>
      <c r="V143" s="949"/>
      <c r="W143" s="949"/>
      <c r="X143" s="949"/>
      <c r="Y143" s="943" t="s">
        <v>56</v>
      </c>
      <c r="AA143" s="946"/>
    </row>
    <row r="144" spans="5:27" ht="15" customHeight="1">
      <c r="E144" s="1012"/>
      <c r="F144" s="1120" t="s">
        <v>2460</v>
      </c>
      <c r="G144" s="1121"/>
      <c r="H144" s="1121"/>
      <c r="I144" s="1122"/>
      <c r="J144" s="1120">
        <v>12</v>
      </c>
      <c r="K144" s="1121"/>
      <c r="L144" s="1122"/>
      <c r="M144" s="1123">
        <v>7.4</v>
      </c>
      <c r="N144" s="1124"/>
      <c r="O144" s="1125"/>
      <c r="P144" s="1011"/>
      <c r="Q144" s="947"/>
      <c r="R144" s="948"/>
      <c r="S144" s="949">
        <f>O134</f>
        <v>0.25</v>
      </c>
      <c r="T144" s="949">
        <f>J129</f>
        <v>0.2</v>
      </c>
      <c r="U144" s="949">
        <f>S128</f>
        <v>45</v>
      </c>
      <c r="V144" s="949"/>
      <c r="W144" s="949"/>
      <c r="X144" s="949"/>
      <c r="Y144" s="583">
        <f>S144*T144*U144</f>
        <v>2.25</v>
      </c>
      <c r="AA144" s="946"/>
    </row>
    <row r="145" spans="5:27" ht="15" customHeight="1">
      <c r="E145" s="1010"/>
      <c r="F145" s="1000"/>
      <c r="G145" s="1000"/>
      <c r="H145" s="1000"/>
      <c r="I145" s="1000"/>
      <c r="J145" s="1000"/>
      <c r="K145" s="1000"/>
      <c r="L145" s="999"/>
      <c r="M145" s="1000"/>
      <c r="N145" s="1000"/>
      <c r="O145" s="1000"/>
      <c r="P145" s="1011"/>
      <c r="Q145" s="947"/>
      <c r="R145" s="948"/>
      <c r="S145" s="949"/>
      <c r="T145" s="949"/>
      <c r="U145" s="949"/>
      <c r="V145" s="949"/>
      <c r="W145" s="949"/>
      <c r="X145" s="949"/>
      <c r="Y145" s="943"/>
      <c r="AA145" s="946"/>
    </row>
    <row r="146" spans="5:27" ht="15" customHeight="1">
      <c r="E146" s="1013" t="s">
        <v>40</v>
      </c>
      <c r="F146" s="1006" t="s">
        <v>2440</v>
      </c>
      <c r="G146" s="1007"/>
      <c r="H146" s="1007"/>
      <c r="I146" s="1007"/>
      <c r="J146" s="1007"/>
      <c r="K146" s="1007"/>
      <c r="L146" s="1006"/>
      <c r="M146" s="1007"/>
      <c r="N146" s="1007"/>
      <c r="O146" s="1007"/>
      <c r="P146" s="1009"/>
      <c r="Q146" s="584">
        <v>2</v>
      </c>
      <c r="R146" s="585" t="s">
        <v>1667</v>
      </c>
      <c r="S146" s="586"/>
      <c r="T146" s="586"/>
      <c r="U146" s="586"/>
      <c r="V146" s="586"/>
      <c r="W146" s="586"/>
      <c r="X146" s="586"/>
      <c r="Y146" s="587"/>
      <c r="AA146" s="946"/>
    </row>
    <row r="147" spans="5:27" ht="15" customHeight="1">
      <c r="E147" s="1010"/>
      <c r="F147" s="999" t="s">
        <v>2518</v>
      </c>
      <c r="G147" s="1000"/>
      <c r="H147" s="1000"/>
      <c r="I147" s="1000"/>
      <c r="J147" s="1000"/>
      <c r="K147" s="1000"/>
      <c r="L147" s="1001"/>
      <c r="M147" s="1000"/>
      <c r="N147" s="1107">
        <v>4</v>
      </c>
      <c r="O147" s="1108"/>
      <c r="P147" s="1011"/>
      <c r="Q147" s="947" t="s">
        <v>2439</v>
      </c>
      <c r="R147" s="952" t="s">
        <v>31</v>
      </c>
      <c r="S147" s="949"/>
      <c r="T147" s="949"/>
      <c r="U147" s="949"/>
      <c r="V147" s="949"/>
      <c r="W147" s="949"/>
      <c r="X147" s="949"/>
      <c r="Y147" s="943"/>
    </row>
    <row r="148" spans="5:27" ht="15" customHeight="1">
      <c r="E148" s="1010"/>
      <c r="F148" s="999" t="s">
        <v>2519</v>
      </c>
      <c r="G148" s="1000"/>
      <c r="H148" s="1000"/>
      <c r="I148" s="1000"/>
      <c r="J148" s="1000"/>
      <c r="K148" s="1000"/>
      <c r="L148" s="1001"/>
      <c r="M148" s="1000"/>
      <c r="N148" s="1107">
        <v>0.2</v>
      </c>
      <c r="O148" s="1108"/>
      <c r="P148" s="1011"/>
      <c r="Q148" s="947"/>
      <c r="R148" s="948" t="s">
        <v>35</v>
      </c>
      <c r="S148" s="949">
        <f>N147</f>
        <v>4</v>
      </c>
      <c r="T148" s="953" t="s">
        <v>36</v>
      </c>
      <c r="U148" s="951"/>
      <c r="V148" s="951"/>
      <c r="W148" s="588"/>
      <c r="X148" s="572"/>
      <c r="Y148" s="573"/>
    </row>
    <row r="149" spans="5:27" ht="15" customHeight="1">
      <c r="E149" s="1010"/>
      <c r="F149" s="999" t="s">
        <v>41</v>
      </c>
      <c r="G149" s="1000"/>
      <c r="H149" s="1000"/>
      <c r="I149" s="1000"/>
      <c r="J149" s="1000"/>
      <c r="K149" s="1000"/>
      <c r="L149" s="1001"/>
      <c r="M149" s="1000"/>
      <c r="N149" s="1107">
        <v>3.4</v>
      </c>
      <c r="O149" s="1108"/>
      <c r="P149" s="1011"/>
      <c r="Q149" s="947"/>
      <c r="R149" s="948" t="s">
        <v>41</v>
      </c>
      <c r="S149" s="949">
        <f>N149</f>
        <v>3.4</v>
      </c>
      <c r="T149" s="953" t="s">
        <v>2110</v>
      </c>
      <c r="U149" s="951"/>
      <c r="V149" s="951"/>
      <c r="W149" s="953"/>
      <c r="X149" s="949"/>
      <c r="Y149" s="943"/>
    </row>
    <row r="150" spans="5:27" ht="15" customHeight="1">
      <c r="E150" s="1010"/>
      <c r="F150" s="999" t="s">
        <v>2520</v>
      </c>
      <c r="G150" s="1000"/>
      <c r="H150" s="1000"/>
      <c r="I150" s="1000"/>
      <c r="J150" s="1000"/>
      <c r="K150" s="1000"/>
      <c r="L150" s="1001"/>
      <c r="M150" s="1000"/>
      <c r="N150" s="1107">
        <v>20</v>
      </c>
      <c r="O150" s="1108"/>
      <c r="P150" s="1011"/>
      <c r="Q150" s="947"/>
      <c r="R150" s="948" t="s">
        <v>34</v>
      </c>
      <c r="S150" s="949">
        <f>S149*S148</f>
        <v>13.6</v>
      </c>
      <c r="T150" s="953" t="s">
        <v>2110</v>
      </c>
      <c r="U150" s="951"/>
      <c r="V150" s="951"/>
      <c r="W150" s="953"/>
      <c r="X150" s="949"/>
      <c r="Y150" s="943"/>
    </row>
    <row r="151" spans="5:27" ht="15" customHeight="1">
      <c r="E151" s="1010"/>
      <c r="F151" s="1000"/>
      <c r="G151" s="1000"/>
      <c r="H151" s="1000"/>
      <c r="I151" s="1000"/>
      <c r="J151" s="1000"/>
      <c r="K151" s="1000"/>
      <c r="L151" s="999"/>
      <c r="M151" s="1000"/>
      <c r="N151" s="1000"/>
      <c r="O151" s="1000"/>
      <c r="P151" s="1011"/>
      <c r="Q151" s="947"/>
      <c r="R151" s="948" t="s">
        <v>2444</v>
      </c>
      <c r="S151" s="949">
        <f>S150/J167</f>
        <v>1.1333333333333333</v>
      </c>
      <c r="T151" s="953" t="s">
        <v>2110</v>
      </c>
      <c r="U151" s="949"/>
      <c r="V151" s="949"/>
      <c r="W151" s="949"/>
      <c r="X151" s="949"/>
      <c r="Y151" s="943"/>
    </row>
    <row r="152" spans="5:27" ht="15" customHeight="1">
      <c r="E152" s="1010"/>
      <c r="F152" s="1000"/>
      <c r="G152" s="1000"/>
      <c r="H152" s="1000"/>
      <c r="I152" s="1000"/>
      <c r="J152" s="955">
        <v>0.15</v>
      </c>
      <c r="K152" s="1000"/>
      <c r="L152" s="999"/>
      <c r="M152" s="1000"/>
      <c r="N152" s="1000"/>
      <c r="O152" s="1014"/>
      <c r="P152" s="1011"/>
      <c r="Q152" s="947"/>
      <c r="R152" s="948" t="s">
        <v>2445</v>
      </c>
      <c r="S152" s="949">
        <f>S151*M167</f>
        <v>5.3719999999999999</v>
      </c>
      <c r="T152" s="953" t="s">
        <v>38</v>
      </c>
      <c r="U152" s="949"/>
      <c r="V152" s="949"/>
      <c r="W152" s="949"/>
      <c r="X152" s="949"/>
      <c r="Y152" s="943"/>
    </row>
    <row r="153" spans="5:27" ht="15" customHeight="1">
      <c r="E153" s="1010"/>
      <c r="F153" s="1000"/>
      <c r="G153" s="1000"/>
      <c r="H153" s="1000"/>
      <c r="I153" s="1000"/>
      <c r="J153" s="1000"/>
      <c r="K153" s="1000"/>
      <c r="L153" s="999"/>
      <c r="M153" s="1000"/>
      <c r="N153" s="1000"/>
      <c r="O153" s="1000"/>
      <c r="P153" s="1011"/>
      <c r="Q153" s="947"/>
      <c r="R153" s="948"/>
      <c r="S153" s="949"/>
      <c r="T153" s="953"/>
      <c r="U153" s="949"/>
      <c r="V153" s="949"/>
      <c r="W153" s="949"/>
      <c r="X153" s="949"/>
      <c r="Y153" s="943"/>
    </row>
    <row r="154" spans="5:27" ht="15" customHeight="1">
      <c r="E154" s="1010"/>
      <c r="F154" s="1000"/>
      <c r="G154" s="1000"/>
      <c r="H154" s="1000"/>
      <c r="I154" s="1000"/>
      <c r="J154" s="1000"/>
      <c r="K154" s="1000"/>
      <c r="L154" s="999"/>
      <c r="M154" s="1000"/>
      <c r="N154" s="1000"/>
      <c r="O154" s="1000"/>
      <c r="P154" s="1011"/>
      <c r="Q154" s="947"/>
      <c r="R154" s="948" t="s">
        <v>39</v>
      </c>
      <c r="S154" s="949" t="s">
        <v>47</v>
      </c>
      <c r="T154" s="949" t="s">
        <v>2430</v>
      </c>
      <c r="U154" s="949" t="s">
        <v>2431</v>
      </c>
      <c r="V154" s="949" t="s">
        <v>2434</v>
      </c>
      <c r="W154" s="949" t="s">
        <v>2521</v>
      </c>
      <c r="X154" s="949"/>
      <c r="Y154" s="943" t="s">
        <v>56</v>
      </c>
    </row>
    <row r="155" spans="5:27" ht="15" customHeight="1">
      <c r="E155" s="1010"/>
      <c r="F155" s="1000"/>
      <c r="G155" s="1000"/>
      <c r="H155" s="1000"/>
      <c r="I155" s="1000"/>
      <c r="J155" s="1000"/>
      <c r="K155" s="1000"/>
      <c r="L155" s="999"/>
      <c r="M155" s="1000"/>
      <c r="N155" s="1000"/>
      <c r="O155" s="1000"/>
      <c r="P155" s="1011"/>
      <c r="Q155" s="947"/>
      <c r="R155" s="948" t="s">
        <v>2432</v>
      </c>
      <c r="S155" s="949">
        <f>2*O156</f>
        <v>0.3</v>
      </c>
      <c r="T155" s="949">
        <f>2*J152</f>
        <v>0.3</v>
      </c>
      <c r="U155" s="949">
        <v>0.05</v>
      </c>
      <c r="V155" s="949">
        <f>N148</f>
        <v>0.2</v>
      </c>
      <c r="W155" s="949">
        <f>S149</f>
        <v>3.4</v>
      </c>
      <c r="X155" s="949"/>
      <c r="Y155" s="943">
        <f>(U155+T155+S155)*(W155/V155)</f>
        <v>11.049999999999999</v>
      </c>
    </row>
    <row r="156" spans="5:27" ht="15" customHeight="1">
      <c r="E156" s="1010"/>
      <c r="F156" s="999"/>
      <c r="G156" s="1000"/>
      <c r="H156" s="1000"/>
      <c r="I156" s="1000"/>
      <c r="J156" s="1000"/>
      <c r="K156" s="1000"/>
      <c r="L156" s="999"/>
      <c r="M156" s="1000"/>
      <c r="N156" s="1000"/>
      <c r="O156" s="955">
        <v>0.15</v>
      </c>
      <c r="P156" s="1011"/>
      <c r="Q156" s="947"/>
      <c r="R156" s="948" t="s">
        <v>2444</v>
      </c>
      <c r="S156" s="949">
        <f>Y155/J166</f>
        <v>0.92083333333333328</v>
      </c>
      <c r="T156" s="953" t="s">
        <v>37</v>
      </c>
      <c r="U156" s="950"/>
      <c r="V156" s="949"/>
      <c r="W156" s="949"/>
      <c r="X156" s="949"/>
      <c r="Y156" s="943"/>
    </row>
    <row r="157" spans="5:27" ht="15" customHeight="1">
      <c r="E157" s="1010"/>
      <c r="F157" s="1000"/>
      <c r="G157" s="1000"/>
      <c r="H157" s="1000"/>
      <c r="I157" s="1000"/>
      <c r="J157" s="1000"/>
      <c r="K157" s="1000"/>
      <c r="L157" s="999"/>
      <c r="M157" s="1000"/>
      <c r="N157" s="1000"/>
      <c r="O157" s="1000"/>
      <c r="P157" s="1011"/>
      <c r="Q157" s="947"/>
      <c r="R157" s="948" t="s">
        <v>2445</v>
      </c>
      <c r="S157" s="949">
        <f>S156*M166</f>
        <v>2.4494166666666666</v>
      </c>
      <c r="T157" s="951" t="s">
        <v>38</v>
      </c>
      <c r="U157" s="951"/>
      <c r="V157" s="951"/>
      <c r="W157" s="951"/>
      <c r="X157" s="951"/>
      <c r="Y157" s="943"/>
    </row>
    <row r="158" spans="5:27" ht="15" customHeight="1">
      <c r="E158" s="1010"/>
      <c r="F158" s="1000"/>
      <c r="G158" s="1000"/>
      <c r="H158" s="1000"/>
      <c r="I158" s="1000"/>
      <c r="J158" s="1000"/>
      <c r="K158" s="1000"/>
      <c r="L158" s="999"/>
      <c r="M158" s="1000"/>
      <c r="N158" s="1000"/>
      <c r="O158" s="1000"/>
      <c r="P158" s="1011"/>
      <c r="Q158" s="947"/>
      <c r="R158" s="948"/>
      <c r="S158" s="951"/>
      <c r="T158" s="951"/>
      <c r="U158" s="951"/>
      <c r="V158" s="951"/>
      <c r="W158" s="951"/>
      <c r="X158" s="951"/>
      <c r="Y158" s="943"/>
    </row>
    <row r="159" spans="5:27" ht="15" customHeight="1">
      <c r="E159" s="1010"/>
      <c r="F159" s="999"/>
      <c r="G159" s="1000"/>
      <c r="H159" s="1000"/>
      <c r="I159" s="1000"/>
      <c r="J159" s="1000"/>
      <c r="K159" s="1000"/>
      <c r="L159" s="999"/>
      <c r="M159" s="1000"/>
      <c r="N159" s="1000"/>
      <c r="O159" s="1000"/>
      <c r="P159" s="1011"/>
      <c r="Q159" s="947"/>
      <c r="R159" s="948" t="s">
        <v>2447</v>
      </c>
      <c r="S159" s="951" t="s">
        <v>2076</v>
      </c>
      <c r="T159" s="951" t="s">
        <v>2441</v>
      </c>
      <c r="U159" s="951"/>
      <c r="V159" s="951"/>
      <c r="W159" s="951"/>
      <c r="X159" s="951"/>
      <c r="Y159" s="943" t="s">
        <v>56</v>
      </c>
    </row>
    <row r="160" spans="5:27" ht="15" customHeight="1">
      <c r="E160" s="1010"/>
      <c r="F160" s="1000"/>
      <c r="G160" s="1000"/>
      <c r="H160" s="1000"/>
      <c r="I160" s="1000"/>
      <c r="J160" s="1000"/>
      <c r="K160" s="1000"/>
      <c r="L160" s="999"/>
      <c r="M160" s="1000"/>
      <c r="N160" s="1000"/>
      <c r="O160" s="1000"/>
      <c r="P160" s="1011"/>
      <c r="Q160" s="574"/>
      <c r="R160" s="571" t="s">
        <v>2442</v>
      </c>
      <c r="S160" s="572">
        <f>S150</f>
        <v>13.6</v>
      </c>
      <c r="T160" s="572">
        <f>N150</f>
        <v>20</v>
      </c>
      <c r="Y160" s="573">
        <f>((S160*T160)/J167)*M167</f>
        <v>107.44000000000001</v>
      </c>
    </row>
    <row r="161" spans="5:27" ht="15" customHeight="1">
      <c r="E161" s="1010"/>
      <c r="F161" s="1000"/>
      <c r="G161" s="1000"/>
      <c r="H161" s="1000"/>
      <c r="I161" s="1000"/>
      <c r="J161" s="1000"/>
      <c r="K161" s="1000"/>
      <c r="L161" s="999"/>
      <c r="M161" s="1000"/>
      <c r="N161" s="1000"/>
      <c r="O161" s="1000"/>
      <c r="P161" s="1011"/>
      <c r="Q161" s="574"/>
      <c r="R161" s="571" t="s">
        <v>2443</v>
      </c>
      <c r="S161" s="572">
        <f>Y155</f>
        <v>11.049999999999999</v>
      </c>
      <c r="T161" s="574">
        <f>T160</f>
        <v>20</v>
      </c>
      <c r="Y161" s="573">
        <f>((S161*T161)/J166)*M166</f>
        <v>48.98833333333333</v>
      </c>
    </row>
    <row r="162" spans="5:27" ht="15" customHeight="1">
      <c r="E162" s="1010"/>
      <c r="F162" s="1000"/>
      <c r="G162" s="1000"/>
      <c r="H162" s="1000"/>
      <c r="I162" s="1000"/>
      <c r="J162" s="1000"/>
      <c r="K162" s="1000"/>
      <c r="L162" s="1000"/>
      <c r="M162" s="1000"/>
      <c r="N162" s="1000"/>
      <c r="O162" s="1000"/>
      <c r="P162" s="1011"/>
      <c r="Q162" s="570"/>
      <c r="R162" s="571"/>
      <c r="S162" s="572"/>
      <c r="T162" s="572"/>
      <c r="U162" s="572"/>
      <c r="V162" s="572"/>
      <c r="W162" s="572"/>
      <c r="X162" s="572"/>
      <c r="Y162" s="583">
        <f>SUM(Y160:Y161)</f>
        <v>156.42833333333334</v>
      </c>
    </row>
    <row r="163" spans="5:27" ht="15" customHeight="1">
      <c r="E163" s="1010"/>
      <c r="F163" s="999"/>
      <c r="G163" s="1000"/>
      <c r="H163" s="1000"/>
      <c r="I163" s="1000"/>
      <c r="J163" s="1000"/>
      <c r="K163" s="1000"/>
      <c r="L163" s="1000"/>
      <c r="M163" s="1000"/>
      <c r="N163" s="1000"/>
      <c r="O163" s="1000"/>
      <c r="P163" s="1011"/>
      <c r="Q163" s="570"/>
      <c r="R163" s="571"/>
      <c r="S163" s="572"/>
      <c r="T163" s="572"/>
      <c r="U163" s="572"/>
      <c r="V163" s="572"/>
      <c r="W163" s="572"/>
      <c r="X163" s="572"/>
      <c r="Y163" s="943"/>
    </row>
    <row r="164" spans="5:27" ht="15" customHeight="1">
      <c r="E164" s="1010"/>
      <c r="F164" s="1000"/>
      <c r="G164" s="1000"/>
      <c r="H164" s="1000"/>
      <c r="I164" s="1000"/>
      <c r="J164" s="1000"/>
      <c r="K164" s="1000"/>
      <c r="L164" s="1000"/>
      <c r="M164" s="1000"/>
      <c r="N164" s="1000"/>
      <c r="O164" s="1000"/>
      <c r="P164" s="1011"/>
      <c r="Q164" s="947" t="s">
        <v>2436</v>
      </c>
      <c r="R164" s="954" t="s">
        <v>156</v>
      </c>
      <c r="S164" s="949" t="s">
        <v>2076</v>
      </c>
      <c r="T164" s="949" t="s">
        <v>2078</v>
      </c>
      <c r="U164" s="949" t="s">
        <v>56</v>
      </c>
      <c r="V164" s="949" t="s">
        <v>2424</v>
      </c>
      <c r="W164" s="949"/>
      <c r="X164" s="949"/>
      <c r="Y164" s="943" t="s">
        <v>56</v>
      </c>
    </row>
    <row r="165" spans="5:27" ht="15" customHeight="1">
      <c r="E165" s="1010"/>
      <c r="F165" s="1111"/>
      <c r="G165" s="1111"/>
      <c r="H165" s="1111"/>
      <c r="I165" s="1111"/>
      <c r="J165" s="1112" t="s">
        <v>9</v>
      </c>
      <c r="K165" s="1112"/>
      <c r="L165" s="1112"/>
      <c r="M165" s="1112" t="s">
        <v>2463</v>
      </c>
      <c r="N165" s="1112"/>
      <c r="O165" s="1112"/>
      <c r="P165" s="1011"/>
      <c r="Q165" s="947"/>
      <c r="R165" s="948" t="s">
        <v>2437</v>
      </c>
      <c r="S165" s="949">
        <f>O156</f>
        <v>0.15</v>
      </c>
      <c r="T165" s="949">
        <f>S149</f>
        <v>3.4</v>
      </c>
      <c r="U165" s="949">
        <f>T160</f>
        <v>20</v>
      </c>
      <c r="V165" s="949">
        <v>2</v>
      </c>
      <c r="W165" s="949"/>
      <c r="X165" s="949"/>
      <c r="Y165" s="583">
        <f>S165*T165*U165*V165</f>
        <v>20.399999999999999</v>
      </c>
    </row>
    <row r="166" spans="5:27" ht="15" customHeight="1">
      <c r="E166" s="1010"/>
      <c r="F166" s="1120" t="s">
        <v>2435</v>
      </c>
      <c r="G166" s="1121"/>
      <c r="H166" s="1121"/>
      <c r="I166" s="1122"/>
      <c r="J166" s="1120">
        <v>12</v>
      </c>
      <c r="K166" s="1121"/>
      <c r="L166" s="1122"/>
      <c r="M166" s="1123">
        <v>2.66</v>
      </c>
      <c r="N166" s="1124"/>
      <c r="O166" s="1125"/>
      <c r="P166" s="1011"/>
      <c r="Q166" s="570"/>
      <c r="R166" s="571"/>
      <c r="S166" s="572"/>
      <c r="T166" s="572"/>
      <c r="U166" s="572"/>
      <c r="V166" s="572"/>
      <c r="W166" s="572"/>
      <c r="X166" s="572"/>
      <c r="Y166" s="943"/>
    </row>
    <row r="167" spans="5:27" ht="15" customHeight="1">
      <c r="E167" s="1010"/>
      <c r="F167" s="1120" t="s">
        <v>2429</v>
      </c>
      <c r="G167" s="1121"/>
      <c r="H167" s="1121"/>
      <c r="I167" s="1122"/>
      <c r="J167" s="1120">
        <v>12</v>
      </c>
      <c r="K167" s="1121"/>
      <c r="L167" s="1122"/>
      <c r="M167" s="1123">
        <v>4.74</v>
      </c>
      <c r="N167" s="1124"/>
      <c r="O167" s="1125"/>
      <c r="P167" s="1011"/>
      <c r="Q167" s="947" t="s">
        <v>2438</v>
      </c>
      <c r="R167" s="954" t="s">
        <v>43</v>
      </c>
      <c r="S167" s="949" t="s">
        <v>47</v>
      </c>
      <c r="T167" s="949" t="s">
        <v>2430</v>
      </c>
      <c r="U167" s="949" t="s">
        <v>2078</v>
      </c>
      <c r="V167" s="949" t="s">
        <v>2448</v>
      </c>
      <c r="W167" s="949"/>
      <c r="X167" s="949"/>
      <c r="Y167" s="943" t="s">
        <v>56</v>
      </c>
    </row>
    <row r="168" spans="5:27" ht="15" customHeight="1">
      <c r="E168" s="1010"/>
      <c r="F168" s="1120" t="s">
        <v>2460</v>
      </c>
      <c r="G168" s="1121"/>
      <c r="H168" s="1121"/>
      <c r="I168" s="1122"/>
      <c r="J168" s="1120">
        <v>12</v>
      </c>
      <c r="K168" s="1121"/>
      <c r="L168" s="1122"/>
      <c r="M168" s="1123">
        <v>7.4</v>
      </c>
      <c r="N168" s="1124"/>
      <c r="O168" s="1125"/>
      <c r="P168" s="1011"/>
      <c r="Q168" s="947"/>
      <c r="R168" s="948"/>
      <c r="S168" s="949">
        <f>J152</f>
        <v>0.15</v>
      </c>
      <c r="T168" s="949">
        <f>O156</f>
        <v>0.15</v>
      </c>
      <c r="U168" s="949">
        <v>3.4</v>
      </c>
      <c r="V168" s="949">
        <f>T160</f>
        <v>20</v>
      </c>
      <c r="W168" s="949"/>
      <c r="X168" s="949"/>
      <c r="Y168" s="583">
        <f>S168*T168*U168*V168</f>
        <v>1.53</v>
      </c>
    </row>
    <row r="169" spans="5:27" ht="15" customHeight="1">
      <c r="E169" s="1010"/>
      <c r="F169" s="1000"/>
      <c r="G169" s="1000"/>
      <c r="H169" s="1000"/>
      <c r="I169" s="1000"/>
      <c r="J169" s="1000"/>
      <c r="K169" s="1000"/>
      <c r="L169" s="1000"/>
      <c r="M169" s="1000"/>
      <c r="N169" s="1000"/>
      <c r="O169" s="1000"/>
      <c r="P169" s="1011"/>
      <c r="Q169" s="570"/>
      <c r="R169" s="571"/>
      <c r="S169" s="572"/>
      <c r="T169" s="572"/>
      <c r="U169" s="572"/>
      <c r="V169" s="572"/>
      <c r="W169" s="572"/>
      <c r="X169" s="572"/>
      <c r="Y169" s="943"/>
    </row>
    <row r="170" spans="5:27" ht="15" customHeight="1">
      <c r="E170" s="1013" t="s">
        <v>157</v>
      </c>
      <c r="F170" s="1006" t="s">
        <v>2449</v>
      </c>
      <c r="G170" s="1007"/>
      <c r="H170" s="1007"/>
      <c r="I170" s="1007"/>
      <c r="J170" s="1007"/>
      <c r="K170" s="1007"/>
      <c r="L170" s="1006"/>
      <c r="M170" s="1007"/>
      <c r="N170" s="1007"/>
      <c r="O170" s="1007"/>
      <c r="P170" s="1009"/>
      <c r="Q170" s="584">
        <v>3</v>
      </c>
      <c r="R170" s="585" t="s">
        <v>1668</v>
      </c>
      <c r="S170" s="586"/>
      <c r="T170" s="586"/>
      <c r="U170" s="586"/>
      <c r="V170" s="586"/>
      <c r="W170" s="586"/>
      <c r="X170" s="586"/>
      <c r="Y170" s="587"/>
      <c r="AA170" s="946"/>
    </row>
    <row r="171" spans="5:27" ht="15" customHeight="1">
      <c r="E171" s="1010"/>
      <c r="F171" s="999" t="s">
        <v>2518</v>
      </c>
      <c r="G171" s="1000"/>
      <c r="H171" s="1000"/>
      <c r="I171" s="1000"/>
      <c r="J171" s="1000"/>
      <c r="K171" s="1000"/>
      <c r="L171" s="1001"/>
      <c r="M171" s="1000"/>
      <c r="N171" s="1107">
        <v>4</v>
      </c>
      <c r="O171" s="1108"/>
      <c r="P171" s="1011"/>
      <c r="Q171" s="947" t="s">
        <v>2439</v>
      </c>
      <c r="R171" s="952" t="s">
        <v>31</v>
      </c>
      <c r="S171" s="949"/>
      <c r="T171" s="949"/>
      <c r="U171" s="949"/>
      <c r="V171" s="949"/>
      <c r="W171" s="949"/>
      <c r="X171" s="949"/>
      <c r="Y171" s="943"/>
    </row>
    <row r="172" spans="5:27" ht="15" customHeight="1">
      <c r="E172" s="1010"/>
      <c r="F172" s="999" t="s">
        <v>2519</v>
      </c>
      <c r="G172" s="1000"/>
      <c r="H172" s="1000"/>
      <c r="I172" s="1000"/>
      <c r="J172" s="1000"/>
      <c r="K172" s="1000"/>
      <c r="L172" s="1001"/>
      <c r="M172" s="1000"/>
      <c r="N172" s="1107">
        <v>0.2</v>
      </c>
      <c r="O172" s="1108"/>
      <c r="P172" s="1011"/>
      <c r="Q172" s="947"/>
      <c r="R172" s="948" t="s">
        <v>35</v>
      </c>
      <c r="S172" s="949">
        <f>N171</f>
        <v>4</v>
      </c>
      <c r="T172" s="953" t="s">
        <v>36</v>
      </c>
      <c r="U172" s="951"/>
      <c r="V172" s="951"/>
      <c r="W172" s="588"/>
      <c r="X172" s="572"/>
      <c r="Y172" s="573"/>
    </row>
    <row r="173" spans="5:27" ht="15" customHeight="1">
      <c r="E173" s="1010"/>
      <c r="F173" s="1000"/>
      <c r="G173" s="1000"/>
      <c r="H173" s="1000"/>
      <c r="I173" s="1000"/>
      <c r="J173" s="1000"/>
      <c r="K173" s="1000"/>
      <c r="L173" s="999"/>
      <c r="M173" s="1000"/>
      <c r="N173" s="1000"/>
      <c r="O173" s="1000"/>
      <c r="P173" s="1011"/>
      <c r="Q173" s="947"/>
      <c r="R173" s="948" t="s">
        <v>2450</v>
      </c>
      <c r="S173" s="949">
        <f>S128</f>
        <v>45</v>
      </c>
      <c r="T173" s="953" t="s">
        <v>2110</v>
      </c>
      <c r="U173" s="951"/>
      <c r="V173" s="951"/>
      <c r="W173" s="953"/>
      <c r="X173" s="949"/>
      <c r="Y173" s="943"/>
    </row>
    <row r="174" spans="5:27" ht="15" customHeight="1">
      <c r="E174" s="1010"/>
      <c r="F174" s="1000"/>
      <c r="G174" s="1000"/>
      <c r="H174" s="1000"/>
      <c r="I174" s="1000"/>
      <c r="J174" s="1000"/>
      <c r="K174" s="1000"/>
      <c r="L174" s="999"/>
      <c r="M174" s="1000"/>
      <c r="N174" s="1000"/>
      <c r="O174" s="1000"/>
      <c r="P174" s="1011"/>
      <c r="Q174" s="947"/>
      <c r="R174" s="948" t="s">
        <v>34</v>
      </c>
      <c r="S174" s="949">
        <f>S173*S172</f>
        <v>180</v>
      </c>
      <c r="T174" s="953" t="s">
        <v>2110</v>
      </c>
      <c r="U174" s="951"/>
      <c r="V174" s="951"/>
      <c r="W174" s="953"/>
      <c r="X174" s="949"/>
      <c r="Y174" s="943"/>
    </row>
    <row r="175" spans="5:27" ht="15" customHeight="1">
      <c r="E175" s="1010"/>
      <c r="F175" s="1000"/>
      <c r="G175" s="1000"/>
      <c r="H175" s="1000"/>
      <c r="I175" s="1000"/>
      <c r="J175" s="1000"/>
      <c r="K175" s="1000"/>
      <c r="L175" s="999"/>
      <c r="M175" s="1000"/>
      <c r="N175" s="1000"/>
      <c r="O175" s="1000"/>
      <c r="P175" s="1011"/>
      <c r="Q175" s="947"/>
      <c r="R175" s="948" t="s">
        <v>2444</v>
      </c>
      <c r="S175" s="949">
        <f>S174/J191</f>
        <v>15</v>
      </c>
      <c r="T175" s="953" t="s">
        <v>2110</v>
      </c>
      <c r="U175" s="949"/>
      <c r="V175" s="949"/>
      <c r="W175" s="949"/>
      <c r="X175" s="949"/>
      <c r="Y175" s="943"/>
    </row>
    <row r="176" spans="5:27" ht="15" customHeight="1">
      <c r="E176" s="1010"/>
      <c r="F176" s="1000"/>
      <c r="G176" s="1000"/>
      <c r="H176" s="1000"/>
      <c r="I176" s="1000"/>
      <c r="J176" s="955">
        <v>0.15</v>
      </c>
      <c r="K176" s="1000"/>
      <c r="L176" s="999"/>
      <c r="M176" s="1000"/>
      <c r="N176" s="1000"/>
      <c r="O176" s="1014"/>
      <c r="P176" s="1011"/>
      <c r="Q176" s="947"/>
      <c r="R176" s="948" t="s">
        <v>2445</v>
      </c>
      <c r="S176" s="949">
        <f>S175*M191</f>
        <v>71.100000000000009</v>
      </c>
      <c r="T176" s="953" t="s">
        <v>38</v>
      </c>
      <c r="U176" s="949"/>
      <c r="V176" s="949"/>
      <c r="W176" s="949"/>
      <c r="X176" s="949"/>
      <c r="Y176" s="943"/>
    </row>
    <row r="177" spans="5:25" ht="15" customHeight="1">
      <c r="E177" s="1010"/>
      <c r="F177" s="1000"/>
      <c r="G177" s="1000"/>
      <c r="H177" s="1000"/>
      <c r="I177" s="1000"/>
      <c r="J177" s="1000"/>
      <c r="K177" s="1000"/>
      <c r="L177" s="999"/>
      <c r="M177" s="1000"/>
      <c r="N177" s="1000"/>
      <c r="O177" s="1000"/>
      <c r="P177" s="1011"/>
      <c r="Q177" s="947"/>
      <c r="R177" s="948"/>
      <c r="S177" s="949"/>
      <c r="T177" s="953"/>
      <c r="U177" s="949"/>
      <c r="V177" s="949"/>
      <c r="W177" s="949"/>
      <c r="X177" s="949"/>
      <c r="Y177" s="943"/>
    </row>
    <row r="178" spans="5:25" ht="15" customHeight="1">
      <c r="E178" s="1010"/>
      <c r="F178" s="1000"/>
      <c r="G178" s="1000"/>
      <c r="H178" s="1000"/>
      <c r="I178" s="1000"/>
      <c r="J178" s="1000"/>
      <c r="K178" s="1000"/>
      <c r="L178" s="999"/>
      <c r="M178" s="1000"/>
      <c r="N178" s="1000"/>
      <c r="O178" s="1000"/>
      <c r="P178" s="1011"/>
      <c r="Q178" s="947"/>
      <c r="R178" s="948" t="s">
        <v>39</v>
      </c>
      <c r="S178" s="949" t="s">
        <v>47</v>
      </c>
      <c r="T178" s="949" t="s">
        <v>2430</v>
      </c>
      <c r="U178" s="949" t="s">
        <v>2431</v>
      </c>
      <c r="V178" s="949" t="s">
        <v>2434</v>
      </c>
      <c r="W178" s="949" t="s">
        <v>2451</v>
      </c>
      <c r="X178" s="949"/>
      <c r="Y178" s="943" t="s">
        <v>56</v>
      </c>
    </row>
    <row r="179" spans="5:25" ht="15" customHeight="1">
      <c r="E179" s="1010"/>
      <c r="F179" s="1000"/>
      <c r="G179" s="1000"/>
      <c r="H179" s="1000"/>
      <c r="I179" s="1000"/>
      <c r="J179" s="1000"/>
      <c r="K179" s="1000"/>
      <c r="L179" s="999"/>
      <c r="M179" s="1000"/>
      <c r="N179" s="1000"/>
      <c r="O179" s="1000"/>
      <c r="P179" s="1011"/>
      <c r="Q179" s="947"/>
      <c r="R179" s="948" t="s">
        <v>2432</v>
      </c>
      <c r="S179" s="949">
        <f>2*O180</f>
        <v>0.3</v>
      </c>
      <c r="T179" s="949">
        <f>2*J176</f>
        <v>0.3</v>
      </c>
      <c r="U179" s="949">
        <v>0.05</v>
      </c>
      <c r="V179" s="949">
        <f>N172</f>
        <v>0.2</v>
      </c>
      <c r="W179" s="949">
        <f>S173</f>
        <v>45</v>
      </c>
      <c r="X179" s="949"/>
      <c r="Y179" s="943">
        <f>(U179+T179+S179)*(W179/V179)</f>
        <v>146.24999999999997</v>
      </c>
    </row>
    <row r="180" spans="5:25" ht="15" customHeight="1">
      <c r="E180" s="1010"/>
      <c r="F180" s="999"/>
      <c r="G180" s="1000"/>
      <c r="H180" s="1000"/>
      <c r="I180" s="1000"/>
      <c r="J180" s="1000"/>
      <c r="K180" s="1000"/>
      <c r="L180" s="999"/>
      <c r="M180" s="1000"/>
      <c r="N180" s="1000"/>
      <c r="O180" s="955">
        <v>0.15</v>
      </c>
      <c r="P180" s="1011"/>
      <c r="Q180" s="947"/>
      <c r="R180" s="948" t="s">
        <v>2444</v>
      </c>
      <c r="S180" s="949">
        <f>Y179/J190</f>
        <v>12.187499999999998</v>
      </c>
      <c r="T180" s="953" t="s">
        <v>37</v>
      </c>
      <c r="U180" s="950"/>
      <c r="V180" s="949"/>
      <c r="W180" s="949"/>
      <c r="X180" s="949"/>
      <c r="Y180" s="943"/>
    </row>
    <row r="181" spans="5:25" ht="15" customHeight="1">
      <c r="E181" s="1010"/>
      <c r="F181" s="1000"/>
      <c r="G181" s="1000"/>
      <c r="H181" s="1000"/>
      <c r="I181" s="1000"/>
      <c r="J181" s="1000"/>
      <c r="K181" s="1000"/>
      <c r="L181" s="999"/>
      <c r="M181" s="1000"/>
      <c r="N181" s="1000"/>
      <c r="O181" s="1000"/>
      <c r="P181" s="1011"/>
      <c r="Q181" s="947"/>
      <c r="R181" s="948" t="s">
        <v>2445</v>
      </c>
      <c r="S181" s="949">
        <f>S180*M190</f>
        <v>32.418749999999996</v>
      </c>
      <c r="T181" s="951" t="s">
        <v>38</v>
      </c>
      <c r="U181" s="951"/>
      <c r="V181" s="951"/>
      <c r="W181" s="951"/>
      <c r="X181" s="951"/>
      <c r="Y181" s="943"/>
    </row>
    <row r="182" spans="5:25" ht="15" customHeight="1">
      <c r="E182" s="1010"/>
      <c r="F182" s="1000"/>
      <c r="G182" s="1000"/>
      <c r="H182" s="1000"/>
      <c r="I182" s="1000"/>
      <c r="J182" s="1000"/>
      <c r="K182" s="1000"/>
      <c r="L182" s="999"/>
      <c r="M182" s="1000"/>
      <c r="N182" s="1000"/>
      <c r="O182" s="1000"/>
      <c r="P182" s="1011"/>
      <c r="Q182" s="947"/>
      <c r="R182" s="948"/>
      <c r="S182" s="951"/>
      <c r="T182" s="951"/>
      <c r="U182" s="951"/>
      <c r="V182" s="951"/>
      <c r="W182" s="951"/>
      <c r="X182" s="951"/>
      <c r="Y182" s="943"/>
    </row>
    <row r="183" spans="5:25" ht="15" customHeight="1">
      <c r="E183" s="1010"/>
      <c r="F183" s="999"/>
      <c r="G183" s="1000"/>
      <c r="H183" s="1000"/>
      <c r="I183" s="1000"/>
      <c r="J183" s="1000"/>
      <c r="K183" s="1000"/>
      <c r="L183" s="999"/>
      <c r="M183" s="1000"/>
      <c r="N183" s="1000"/>
      <c r="O183" s="1000"/>
      <c r="P183" s="1011"/>
      <c r="Q183" s="947"/>
      <c r="R183" s="948" t="s">
        <v>2447</v>
      </c>
      <c r="S183" s="951"/>
      <c r="T183" s="951"/>
      <c r="U183" s="951"/>
      <c r="V183" s="951"/>
      <c r="W183" s="951"/>
      <c r="X183" s="951"/>
      <c r="Y183" s="943" t="s">
        <v>56</v>
      </c>
    </row>
    <row r="184" spans="5:25" ht="15" customHeight="1">
      <c r="E184" s="1010"/>
      <c r="F184" s="1000"/>
      <c r="G184" s="1000"/>
      <c r="H184" s="1000"/>
      <c r="I184" s="1000"/>
      <c r="J184" s="1000"/>
      <c r="K184" s="1000"/>
      <c r="L184" s="999"/>
      <c r="M184" s="1000"/>
      <c r="N184" s="1000"/>
      <c r="O184" s="1000"/>
      <c r="P184" s="1011"/>
      <c r="Q184" s="574"/>
      <c r="R184" s="571" t="s">
        <v>2442</v>
      </c>
      <c r="S184" s="572"/>
      <c r="T184" s="958"/>
      <c r="Y184" s="573">
        <f>S176</f>
        <v>71.100000000000009</v>
      </c>
    </row>
    <row r="185" spans="5:25" ht="15" customHeight="1">
      <c r="E185" s="1010"/>
      <c r="F185" s="1000"/>
      <c r="G185" s="1000"/>
      <c r="H185" s="1000"/>
      <c r="I185" s="1000"/>
      <c r="J185" s="1000"/>
      <c r="K185" s="1000"/>
      <c r="L185" s="999"/>
      <c r="M185" s="1000"/>
      <c r="N185" s="1000"/>
      <c r="O185" s="1000"/>
      <c r="P185" s="1011"/>
      <c r="Q185" s="574"/>
      <c r="R185" s="571" t="s">
        <v>2443</v>
      </c>
      <c r="S185" s="572"/>
      <c r="Y185" s="573">
        <f>S181</f>
        <v>32.418749999999996</v>
      </c>
    </row>
    <row r="186" spans="5:25" ht="15" customHeight="1">
      <c r="E186" s="1010"/>
      <c r="F186" s="1000"/>
      <c r="G186" s="1000"/>
      <c r="H186" s="1000"/>
      <c r="I186" s="1000"/>
      <c r="J186" s="1000"/>
      <c r="K186" s="1000"/>
      <c r="L186" s="1000"/>
      <c r="M186" s="1000"/>
      <c r="N186" s="1000"/>
      <c r="O186" s="1000"/>
      <c r="P186" s="1011"/>
      <c r="Q186" s="570"/>
      <c r="R186" s="571"/>
      <c r="S186" s="572"/>
      <c r="T186" s="572"/>
      <c r="U186" s="572"/>
      <c r="V186" s="572"/>
      <c r="W186" s="572"/>
      <c r="X186" s="572"/>
      <c r="Y186" s="583">
        <f>SUM(Y184:Y185)</f>
        <v>103.51875000000001</v>
      </c>
    </row>
    <row r="187" spans="5:25" ht="15" customHeight="1">
      <c r="E187" s="1010"/>
      <c r="F187" s="1000"/>
      <c r="G187" s="1000"/>
      <c r="H187" s="1000"/>
      <c r="I187" s="1000"/>
      <c r="J187" s="1000"/>
      <c r="K187" s="1000"/>
      <c r="L187" s="1000"/>
      <c r="M187" s="1000"/>
      <c r="N187" s="1000"/>
      <c r="O187" s="1000"/>
      <c r="P187" s="1011"/>
      <c r="Q187" s="570"/>
      <c r="R187" s="571"/>
      <c r="S187" s="572"/>
      <c r="T187" s="572"/>
      <c r="U187" s="572"/>
      <c r="V187" s="572"/>
      <c r="W187" s="572"/>
      <c r="X187" s="572"/>
      <c r="Y187" s="943"/>
    </row>
    <row r="188" spans="5:25" ht="15" customHeight="1">
      <c r="E188" s="1015"/>
      <c r="F188" s="1014"/>
      <c r="G188" s="1014"/>
      <c r="H188" s="1014"/>
      <c r="I188" s="1014"/>
      <c r="J188" s="1014"/>
      <c r="K188" s="1014"/>
      <c r="L188" s="1014"/>
      <c r="M188" s="1014"/>
      <c r="N188" s="1014"/>
      <c r="O188" s="1014"/>
      <c r="P188" s="1011"/>
      <c r="Q188" s="947" t="s">
        <v>2436</v>
      </c>
      <c r="R188" s="954" t="s">
        <v>156</v>
      </c>
      <c r="S188" s="949" t="s">
        <v>2451</v>
      </c>
      <c r="T188" s="949" t="s">
        <v>47</v>
      </c>
      <c r="U188" s="949" t="s">
        <v>2424</v>
      </c>
      <c r="V188" s="949"/>
      <c r="W188" s="949"/>
      <c r="X188" s="949"/>
      <c r="Y188" s="943" t="s">
        <v>56</v>
      </c>
    </row>
    <row r="189" spans="5:25" ht="15" customHeight="1">
      <c r="E189" s="1010"/>
      <c r="F189" s="1111"/>
      <c r="G189" s="1111"/>
      <c r="H189" s="1111"/>
      <c r="I189" s="1111"/>
      <c r="J189" s="1112" t="s">
        <v>9</v>
      </c>
      <c r="K189" s="1112"/>
      <c r="L189" s="1112"/>
      <c r="M189" s="1112" t="s">
        <v>2463</v>
      </c>
      <c r="N189" s="1112"/>
      <c r="O189" s="1112"/>
      <c r="P189" s="1011"/>
      <c r="Q189" s="947"/>
      <c r="R189" s="948" t="s">
        <v>2437</v>
      </c>
      <c r="S189" s="949">
        <f>S173</f>
        <v>45</v>
      </c>
      <c r="T189" s="949">
        <f>J176</f>
        <v>0.15</v>
      </c>
      <c r="U189" s="949">
        <v>2</v>
      </c>
      <c r="V189" s="949"/>
      <c r="W189" s="949"/>
      <c r="X189" s="949"/>
      <c r="Y189" s="583">
        <f>S189*T189*U189</f>
        <v>13.5</v>
      </c>
    </row>
    <row r="190" spans="5:25" ht="15" customHeight="1">
      <c r="E190" s="1010"/>
      <c r="F190" s="1120" t="s">
        <v>2435</v>
      </c>
      <c r="G190" s="1121"/>
      <c r="H190" s="1121"/>
      <c r="I190" s="1122"/>
      <c r="J190" s="1120">
        <v>12</v>
      </c>
      <c r="K190" s="1121"/>
      <c r="L190" s="1122"/>
      <c r="M190" s="1123">
        <v>2.66</v>
      </c>
      <c r="N190" s="1124"/>
      <c r="O190" s="1125"/>
      <c r="P190" s="1011"/>
      <c r="Q190" s="570"/>
      <c r="R190" s="571"/>
      <c r="S190" s="572"/>
      <c r="T190" s="572"/>
      <c r="U190" s="572"/>
      <c r="V190" s="572"/>
      <c r="W190" s="572"/>
      <c r="X190" s="572"/>
      <c r="Y190" s="943"/>
    </row>
    <row r="191" spans="5:25" ht="15" customHeight="1">
      <c r="E191" s="1010"/>
      <c r="F191" s="1120" t="s">
        <v>2429</v>
      </c>
      <c r="G191" s="1121"/>
      <c r="H191" s="1121"/>
      <c r="I191" s="1122"/>
      <c r="J191" s="1120">
        <v>12</v>
      </c>
      <c r="K191" s="1121"/>
      <c r="L191" s="1122"/>
      <c r="M191" s="1123">
        <v>4.74</v>
      </c>
      <c r="N191" s="1124"/>
      <c r="O191" s="1125"/>
      <c r="P191" s="1011"/>
      <c r="Q191" s="947" t="s">
        <v>2438</v>
      </c>
      <c r="R191" s="954" t="s">
        <v>43</v>
      </c>
      <c r="S191" s="949" t="s">
        <v>47</v>
      </c>
      <c r="T191" s="949" t="s">
        <v>2430</v>
      </c>
      <c r="U191" s="949" t="s">
        <v>2451</v>
      </c>
      <c r="V191" s="949"/>
      <c r="W191" s="949"/>
      <c r="X191" s="949"/>
      <c r="Y191" s="943" t="s">
        <v>56</v>
      </c>
    </row>
    <row r="192" spans="5:25" ht="15" customHeight="1">
      <c r="E192" s="1010"/>
      <c r="F192" s="1120" t="s">
        <v>2460</v>
      </c>
      <c r="G192" s="1121"/>
      <c r="H192" s="1121"/>
      <c r="I192" s="1122"/>
      <c r="J192" s="1120">
        <v>12</v>
      </c>
      <c r="K192" s="1121"/>
      <c r="L192" s="1122"/>
      <c r="M192" s="1123">
        <v>7.4</v>
      </c>
      <c r="N192" s="1124"/>
      <c r="O192" s="1125"/>
      <c r="P192" s="1011"/>
      <c r="Q192" s="947"/>
      <c r="R192" s="948"/>
      <c r="S192" s="949">
        <f>J176</f>
        <v>0.15</v>
      </c>
      <c r="T192" s="949">
        <f>O180</f>
        <v>0.15</v>
      </c>
      <c r="U192" s="949">
        <f>S173</f>
        <v>45</v>
      </c>
      <c r="V192" s="949"/>
      <c r="W192" s="949"/>
      <c r="X192" s="949"/>
      <c r="Y192" s="583">
        <f>S192*T192*U192</f>
        <v>1.0125</v>
      </c>
    </row>
    <row r="193" spans="5:25" ht="15" customHeight="1">
      <c r="E193" s="1010"/>
      <c r="F193" s="1000"/>
      <c r="G193" s="1000"/>
      <c r="H193" s="1000"/>
      <c r="I193" s="1000"/>
      <c r="J193" s="1000"/>
      <c r="K193" s="1000"/>
      <c r="L193" s="1000"/>
      <c r="M193" s="1000"/>
      <c r="N193" s="1000"/>
      <c r="O193" s="1000"/>
      <c r="P193" s="1011"/>
      <c r="Q193" s="570"/>
      <c r="R193" s="571"/>
      <c r="S193" s="572"/>
      <c r="T193" s="572"/>
      <c r="U193" s="572"/>
      <c r="V193" s="572"/>
      <c r="W193" s="572"/>
      <c r="X193" s="572"/>
      <c r="Y193" s="943"/>
    </row>
    <row r="194" spans="5:25" ht="15" customHeight="1">
      <c r="E194" s="1013" t="s">
        <v>24</v>
      </c>
      <c r="F194" s="1006" t="s">
        <v>48</v>
      </c>
      <c r="G194" s="1007"/>
      <c r="H194" s="1007"/>
      <c r="I194" s="1007"/>
      <c r="J194" s="1007"/>
      <c r="K194" s="1007"/>
      <c r="L194" s="1006"/>
      <c r="M194" s="1007"/>
      <c r="N194" s="1007"/>
      <c r="O194" s="1007"/>
      <c r="P194" s="1009"/>
      <c r="Q194" s="584">
        <v>3</v>
      </c>
      <c r="R194" s="585" t="s">
        <v>48</v>
      </c>
      <c r="S194" s="586"/>
      <c r="T194" s="586"/>
      <c r="U194" s="586"/>
      <c r="V194" s="586"/>
      <c r="W194" s="586"/>
      <c r="X194" s="586"/>
      <c r="Y194" s="587"/>
    </row>
    <row r="195" spans="5:25" ht="15" customHeight="1">
      <c r="E195" s="1010"/>
      <c r="F195" s="999" t="s">
        <v>2519</v>
      </c>
      <c r="G195" s="1000"/>
      <c r="H195" s="1000"/>
      <c r="I195" s="1000"/>
      <c r="J195" s="1000"/>
      <c r="K195" s="1000"/>
      <c r="L195" s="1001"/>
      <c r="M195" s="1000"/>
      <c r="N195" s="1107">
        <v>0.2</v>
      </c>
      <c r="O195" s="1108"/>
      <c r="P195" s="1011"/>
      <c r="Q195" s="947" t="s">
        <v>2452</v>
      </c>
      <c r="R195" s="952" t="s">
        <v>31</v>
      </c>
      <c r="S195" s="572" t="s">
        <v>2076</v>
      </c>
      <c r="T195" s="572" t="s">
        <v>2434</v>
      </c>
      <c r="U195" s="572" t="s">
        <v>56</v>
      </c>
      <c r="V195" s="572"/>
      <c r="W195" s="572"/>
      <c r="X195" s="572"/>
      <c r="Y195" s="943" t="s">
        <v>56</v>
      </c>
    </row>
    <row r="196" spans="5:25" ht="15" customHeight="1">
      <c r="E196" s="1010"/>
      <c r="F196" s="1000"/>
      <c r="G196" s="1000"/>
      <c r="H196" s="1000"/>
      <c r="I196" s="1000"/>
      <c r="J196" s="1000"/>
      <c r="K196" s="1000"/>
      <c r="L196" s="1000"/>
      <c r="M196" s="1000"/>
      <c r="N196" s="1000"/>
      <c r="O196" s="1000"/>
      <c r="P196" s="1011"/>
      <c r="Q196" s="570"/>
      <c r="R196" s="571" t="s">
        <v>2453</v>
      </c>
      <c r="S196" s="572">
        <f>J197</f>
        <v>2</v>
      </c>
      <c r="T196" s="572">
        <f>N195</f>
        <v>0.2</v>
      </c>
      <c r="U196" s="572" t="s">
        <v>2024</v>
      </c>
      <c r="V196" s="572"/>
      <c r="W196" s="572"/>
      <c r="X196" s="572"/>
      <c r="Y196" s="943">
        <f>S196/T196*2</f>
        <v>20</v>
      </c>
    </row>
    <row r="197" spans="5:25" ht="15" customHeight="1">
      <c r="E197" s="1010"/>
      <c r="F197" s="1000"/>
      <c r="G197" s="1000"/>
      <c r="H197" s="1000"/>
      <c r="I197" s="1000"/>
      <c r="J197" s="961">
        <v>2</v>
      </c>
      <c r="K197" s="1000"/>
      <c r="L197" s="1000"/>
      <c r="M197" s="1000"/>
      <c r="N197" s="1000"/>
      <c r="O197" s="1000"/>
      <c r="P197" s="1011"/>
      <c r="Q197" s="570"/>
      <c r="R197" s="571" t="s">
        <v>2454</v>
      </c>
      <c r="S197" s="951">
        <f>O203</f>
        <v>1.5</v>
      </c>
      <c r="T197" s="951" t="s">
        <v>2024</v>
      </c>
      <c r="U197" s="949">
        <f>Y196</f>
        <v>20</v>
      </c>
      <c r="V197" s="951"/>
      <c r="W197" s="951"/>
      <c r="X197" s="951"/>
      <c r="Y197" s="943">
        <f>S197*U197</f>
        <v>30</v>
      </c>
    </row>
    <row r="198" spans="5:25" ht="15" customHeight="1">
      <c r="E198" s="1010"/>
      <c r="F198" s="1000"/>
      <c r="G198" s="1000"/>
      <c r="H198" s="1000"/>
      <c r="I198" s="1000"/>
      <c r="J198" s="1000"/>
      <c r="K198" s="1000"/>
      <c r="L198" s="1000"/>
      <c r="M198" s="1000"/>
      <c r="N198" s="1000"/>
      <c r="O198" s="1000"/>
      <c r="P198" s="1011"/>
      <c r="Q198" s="570"/>
      <c r="R198" s="571" t="s">
        <v>2455</v>
      </c>
      <c r="S198" s="572">
        <f>O203</f>
        <v>1.5</v>
      </c>
      <c r="T198" s="572">
        <f>T196</f>
        <v>0.2</v>
      </c>
      <c r="U198" s="572" t="s">
        <v>2024</v>
      </c>
      <c r="V198" s="572"/>
      <c r="W198" s="572"/>
      <c r="X198" s="572"/>
      <c r="Y198" s="943">
        <f>S198/T198*2</f>
        <v>15</v>
      </c>
    </row>
    <row r="199" spans="5:25" ht="15" customHeight="1">
      <c r="E199" s="1010"/>
      <c r="F199" s="1000"/>
      <c r="G199" s="1000"/>
      <c r="H199" s="1000"/>
      <c r="I199" s="1000"/>
      <c r="J199" s="1000"/>
      <c r="K199" s="1000"/>
      <c r="L199" s="1000"/>
      <c r="M199" s="1000"/>
      <c r="N199" s="1000"/>
      <c r="O199" s="1000"/>
      <c r="P199" s="1011"/>
      <c r="Q199" s="570"/>
      <c r="R199" s="571" t="s">
        <v>2456</v>
      </c>
      <c r="S199" s="572">
        <f>J197</f>
        <v>2</v>
      </c>
      <c r="T199" s="572" t="s">
        <v>2024</v>
      </c>
      <c r="U199" s="572">
        <f>Y198</f>
        <v>15</v>
      </c>
      <c r="V199" s="572"/>
      <c r="W199" s="572"/>
      <c r="X199" s="572"/>
      <c r="Y199" s="943">
        <f>S199*U199</f>
        <v>30</v>
      </c>
    </row>
    <row r="200" spans="5:25" ht="15" customHeight="1">
      <c r="E200" s="1010"/>
      <c r="F200" s="1000"/>
      <c r="G200" s="1000"/>
      <c r="H200" s="1000"/>
      <c r="I200" s="1000"/>
      <c r="J200" s="1000"/>
      <c r="K200" s="1000"/>
      <c r="L200" s="1000"/>
      <c r="M200" s="1000"/>
      <c r="N200" s="1000"/>
      <c r="O200" s="1000"/>
      <c r="P200" s="1011"/>
      <c r="Q200" s="570"/>
      <c r="R200" s="571"/>
      <c r="S200" s="572"/>
      <c r="T200" s="572"/>
      <c r="U200" s="572"/>
      <c r="V200" s="572"/>
      <c r="W200" s="572"/>
      <c r="X200" s="572"/>
      <c r="Y200" s="943"/>
    </row>
    <row r="201" spans="5:25" ht="15" customHeight="1">
      <c r="E201" s="1010"/>
      <c r="F201" s="1000"/>
      <c r="G201" s="1000"/>
      <c r="H201" s="1000"/>
      <c r="I201" s="1000"/>
      <c r="J201" s="1000"/>
      <c r="K201" s="1000"/>
      <c r="L201" s="1000"/>
      <c r="M201" s="1000"/>
      <c r="N201" s="1000"/>
      <c r="O201" s="1000"/>
      <c r="P201" s="1011"/>
      <c r="Q201" s="570"/>
      <c r="R201" s="571" t="s">
        <v>2457</v>
      </c>
      <c r="S201" s="572"/>
      <c r="T201" s="572"/>
      <c r="U201" s="572"/>
      <c r="V201" s="572"/>
      <c r="W201" s="572"/>
      <c r="X201" s="572"/>
      <c r="Y201" s="943">
        <f>Y199+Y197</f>
        <v>60</v>
      </c>
    </row>
    <row r="202" spans="5:25" ht="15" customHeight="1">
      <c r="E202" s="1010"/>
      <c r="F202" s="1000"/>
      <c r="G202" s="1000"/>
      <c r="H202" s="1000"/>
      <c r="I202" s="1000"/>
      <c r="J202" s="1000"/>
      <c r="K202" s="1000"/>
      <c r="L202" s="1000"/>
      <c r="M202" s="1000"/>
      <c r="N202" s="1000"/>
      <c r="O202" s="1000"/>
      <c r="P202" s="1011"/>
      <c r="Q202" s="570"/>
      <c r="R202" s="571" t="s">
        <v>2459</v>
      </c>
      <c r="S202" s="572"/>
      <c r="T202" s="572"/>
      <c r="U202" s="572"/>
      <c r="V202" s="572"/>
      <c r="W202" s="572"/>
      <c r="X202" s="572"/>
      <c r="Y202" s="943">
        <f>Y201/J214</f>
        <v>5</v>
      </c>
    </row>
    <row r="203" spans="5:25" ht="15" customHeight="1">
      <c r="E203" s="1010"/>
      <c r="F203" s="1000"/>
      <c r="G203" s="1000"/>
      <c r="H203" s="1000"/>
      <c r="I203" s="1000"/>
      <c r="J203" s="1000"/>
      <c r="K203" s="1000"/>
      <c r="L203" s="1000"/>
      <c r="M203" s="1000"/>
      <c r="N203" s="1000"/>
      <c r="O203" s="961">
        <v>1.5</v>
      </c>
      <c r="P203" s="1011"/>
      <c r="Q203" s="570"/>
      <c r="R203" s="571" t="s">
        <v>2458</v>
      </c>
      <c r="S203" s="572"/>
      <c r="T203" s="572"/>
      <c r="U203" s="572"/>
      <c r="V203" s="572"/>
      <c r="W203" s="572"/>
      <c r="X203" s="572"/>
      <c r="Y203" s="583">
        <f>Y202*M214</f>
        <v>37</v>
      </c>
    </row>
    <row r="204" spans="5:25" ht="15" customHeight="1">
      <c r="E204" s="1010"/>
      <c r="F204" s="1000"/>
      <c r="G204" s="1000"/>
      <c r="H204" s="1000"/>
      <c r="I204" s="1000"/>
      <c r="J204" s="1000"/>
      <c r="K204" s="1000"/>
      <c r="L204" s="1000"/>
      <c r="M204" s="1000"/>
      <c r="N204" s="1000"/>
      <c r="O204" s="1000"/>
      <c r="P204" s="1011"/>
      <c r="Q204" s="570"/>
      <c r="R204" s="571"/>
      <c r="S204" s="572"/>
      <c r="T204" s="572"/>
      <c r="U204" s="572"/>
      <c r="V204" s="572"/>
      <c r="W204" s="572"/>
      <c r="X204" s="572"/>
      <c r="Y204" s="943"/>
    </row>
    <row r="205" spans="5:25" ht="15" customHeight="1">
      <c r="E205" s="1010"/>
      <c r="F205" s="1000"/>
      <c r="G205" s="1000"/>
      <c r="H205" s="1000"/>
      <c r="I205" s="1000"/>
      <c r="J205" s="1000"/>
      <c r="K205" s="1000"/>
      <c r="L205" s="1000"/>
      <c r="M205" s="1000"/>
      <c r="N205" s="1000"/>
      <c r="O205" s="1000"/>
      <c r="P205" s="1011"/>
      <c r="Q205" s="947" t="s">
        <v>2461</v>
      </c>
      <c r="R205" s="954" t="s">
        <v>156</v>
      </c>
      <c r="S205" s="949" t="s">
        <v>2076</v>
      </c>
      <c r="T205" s="949" t="s">
        <v>2077</v>
      </c>
      <c r="U205" s="949"/>
      <c r="V205" s="949"/>
      <c r="W205" s="949"/>
      <c r="X205" s="949"/>
      <c r="Y205" s="943" t="s">
        <v>56</v>
      </c>
    </row>
    <row r="206" spans="5:25" ht="15" customHeight="1">
      <c r="E206" s="1010"/>
      <c r="F206" s="1000"/>
      <c r="G206" s="1000"/>
      <c r="H206" s="1000"/>
      <c r="I206" s="1000"/>
      <c r="J206" s="1000"/>
      <c r="K206" s="1000"/>
      <c r="L206" s="1000"/>
      <c r="M206" s="1000"/>
      <c r="N206" s="1000"/>
      <c r="O206" s="1000"/>
      <c r="P206" s="1011"/>
      <c r="Q206" s="947"/>
      <c r="R206" s="948" t="s">
        <v>2437</v>
      </c>
      <c r="S206" s="949">
        <f>J197</f>
        <v>2</v>
      </c>
      <c r="T206" s="949">
        <f>O203</f>
        <v>1.5</v>
      </c>
      <c r="U206" s="949"/>
      <c r="V206" s="949"/>
      <c r="W206" s="949"/>
      <c r="X206" s="949"/>
      <c r="Y206" s="583">
        <f>S206*T206</f>
        <v>3</v>
      </c>
    </row>
    <row r="207" spans="5:25" ht="15" customHeight="1">
      <c r="E207" s="1010"/>
      <c r="F207" s="1000"/>
      <c r="G207" s="1000"/>
      <c r="H207" s="1000"/>
      <c r="I207" s="1000"/>
      <c r="J207" s="1000"/>
      <c r="K207" s="1000"/>
      <c r="L207" s="1000"/>
      <c r="M207" s="1000"/>
      <c r="N207" s="1000"/>
      <c r="O207" s="1000"/>
      <c r="P207" s="1011"/>
      <c r="Q207" s="570"/>
      <c r="R207" s="571"/>
      <c r="S207" s="572"/>
      <c r="T207" s="572"/>
      <c r="U207" s="572"/>
      <c r="V207" s="572"/>
      <c r="W207" s="572"/>
      <c r="X207" s="572"/>
      <c r="Y207" s="943"/>
    </row>
    <row r="208" spans="5:25" ht="15" customHeight="1">
      <c r="E208" s="1010"/>
      <c r="F208" s="1000"/>
      <c r="G208" s="1000"/>
      <c r="H208" s="1000"/>
      <c r="I208" s="1000"/>
      <c r="J208" s="1000"/>
      <c r="K208" s="1000"/>
      <c r="L208" s="1000"/>
      <c r="M208" s="1000"/>
      <c r="N208" s="1000"/>
      <c r="O208" s="955">
        <v>0.12</v>
      </c>
      <c r="P208" s="1011"/>
      <c r="Q208" s="947" t="s">
        <v>2462</v>
      </c>
      <c r="R208" s="954" t="s">
        <v>43</v>
      </c>
      <c r="S208" s="949" t="s">
        <v>2076</v>
      </c>
      <c r="T208" s="949" t="s">
        <v>2077</v>
      </c>
      <c r="U208" s="949" t="s">
        <v>2078</v>
      </c>
      <c r="V208" s="949"/>
      <c r="W208" s="949"/>
      <c r="X208" s="949"/>
      <c r="Y208" s="943" t="s">
        <v>56</v>
      </c>
    </row>
    <row r="209" spans="5:25" ht="15" customHeight="1">
      <c r="E209" s="1010"/>
      <c r="F209" s="1000"/>
      <c r="G209" s="1000"/>
      <c r="H209" s="1000"/>
      <c r="I209" s="1000"/>
      <c r="J209" s="1000"/>
      <c r="K209" s="1000"/>
      <c r="L209" s="1000"/>
      <c r="M209" s="1000"/>
      <c r="N209" s="1000"/>
      <c r="O209" s="1000"/>
      <c r="P209" s="1011"/>
      <c r="Q209" s="947"/>
      <c r="R209" s="948"/>
      <c r="S209" s="949">
        <f>J197</f>
        <v>2</v>
      </c>
      <c r="T209" s="949">
        <f>O203</f>
        <v>1.5</v>
      </c>
      <c r="U209" s="949">
        <f>O208</f>
        <v>0.12</v>
      </c>
      <c r="V209" s="949"/>
      <c r="W209" s="949"/>
      <c r="X209" s="949"/>
      <c r="Y209" s="583">
        <f>S209*T209*U209</f>
        <v>0.36</v>
      </c>
    </row>
    <row r="210" spans="5:25" ht="15" customHeight="1">
      <c r="E210" s="1010"/>
      <c r="F210" s="1000"/>
      <c r="G210" s="1000"/>
      <c r="H210" s="1000"/>
      <c r="I210" s="1000"/>
      <c r="J210" s="1000"/>
      <c r="K210" s="1000"/>
      <c r="L210" s="1000"/>
      <c r="M210" s="1000"/>
      <c r="N210" s="1000"/>
      <c r="O210" s="1000"/>
      <c r="P210" s="1011"/>
      <c r="Q210" s="570"/>
      <c r="R210" s="571"/>
      <c r="S210" s="572"/>
      <c r="T210" s="572"/>
      <c r="U210" s="572"/>
      <c r="V210" s="572"/>
      <c r="W210" s="572"/>
      <c r="X210" s="572"/>
      <c r="Y210" s="943"/>
    </row>
    <row r="211" spans="5:25" ht="15" customHeight="1">
      <c r="E211" s="1010"/>
      <c r="F211" s="1111"/>
      <c r="G211" s="1111"/>
      <c r="H211" s="1111"/>
      <c r="I211" s="1111"/>
      <c r="J211" s="1112" t="s">
        <v>9</v>
      </c>
      <c r="K211" s="1112"/>
      <c r="L211" s="1112"/>
      <c r="M211" s="1112" t="s">
        <v>2463</v>
      </c>
      <c r="N211" s="1112"/>
      <c r="O211" s="1112"/>
      <c r="P211" s="1011"/>
      <c r="Q211" s="570"/>
      <c r="R211" s="571"/>
      <c r="S211" s="572"/>
      <c r="T211" s="572"/>
      <c r="U211" s="572"/>
      <c r="V211" s="572"/>
      <c r="W211" s="572"/>
      <c r="X211" s="572"/>
      <c r="Y211" s="943"/>
    </row>
    <row r="212" spans="5:25" ht="15" customHeight="1">
      <c r="E212" s="1010"/>
      <c r="F212" s="1112" t="s">
        <v>2435</v>
      </c>
      <c r="G212" s="1112"/>
      <c r="H212" s="1112"/>
      <c r="I212" s="1112"/>
      <c r="J212" s="1112">
        <v>12</v>
      </c>
      <c r="K212" s="1112"/>
      <c r="L212" s="1112"/>
      <c r="M212" s="1119">
        <v>2.66</v>
      </c>
      <c r="N212" s="1119"/>
      <c r="O212" s="1119"/>
      <c r="P212" s="1011"/>
      <c r="Q212" s="570"/>
      <c r="R212" s="571"/>
      <c r="S212" s="572"/>
      <c r="T212" s="572"/>
      <c r="U212" s="572"/>
      <c r="V212" s="572"/>
      <c r="W212" s="572"/>
      <c r="X212" s="572"/>
      <c r="Y212" s="943"/>
    </row>
    <row r="213" spans="5:25" ht="15" customHeight="1">
      <c r="E213" s="1010"/>
      <c r="F213" s="1112" t="s">
        <v>2429</v>
      </c>
      <c r="G213" s="1112"/>
      <c r="H213" s="1112"/>
      <c r="I213" s="1112"/>
      <c r="J213" s="1112">
        <v>12</v>
      </c>
      <c r="K213" s="1112"/>
      <c r="L213" s="1112"/>
      <c r="M213" s="1119">
        <v>4.74</v>
      </c>
      <c r="N213" s="1119"/>
      <c r="O213" s="1119"/>
      <c r="P213" s="1011"/>
      <c r="Q213" s="570"/>
      <c r="R213" s="571"/>
      <c r="S213" s="572"/>
      <c r="T213" s="572"/>
      <c r="U213" s="572"/>
      <c r="V213" s="572"/>
      <c r="W213" s="572"/>
      <c r="X213" s="572"/>
      <c r="Y213" s="943"/>
    </row>
    <row r="214" spans="5:25" ht="15" customHeight="1">
      <c r="E214" s="1010"/>
      <c r="F214" s="1112" t="s">
        <v>2460</v>
      </c>
      <c r="G214" s="1112"/>
      <c r="H214" s="1112"/>
      <c r="I214" s="1112"/>
      <c r="J214" s="1112">
        <v>12</v>
      </c>
      <c r="K214" s="1112"/>
      <c r="L214" s="1112"/>
      <c r="M214" s="1119">
        <v>7.4</v>
      </c>
      <c r="N214" s="1119"/>
      <c r="O214" s="1119"/>
      <c r="P214" s="1011"/>
      <c r="Q214" s="570"/>
      <c r="R214" s="571"/>
      <c r="S214" s="572"/>
      <c r="T214" s="572"/>
      <c r="U214" s="572"/>
      <c r="V214" s="572"/>
      <c r="W214" s="572"/>
      <c r="X214" s="572"/>
      <c r="Y214" s="943"/>
    </row>
    <row r="215" spans="5:25" ht="15" customHeight="1">
      <c r="E215" s="1016"/>
      <c r="F215" s="1017"/>
      <c r="G215" s="1017"/>
      <c r="H215" s="1017"/>
      <c r="I215" s="1017"/>
      <c r="J215" s="1017"/>
      <c r="K215" s="1017"/>
      <c r="L215" s="1017"/>
      <c r="M215" s="1017"/>
      <c r="N215" s="1017"/>
      <c r="O215" s="1017"/>
      <c r="P215" s="1018"/>
      <c r="Q215" s="576"/>
      <c r="R215" s="577"/>
      <c r="S215" s="578"/>
      <c r="T215" s="578"/>
      <c r="U215" s="578"/>
      <c r="V215" s="578"/>
      <c r="W215" s="578"/>
      <c r="X215" s="578"/>
      <c r="Y215" s="579"/>
    </row>
    <row r="216" spans="5:25" ht="15" customHeight="1">
      <c r="E216" s="1013" t="s">
        <v>24</v>
      </c>
      <c r="F216" s="1006" t="s">
        <v>49</v>
      </c>
      <c r="G216" s="1007"/>
      <c r="H216" s="1007"/>
      <c r="I216" s="1007"/>
      <c r="J216" s="1007"/>
      <c r="K216" s="1007"/>
      <c r="L216" s="1006"/>
      <c r="M216" s="1007"/>
      <c r="N216" s="1007"/>
      <c r="O216" s="1007"/>
      <c r="P216" s="1009"/>
      <c r="Q216" s="584">
        <v>4</v>
      </c>
      <c r="R216" s="585" t="s">
        <v>49</v>
      </c>
      <c r="S216" s="586"/>
      <c r="T216" s="586"/>
      <c r="U216" s="586"/>
      <c r="V216" s="586"/>
      <c r="W216" s="586"/>
      <c r="X216" s="586"/>
      <c r="Y216" s="587"/>
    </row>
    <row r="217" spans="5:25" ht="15" customHeight="1">
      <c r="E217" s="1010"/>
      <c r="F217" s="999" t="s">
        <v>2519</v>
      </c>
      <c r="G217" s="1000"/>
      <c r="H217" s="1000"/>
      <c r="I217" s="1000"/>
      <c r="J217" s="1000"/>
      <c r="K217" s="1000"/>
      <c r="L217" s="1001"/>
      <c r="M217" s="1000"/>
      <c r="N217" s="1107">
        <v>0.2</v>
      </c>
      <c r="O217" s="1108"/>
      <c r="P217" s="1011"/>
      <c r="Q217" s="947" t="s">
        <v>2464</v>
      </c>
      <c r="R217" s="952" t="s">
        <v>31</v>
      </c>
      <c r="S217" s="572" t="s">
        <v>2076</v>
      </c>
      <c r="T217" s="572" t="s">
        <v>2434</v>
      </c>
      <c r="U217" s="572" t="s">
        <v>56</v>
      </c>
      <c r="V217" s="572"/>
      <c r="W217" s="572"/>
      <c r="X217" s="572"/>
      <c r="Y217" s="943" t="s">
        <v>56</v>
      </c>
    </row>
    <row r="218" spans="5:25" ht="15" customHeight="1">
      <c r="E218" s="1010"/>
      <c r="F218" s="1000"/>
      <c r="G218" s="1000"/>
      <c r="H218" s="1000"/>
      <c r="I218" s="1000"/>
      <c r="J218" s="1000"/>
      <c r="K218" s="1000"/>
      <c r="L218" s="1000"/>
      <c r="M218" s="1000"/>
      <c r="N218" s="1000"/>
      <c r="O218" s="1000"/>
      <c r="P218" s="1011"/>
      <c r="Q218" s="570"/>
      <c r="R218" s="571" t="s">
        <v>2453</v>
      </c>
      <c r="S218" s="572">
        <f>J219</f>
        <v>2.8</v>
      </c>
      <c r="T218" s="572">
        <f>N217</f>
        <v>0.2</v>
      </c>
      <c r="U218" s="572" t="s">
        <v>2024</v>
      </c>
      <c r="V218" s="572"/>
      <c r="W218" s="572"/>
      <c r="X218" s="572"/>
      <c r="Y218" s="943">
        <f>S218/T218*2</f>
        <v>27.999999999999996</v>
      </c>
    </row>
    <row r="219" spans="5:25" ht="15" customHeight="1">
      <c r="E219" s="1010"/>
      <c r="F219" s="1000"/>
      <c r="G219" s="1000"/>
      <c r="H219" s="1000"/>
      <c r="I219" s="1000"/>
      <c r="J219" s="961">
        <v>2.8</v>
      </c>
      <c r="K219" s="1000"/>
      <c r="L219" s="1000"/>
      <c r="M219" s="1000"/>
      <c r="N219" s="1000"/>
      <c r="O219" s="1000"/>
      <c r="P219" s="1011"/>
      <c r="Q219" s="570"/>
      <c r="R219" s="571" t="s">
        <v>2454</v>
      </c>
      <c r="S219" s="951">
        <f>O225</f>
        <v>1</v>
      </c>
      <c r="T219" s="951" t="s">
        <v>2024</v>
      </c>
      <c r="U219" s="949">
        <f>Y218</f>
        <v>27.999999999999996</v>
      </c>
      <c r="V219" s="951"/>
      <c r="W219" s="951"/>
      <c r="X219" s="951"/>
      <c r="Y219" s="943">
        <f>S219*U219</f>
        <v>27.999999999999996</v>
      </c>
    </row>
    <row r="220" spans="5:25" ht="15" customHeight="1">
      <c r="E220" s="1010"/>
      <c r="F220" s="1000"/>
      <c r="G220" s="1000"/>
      <c r="H220" s="1000"/>
      <c r="I220" s="1000"/>
      <c r="J220" s="1000"/>
      <c r="K220" s="1000"/>
      <c r="L220" s="1000"/>
      <c r="M220" s="1000"/>
      <c r="N220" s="1000"/>
      <c r="O220" s="1000"/>
      <c r="P220" s="1011"/>
      <c r="Q220" s="570"/>
      <c r="R220" s="571" t="s">
        <v>2455</v>
      </c>
      <c r="S220" s="572">
        <f>O225</f>
        <v>1</v>
      </c>
      <c r="T220" s="572">
        <f>T218</f>
        <v>0.2</v>
      </c>
      <c r="U220" s="572" t="s">
        <v>2024</v>
      </c>
      <c r="V220" s="572"/>
      <c r="W220" s="572"/>
      <c r="X220" s="572"/>
      <c r="Y220" s="943">
        <f>S220/T220*2</f>
        <v>10</v>
      </c>
    </row>
    <row r="221" spans="5:25" ht="15" customHeight="1">
      <c r="E221" s="1010"/>
      <c r="F221" s="1000"/>
      <c r="G221" s="1000"/>
      <c r="H221" s="1000"/>
      <c r="I221" s="1000"/>
      <c r="J221" s="1000"/>
      <c r="K221" s="1000"/>
      <c r="L221" s="1000"/>
      <c r="M221" s="1000"/>
      <c r="N221" s="1000"/>
      <c r="O221" s="1000"/>
      <c r="P221" s="1011"/>
      <c r="Q221" s="570"/>
      <c r="R221" s="571" t="s">
        <v>2456</v>
      </c>
      <c r="S221" s="572">
        <f>J219</f>
        <v>2.8</v>
      </c>
      <c r="T221" s="572" t="s">
        <v>2024</v>
      </c>
      <c r="U221" s="572">
        <f>Y220</f>
        <v>10</v>
      </c>
      <c r="V221" s="572"/>
      <c r="W221" s="572"/>
      <c r="X221" s="572"/>
      <c r="Y221" s="943">
        <f>S221*U221</f>
        <v>28</v>
      </c>
    </row>
    <row r="222" spans="5:25" ht="15" customHeight="1">
      <c r="E222" s="1010"/>
      <c r="F222" s="1000"/>
      <c r="G222" s="1000"/>
      <c r="H222" s="1000"/>
      <c r="I222" s="1000"/>
      <c r="J222" s="1000"/>
      <c r="K222" s="1000"/>
      <c r="L222" s="1000"/>
      <c r="M222" s="1000"/>
      <c r="N222" s="1000"/>
      <c r="O222" s="1000"/>
      <c r="P222" s="1011"/>
      <c r="Q222" s="570"/>
      <c r="R222" s="571"/>
      <c r="S222" s="572"/>
      <c r="T222" s="572"/>
      <c r="U222" s="572"/>
      <c r="V222" s="572"/>
      <c r="W222" s="572"/>
      <c r="X222" s="572"/>
      <c r="Y222" s="943"/>
    </row>
    <row r="223" spans="5:25" ht="15" customHeight="1">
      <c r="E223" s="1010"/>
      <c r="F223" s="1000"/>
      <c r="G223" s="1000"/>
      <c r="H223" s="1000"/>
      <c r="I223" s="1000"/>
      <c r="J223" s="1000"/>
      <c r="K223" s="1000"/>
      <c r="L223" s="1000"/>
      <c r="M223" s="1000"/>
      <c r="N223" s="1000"/>
      <c r="O223" s="1000"/>
      <c r="P223" s="1011"/>
      <c r="Q223" s="570"/>
      <c r="R223" s="571" t="s">
        <v>2457</v>
      </c>
      <c r="S223" s="572"/>
      <c r="T223" s="572"/>
      <c r="U223" s="572"/>
      <c r="V223" s="572"/>
      <c r="W223" s="572"/>
      <c r="X223" s="572"/>
      <c r="Y223" s="943">
        <f>Y221+Y219</f>
        <v>56</v>
      </c>
    </row>
    <row r="224" spans="5:25" ht="15" customHeight="1">
      <c r="E224" s="1010"/>
      <c r="F224" s="1000"/>
      <c r="G224" s="1000"/>
      <c r="H224" s="1000"/>
      <c r="I224" s="1000"/>
      <c r="J224" s="1000"/>
      <c r="K224" s="1000"/>
      <c r="L224" s="1000"/>
      <c r="M224" s="1000"/>
      <c r="N224" s="1000"/>
      <c r="O224" s="1000"/>
      <c r="P224" s="1011"/>
      <c r="Q224" s="570"/>
      <c r="R224" s="571" t="s">
        <v>2459</v>
      </c>
      <c r="S224" s="572"/>
      <c r="T224" s="572"/>
      <c r="U224" s="572"/>
      <c r="V224" s="572"/>
      <c r="W224" s="572"/>
      <c r="X224" s="572"/>
      <c r="Y224" s="943">
        <f>Y223/J236</f>
        <v>4.666666666666667</v>
      </c>
    </row>
    <row r="225" spans="5:27" ht="15" customHeight="1">
      <c r="E225" s="1010"/>
      <c r="F225" s="1000"/>
      <c r="G225" s="1000"/>
      <c r="H225" s="1000"/>
      <c r="I225" s="1000"/>
      <c r="J225" s="1000"/>
      <c r="K225" s="1000"/>
      <c r="L225" s="1000"/>
      <c r="M225" s="1000"/>
      <c r="N225" s="1000"/>
      <c r="O225" s="972">
        <v>1</v>
      </c>
      <c r="P225" s="1011"/>
      <c r="Q225" s="570"/>
      <c r="R225" s="571" t="s">
        <v>2458</v>
      </c>
      <c r="S225" s="572"/>
      <c r="T225" s="572"/>
      <c r="U225" s="572"/>
      <c r="V225" s="572"/>
      <c r="W225" s="572"/>
      <c r="X225" s="572"/>
      <c r="Y225" s="583">
        <f>Y224*M236</f>
        <v>34.533333333333339</v>
      </c>
    </row>
    <row r="226" spans="5:27" ht="15" customHeight="1">
      <c r="E226" s="1010"/>
      <c r="F226" s="1000"/>
      <c r="G226" s="1000"/>
      <c r="H226" s="1000"/>
      <c r="I226" s="1000"/>
      <c r="J226" s="1000"/>
      <c r="K226" s="1000"/>
      <c r="L226" s="1000"/>
      <c r="M226" s="1000"/>
      <c r="N226" s="1000"/>
      <c r="O226" s="1000"/>
      <c r="P226" s="1011"/>
      <c r="Q226" s="570"/>
      <c r="R226" s="571"/>
      <c r="S226" s="572"/>
      <c r="T226" s="572"/>
      <c r="U226" s="572"/>
      <c r="V226" s="572"/>
      <c r="W226" s="572"/>
      <c r="X226" s="572"/>
      <c r="Y226" s="943"/>
    </row>
    <row r="227" spans="5:27" ht="15" customHeight="1">
      <c r="E227" s="1010"/>
      <c r="F227" s="1000"/>
      <c r="G227" s="1000"/>
      <c r="H227" s="1000"/>
      <c r="I227" s="1000"/>
      <c r="J227" s="1000"/>
      <c r="K227" s="1000"/>
      <c r="L227" s="1000"/>
      <c r="M227" s="1000"/>
      <c r="N227" s="1000"/>
      <c r="O227" s="1000"/>
      <c r="P227" s="1011"/>
      <c r="Q227" s="947" t="s">
        <v>2465</v>
      </c>
      <c r="R227" s="954" t="s">
        <v>156</v>
      </c>
      <c r="S227" s="949" t="s">
        <v>2076</v>
      </c>
      <c r="T227" s="949" t="s">
        <v>2077</v>
      </c>
      <c r="U227" s="949"/>
      <c r="V227" s="949"/>
      <c r="W227" s="949"/>
      <c r="X227" s="949"/>
      <c r="Y227" s="943" t="s">
        <v>56</v>
      </c>
    </row>
    <row r="228" spans="5:27" ht="15" customHeight="1">
      <c r="E228" s="1010"/>
      <c r="F228" s="1000"/>
      <c r="G228" s="1000"/>
      <c r="H228" s="1000"/>
      <c r="I228" s="1000"/>
      <c r="J228" s="1000"/>
      <c r="K228" s="1000"/>
      <c r="L228" s="1000"/>
      <c r="M228" s="1000"/>
      <c r="N228" s="1000"/>
      <c r="O228" s="1000"/>
      <c r="P228" s="1011"/>
      <c r="Q228" s="947"/>
      <c r="R228" s="948" t="s">
        <v>2437</v>
      </c>
      <c r="S228" s="949">
        <f>J219</f>
        <v>2.8</v>
      </c>
      <c r="T228" s="949">
        <f>O225</f>
        <v>1</v>
      </c>
      <c r="U228" s="949"/>
      <c r="V228" s="949"/>
      <c r="W228" s="949"/>
      <c r="X228" s="949"/>
      <c r="Y228" s="583">
        <f>S228*T228</f>
        <v>2.8</v>
      </c>
    </row>
    <row r="229" spans="5:27" ht="15" customHeight="1">
      <c r="E229" s="1010"/>
      <c r="F229" s="1000"/>
      <c r="G229" s="1000"/>
      <c r="H229" s="1000"/>
      <c r="I229" s="1000"/>
      <c r="J229" s="1000"/>
      <c r="K229" s="1000"/>
      <c r="L229" s="1000"/>
      <c r="M229" s="1000"/>
      <c r="N229" s="1000"/>
      <c r="O229" s="1000"/>
      <c r="P229" s="1011"/>
      <c r="Q229" s="570"/>
      <c r="R229" s="571"/>
      <c r="S229" s="572"/>
      <c r="T229" s="572"/>
      <c r="U229" s="572"/>
      <c r="V229" s="572"/>
      <c r="W229" s="572"/>
      <c r="X229" s="572"/>
      <c r="Y229" s="943"/>
    </row>
    <row r="230" spans="5:27" ht="15" customHeight="1">
      <c r="E230" s="1010"/>
      <c r="F230" s="1000"/>
      <c r="G230" s="1000"/>
      <c r="H230" s="1000"/>
      <c r="I230" s="1000"/>
      <c r="J230" s="1000"/>
      <c r="K230" s="1000"/>
      <c r="L230" s="1000"/>
      <c r="M230" s="1000"/>
      <c r="N230" s="1000"/>
      <c r="O230" s="955">
        <v>0.12</v>
      </c>
      <c r="P230" s="1011"/>
      <c r="Q230" s="947" t="s">
        <v>2466</v>
      </c>
      <c r="R230" s="954" t="s">
        <v>43</v>
      </c>
      <c r="S230" s="949" t="s">
        <v>2076</v>
      </c>
      <c r="T230" s="949" t="s">
        <v>2077</v>
      </c>
      <c r="U230" s="949" t="s">
        <v>2078</v>
      </c>
      <c r="V230" s="949"/>
      <c r="W230" s="949"/>
      <c r="X230" s="949"/>
      <c r="Y230" s="943" t="s">
        <v>56</v>
      </c>
    </row>
    <row r="231" spans="5:27" ht="15" customHeight="1">
      <c r="E231" s="1010"/>
      <c r="F231" s="1000"/>
      <c r="G231" s="1000"/>
      <c r="H231" s="1000"/>
      <c r="I231" s="1000"/>
      <c r="J231" s="1000"/>
      <c r="K231" s="1000"/>
      <c r="L231" s="1000"/>
      <c r="M231" s="1000"/>
      <c r="N231" s="1000"/>
      <c r="O231" s="1000"/>
      <c r="P231" s="1011"/>
      <c r="Q231" s="947"/>
      <c r="R231" s="948"/>
      <c r="S231" s="949">
        <f>J219</f>
        <v>2.8</v>
      </c>
      <c r="T231" s="949">
        <f>O225</f>
        <v>1</v>
      </c>
      <c r="U231" s="949">
        <f>O230</f>
        <v>0.12</v>
      </c>
      <c r="V231" s="949"/>
      <c r="W231" s="949"/>
      <c r="X231" s="949"/>
      <c r="Y231" s="583">
        <f>S231*T231*U231</f>
        <v>0.33599999999999997</v>
      </c>
    </row>
    <row r="232" spans="5:27" ht="15" customHeight="1">
      <c r="E232" s="1010"/>
      <c r="F232" s="1000"/>
      <c r="G232" s="1000"/>
      <c r="H232" s="1000"/>
      <c r="I232" s="1000"/>
      <c r="J232" s="1000"/>
      <c r="K232" s="1000"/>
      <c r="L232" s="1000"/>
      <c r="M232" s="1000"/>
      <c r="N232" s="1000"/>
      <c r="O232" s="1000"/>
      <c r="P232" s="1011"/>
      <c r="Q232" s="570"/>
      <c r="R232" s="571"/>
      <c r="S232" s="572"/>
      <c r="T232" s="572"/>
      <c r="U232" s="572"/>
      <c r="V232" s="572"/>
      <c r="W232" s="572"/>
      <c r="X232" s="572"/>
      <c r="Y232" s="943"/>
    </row>
    <row r="233" spans="5:27" ht="15" customHeight="1">
      <c r="E233" s="1010"/>
      <c r="F233" s="1111"/>
      <c r="G233" s="1111"/>
      <c r="H233" s="1111"/>
      <c r="I233" s="1111"/>
      <c r="J233" s="1112" t="s">
        <v>9</v>
      </c>
      <c r="K233" s="1112"/>
      <c r="L233" s="1112"/>
      <c r="M233" s="1112" t="s">
        <v>2463</v>
      </c>
      <c r="N233" s="1112"/>
      <c r="O233" s="1112"/>
      <c r="P233" s="1011"/>
      <c r="Q233" s="570"/>
      <c r="R233" s="571"/>
      <c r="S233" s="572"/>
      <c r="T233" s="572"/>
      <c r="U233" s="572"/>
      <c r="V233" s="572"/>
      <c r="W233" s="572"/>
      <c r="X233" s="572"/>
      <c r="Y233" s="943"/>
    </row>
    <row r="234" spans="5:27" ht="15" customHeight="1">
      <c r="E234" s="1010"/>
      <c r="F234" s="1112" t="s">
        <v>2435</v>
      </c>
      <c r="G234" s="1112"/>
      <c r="H234" s="1112"/>
      <c r="I234" s="1112"/>
      <c r="J234" s="1112">
        <v>12</v>
      </c>
      <c r="K234" s="1112"/>
      <c r="L234" s="1112"/>
      <c r="M234" s="1119">
        <v>2.66</v>
      </c>
      <c r="N234" s="1119"/>
      <c r="O234" s="1119"/>
      <c r="P234" s="1011"/>
      <c r="Q234" s="570"/>
      <c r="R234" s="571"/>
      <c r="S234" s="572"/>
      <c r="T234" s="572"/>
      <c r="U234" s="572"/>
      <c r="V234" s="572"/>
      <c r="W234" s="572"/>
      <c r="X234" s="572"/>
      <c r="Y234" s="943"/>
    </row>
    <row r="235" spans="5:27" ht="15" customHeight="1">
      <c r="E235" s="1010"/>
      <c r="F235" s="1112" t="s">
        <v>2429</v>
      </c>
      <c r="G235" s="1112"/>
      <c r="H235" s="1112"/>
      <c r="I235" s="1112"/>
      <c r="J235" s="1112">
        <v>12</v>
      </c>
      <c r="K235" s="1112"/>
      <c r="L235" s="1112"/>
      <c r="M235" s="1119">
        <v>4.74</v>
      </c>
      <c r="N235" s="1119"/>
      <c r="O235" s="1119"/>
      <c r="P235" s="1011"/>
      <c r="Q235" s="570"/>
      <c r="R235" s="571"/>
      <c r="S235" s="572"/>
      <c r="T235" s="572"/>
      <c r="U235" s="572"/>
      <c r="V235" s="572"/>
      <c r="W235" s="572"/>
      <c r="X235" s="572"/>
      <c r="Y235" s="943"/>
    </row>
    <row r="236" spans="5:27" ht="15" customHeight="1">
      <c r="E236" s="1010"/>
      <c r="F236" s="1112" t="s">
        <v>2460</v>
      </c>
      <c r="G236" s="1112"/>
      <c r="H236" s="1112"/>
      <c r="I236" s="1112"/>
      <c r="J236" s="1112">
        <v>12</v>
      </c>
      <c r="K236" s="1112"/>
      <c r="L236" s="1112"/>
      <c r="M236" s="1119">
        <v>7.4</v>
      </c>
      <c r="N236" s="1119"/>
      <c r="O236" s="1119"/>
      <c r="P236" s="1011"/>
      <c r="Q236" s="570"/>
      <c r="R236" s="571"/>
      <c r="S236" s="572"/>
      <c r="T236" s="572"/>
      <c r="U236" s="572"/>
      <c r="V236" s="572"/>
      <c r="W236" s="572"/>
      <c r="X236" s="572"/>
      <c r="Y236" s="943"/>
    </row>
    <row r="237" spans="5:27" ht="15" customHeight="1">
      <c r="E237" s="1016"/>
      <c r="F237" s="1017"/>
      <c r="G237" s="1017"/>
      <c r="H237" s="1017"/>
      <c r="I237" s="1017"/>
      <c r="J237" s="1017"/>
      <c r="K237" s="1017"/>
      <c r="L237" s="1017"/>
      <c r="M237" s="1017"/>
      <c r="N237" s="1017"/>
      <c r="O237" s="1017"/>
      <c r="P237" s="1018"/>
      <c r="Q237" s="576"/>
      <c r="R237" s="577"/>
      <c r="S237" s="578"/>
      <c r="T237" s="578"/>
      <c r="U237" s="578"/>
      <c r="V237" s="578"/>
      <c r="W237" s="578"/>
      <c r="X237" s="578"/>
      <c r="Y237" s="579"/>
    </row>
    <row r="238" spans="5:27" ht="15" customHeight="1">
      <c r="E238" s="565"/>
      <c r="F238" s="565"/>
      <c r="G238" s="565"/>
      <c r="H238" s="565"/>
      <c r="I238" s="565"/>
      <c r="J238" s="565"/>
      <c r="K238" s="565"/>
      <c r="L238" s="565"/>
      <c r="M238" s="565"/>
      <c r="N238" s="565"/>
      <c r="O238" s="565"/>
      <c r="P238" s="565"/>
      <c r="Q238" s="566"/>
      <c r="R238" s="565"/>
      <c r="S238" s="565"/>
      <c r="T238" s="565"/>
      <c r="U238" s="565"/>
      <c r="V238" s="565"/>
      <c r="W238" s="565"/>
      <c r="X238" s="565"/>
      <c r="Y238" s="957"/>
    </row>
    <row r="239" spans="5:27" ht="15" customHeight="1">
      <c r="E239" s="567"/>
      <c r="F239" s="568"/>
      <c r="G239" s="568"/>
      <c r="H239" s="568"/>
      <c r="I239" s="568"/>
      <c r="J239" s="568"/>
      <c r="K239" s="568"/>
      <c r="L239" s="568"/>
      <c r="M239" s="568"/>
      <c r="N239" s="568"/>
      <c r="O239" s="568"/>
      <c r="P239" s="569"/>
      <c r="Q239" s="1113" t="s">
        <v>2470</v>
      </c>
      <c r="R239" s="1114"/>
      <c r="S239" s="1114"/>
      <c r="T239" s="1114"/>
      <c r="U239" s="1114"/>
      <c r="V239" s="1114"/>
      <c r="W239" s="1114"/>
      <c r="X239" s="1114"/>
      <c r="Y239" s="1115"/>
      <c r="AA239" s="566"/>
    </row>
    <row r="240" spans="5:27" ht="15" customHeight="1">
      <c r="E240" s="570"/>
      <c r="K240" s="960">
        <v>8</v>
      </c>
      <c r="P240" s="575"/>
      <c r="Q240" s="1116"/>
      <c r="R240" s="1117"/>
      <c r="S240" s="1117"/>
      <c r="T240" s="1117"/>
      <c r="U240" s="1117"/>
      <c r="V240" s="1117"/>
      <c r="W240" s="1117"/>
      <c r="X240" s="1117"/>
      <c r="Y240" s="1118"/>
      <c r="AA240" s="566"/>
    </row>
    <row r="241" spans="5:27" ht="15" customHeight="1">
      <c r="E241" s="570"/>
      <c r="P241" s="575"/>
      <c r="Q241" s="584">
        <v>1</v>
      </c>
      <c r="R241" s="585" t="s">
        <v>51</v>
      </c>
      <c r="S241" s="586" t="s">
        <v>2076</v>
      </c>
      <c r="T241" s="586" t="s">
        <v>2077</v>
      </c>
      <c r="U241" s="962" t="s">
        <v>52</v>
      </c>
      <c r="V241" s="586" t="s">
        <v>53</v>
      </c>
      <c r="W241" s="586" t="s">
        <v>138</v>
      </c>
      <c r="X241" s="586"/>
      <c r="Y241" s="587" t="s">
        <v>56</v>
      </c>
      <c r="AA241" s="566"/>
    </row>
    <row r="242" spans="5:27" ht="15" customHeight="1">
      <c r="E242" s="570"/>
      <c r="P242" s="575"/>
      <c r="Q242" s="570"/>
      <c r="R242" s="571"/>
      <c r="S242" s="572">
        <f>O247</f>
        <v>10</v>
      </c>
      <c r="T242" s="572">
        <f>K240</f>
        <v>8</v>
      </c>
      <c r="U242" s="963">
        <f>J256</f>
        <v>35</v>
      </c>
      <c r="V242" s="964">
        <f>J257</f>
        <v>0.81899999999999995</v>
      </c>
      <c r="W242" s="572" t="s">
        <v>23</v>
      </c>
      <c r="X242" s="572"/>
      <c r="Y242" s="583">
        <f>S242*T242/V242</f>
        <v>97.680097680097688</v>
      </c>
      <c r="AA242" s="566"/>
    </row>
    <row r="243" spans="5:27" ht="15" customHeight="1">
      <c r="E243" s="570"/>
      <c r="P243" s="575"/>
      <c r="Q243" s="570"/>
      <c r="R243" s="571"/>
      <c r="S243" s="572"/>
      <c r="T243" s="572"/>
      <c r="U243" s="572"/>
      <c r="V243" s="572"/>
      <c r="W243" s="572"/>
      <c r="X243" s="572"/>
      <c r="Y243" s="573"/>
      <c r="AA243" s="566"/>
    </row>
    <row r="244" spans="5:27" ht="15" customHeight="1">
      <c r="E244" s="570"/>
      <c r="P244" s="575"/>
      <c r="Q244" s="584">
        <v>2</v>
      </c>
      <c r="R244" s="585" t="s">
        <v>104</v>
      </c>
      <c r="S244" s="586" t="s">
        <v>2076</v>
      </c>
      <c r="T244" s="586" t="s">
        <v>2077</v>
      </c>
      <c r="U244" s="962" t="s">
        <v>52</v>
      </c>
      <c r="V244" s="586" t="s">
        <v>53</v>
      </c>
      <c r="W244" s="586" t="s">
        <v>138</v>
      </c>
      <c r="X244" s="586"/>
      <c r="Y244" s="587" t="s">
        <v>58</v>
      </c>
      <c r="AA244" s="566"/>
    </row>
    <row r="245" spans="5:27" ht="15" customHeight="1">
      <c r="E245" s="570"/>
      <c r="P245" s="575"/>
      <c r="Q245" s="570"/>
      <c r="R245" s="571"/>
      <c r="S245" s="572">
        <f>O247</f>
        <v>10</v>
      </c>
      <c r="T245" s="572">
        <f>K240</f>
        <v>8</v>
      </c>
      <c r="U245" s="963">
        <f>U242</f>
        <v>35</v>
      </c>
      <c r="V245" s="964">
        <f>V242</f>
        <v>0.81899999999999995</v>
      </c>
      <c r="W245" s="572" t="s">
        <v>2110</v>
      </c>
      <c r="X245" s="572"/>
      <c r="Y245" s="583">
        <f>(S245*2)+((T245/V245)*2)</f>
        <v>39.536019536019538</v>
      </c>
    </row>
    <row r="246" spans="5:27" ht="15" customHeight="1">
      <c r="E246" s="570"/>
      <c r="P246" s="575"/>
      <c r="Q246" s="570"/>
      <c r="R246" s="571"/>
      <c r="S246" s="572"/>
      <c r="T246" s="572"/>
      <c r="U246" s="572"/>
      <c r="V246" s="572"/>
      <c r="W246" s="572"/>
      <c r="X246" s="572"/>
      <c r="Y246" s="573"/>
    </row>
    <row r="247" spans="5:27" ht="15" customHeight="1">
      <c r="E247" s="570"/>
      <c r="O247" s="960">
        <v>10</v>
      </c>
      <c r="P247" s="575"/>
      <c r="Q247" s="584">
        <v>3</v>
      </c>
      <c r="R247" s="585" t="s">
        <v>1679</v>
      </c>
      <c r="S247" s="586" t="s">
        <v>2076</v>
      </c>
      <c r="T247" s="586" t="s">
        <v>2077</v>
      </c>
      <c r="U247" s="962" t="s">
        <v>52</v>
      </c>
      <c r="V247" s="586" t="s">
        <v>53</v>
      </c>
      <c r="W247" s="586" t="s">
        <v>138</v>
      </c>
      <c r="X247" s="586"/>
      <c r="Y247" s="587" t="s">
        <v>56</v>
      </c>
    </row>
    <row r="248" spans="5:27" ht="15" customHeight="1">
      <c r="E248" s="570"/>
      <c r="P248" s="575"/>
      <c r="Q248" s="570"/>
      <c r="R248" s="571"/>
      <c r="S248" s="572">
        <f>O247</f>
        <v>10</v>
      </c>
      <c r="T248" s="572">
        <f>K240</f>
        <v>8</v>
      </c>
      <c r="U248" s="963">
        <f>U242</f>
        <v>35</v>
      </c>
      <c r="V248" s="964">
        <f>V242</f>
        <v>0.81899999999999995</v>
      </c>
      <c r="W248" s="572" t="s">
        <v>23</v>
      </c>
      <c r="X248" s="572"/>
      <c r="Y248" s="583">
        <f>S248*T248/V248</f>
        <v>97.680097680097688</v>
      </c>
    </row>
    <row r="249" spans="5:27" ht="15" customHeight="1">
      <c r="E249" s="570"/>
      <c r="P249" s="575"/>
      <c r="Q249" s="570"/>
      <c r="R249" s="571"/>
      <c r="S249" s="572"/>
      <c r="T249" s="572"/>
      <c r="U249" s="572"/>
      <c r="V249" s="572"/>
      <c r="W249" s="572"/>
      <c r="X249" s="572"/>
      <c r="Y249" s="573"/>
    </row>
    <row r="250" spans="5:27" ht="15" customHeight="1">
      <c r="E250" s="570"/>
      <c r="P250" s="575"/>
      <c r="Q250" s="584">
        <v>4</v>
      </c>
      <c r="R250" s="585" t="s">
        <v>1680</v>
      </c>
      <c r="S250" s="586" t="s">
        <v>2076</v>
      </c>
      <c r="T250" s="586" t="s">
        <v>2077</v>
      </c>
      <c r="U250" s="586"/>
      <c r="V250" s="586"/>
      <c r="W250" s="586" t="s">
        <v>138</v>
      </c>
      <c r="X250" s="586"/>
      <c r="Y250" s="587" t="s">
        <v>58</v>
      </c>
    </row>
    <row r="251" spans="5:27" ht="15" customHeight="1">
      <c r="E251" s="570"/>
      <c r="P251" s="575"/>
      <c r="Q251" s="570"/>
      <c r="R251" s="571"/>
      <c r="S251" s="572">
        <f>O247</f>
        <v>10</v>
      </c>
      <c r="T251" s="572">
        <f>K240</f>
        <v>8</v>
      </c>
      <c r="U251" s="572"/>
      <c r="V251" s="588"/>
      <c r="W251" s="572" t="s">
        <v>597</v>
      </c>
      <c r="X251" s="572"/>
      <c r="Y251" s="583">
        <f>S251*T251</f>
        <v>80</v>
      </c>
    </row>
    <row r="252" spans="5:27" ht="15" customHeight="1">
      <c r="E252" s="570"/>
      <c r="P252" s="575"/>
      <c r="Q252" s="570"/>
      <c r="R252" s="571"/>
      <c r="S252" s="572"/>
      <c r="T252" s="572"/>
      <c r="U252" s="572"/>
      <c r="V252" s="588"/>
      <c r="W252" s="572"/>
      <c r="X252" s="572"/>
      <c r="Y252" s="573"/>
    </row>
    <row r="253" spans="5:27" ht="15" customHeight="1">
      <c r="E253" s="570"/>
      <c r="P253" s="575"/>
      <c r="Q253" s="584">
        <v>5</v>
      </c>
      <c r="R253" s="585" t="s">
        <v>1681</v>
      </c>
      <c r="S253" s="586" t="s">
        <v>2076</v>
      </c>
      <c r="T253" s="586" t="s">
        <v>2077</v>
      </c>
      <c r="U253" s="586"/>
      <c r="V253" s="586"/>
      <c r="W253" s="586" t="s">
        <v>138</v>
      </c>
      <c r="X253" s="586"/>
      <c r="Y253" s="587" t="s">
        <v>58</v>
      </c>
    </row>
    <row r="254" spans="5:27" ht="15" customHeight="1">
      <c r="E254" s="570"/>
      <c r="P254" s="575"/>
      <c r="Q254" s="570"/>
      <c r="R254" s="571"/>
      <c r="S254" s="572">
        <f>O247</f>
        <v>10</v>
      </c>
      <c r="T254" s="572">
        <f>K240</f>
        <v>8</v>
      </c>
      <c r="U254" s="572"/>
      <c r="V254" s="588"/>
      <c r="W254" s="572" t="s">
        <v>597</v>
      </c>
      <c r="X254" s="572"/>
      <c r="Y254" s="583">
        <f>S254*T254</f>
        <v>80</v>
      </c>
    </row>
    <row r="255" spans="5:27" ht="15" customHeight="1">
      <c r="E255" s="570"/>
      <c r="P255" s="575"/>
      <c r="Q255" s="570"/>
      <c r="R255" s="571"/>
      <c r="S255" s="572"/>
      <c r="T255" s="572"/>
      <c r="U255" s="572"/>
      <c r="V255" s="588"/>
      <c r="W255" s="572"/>
      <c r="X255" s="572"/>
      <c r="Y255" s="943"/>
    </row>
    <row r="256" spans="5:27" ht="15" customHeight="1">
      <c r="E256" s="570"/>
      <c r="F256" s="571" t="s">
        <v>2523</v>
      </c>
      <c r="J256" s="1107">
        <v>35</v>
      </c>
      <c r="K256" s="1108"/>
      <c r="P256" s="575"/>
      <c r="Q256" s="584">
        <v>6</v>
      </c>
      <c r="R256" s="585" t="s">
        <v>105</v>
      </c>
      <c r="S256" s="586" t="s">
        <v>2076</v>
      </c>
      <c r="T256" s="586" t="s">
        <v>2077</v>
      </c>
      <c r="U256" s="586"/>
      <c r="V256" s="586"/>
      <c r="W256" s="586" t="s">
        <v>138</v>
      </c>
      <c r="X256" s="586"/>
      <c r="Y256" s="587" t="s">
        <v>58</v>
      </c>
    </row>
    <row r="257" spans="5:27" ht="15" customHeight="1">
      <c r="E257" s="570"/>
      <c r="F257" s="571" t="s">
        <v>2522</v>
      </c>
      <c r="J257" s="1109">
        <v>0.81899999999999995</v>
      </c>
      <c r="K257" s="1110"/>
      <c r="P257" s="575"/>
      <c r="Q257" s="570"/>
      <c r="R257" s="571"/>
      <c r="S257" s="572">
        <f>O247</f>
        <v>10</v>
      </c>
      <c r="T257" s="572">
        <f>K240</f>
        <v>8</v>
      </c>
      <c r="U257" s="572"/>
      <c r="V257" s="588"/>
      <c r="W257" s="572" t="s">
        <v>597</v>
      </c>
      <c r="X257" s="572"/>
      <c r="Y257" s="583">
        <f>2*(S257+T257)</f>
        <v>36</v>
      </c>
    </row>
    <row r="258" spans="5:27" ht="15" customHeight="1">
      <c r="E258" s="576"/>
      <c r="F258" s="577"/>
      <c r="G258" s="577"/>
      <c r="H258" s="577"/>
      <c r="I258" s="577"/>
      <c r="J258" s="577"/>
      <c r="K258" s="577"/>
      <c r="L258" s="577"/>
      <c r="M258" s="577"/>
      <c r="N258" s="577"/>
      <c r="O258" s="577"/>
      <c r="P258" s="580"/>
      <c r="Q258" s="576"/>
      <c r="R258" s="577"/>
      <c r="S258" s="578"/>
      <c r="T258" s="578"/>
      <c r="U258" s="578"/>
      <c r="V258" s="578"/>
      <c r="W258" s="578"/>
      <c r="X258" s="578"/>
      <c r="Y258" s="579"/>
    </row>
    <row r="259" spans="5:27" ht="15" customHeight="1">
      <c r="E259" s="565"/>
      <c r="F259" s="565"/>
      <c r="G259" s="565"/>
      <c r="H259" s="565"/>
      <c r="I259" s="565"/>
      <c r="J259" s="565"/>
      <c r="K259" s="565"/>
      <c r="L259" s="565"/>
      <c r="M259" s="565"/>
      <c r="N259" s="565"/>
      <c r="O259" s="565"/>
      <c r="P259" s="565"/>
      <c r="Q259" s="566"/>
      <c r="R259" s="565"/>
      <c r="S259" s="565"/>
      <c r="T259" s="565"/>
      <c r="U259" s="565"/>
      <c r="V259" s="565"/>
      <c r="W259" s="565"/>
      <c r="X259" s="565"/>
      <c r="Y259" s="957"/>
      <c r="AA259" s="566"/>
    </row>
    <row r="260" spans="5:27" ht="15" customHeight="1">
      <c r="E260" s="567"/>
      <c r="F260" s="568"/>
      <c r="G260" s="568"/>
      <c r="H260" s="568"/>
      <c r="I260" s="568"/>
      <c r="J260" s="568"/>
      <c r="K260" s="568"/>
      <c r="L260" s="568"/>
      <c r="M260" s="568"/>
      <c r="N260" s="568"/>
      <c r="O260" s="568"/>
      <c r="P260" s="569"/>
      <c r="Q260" s="1113" t="s">
        <v>2471</v>
      </c>
      <c r="R260" s="1114"/>
      <c r="S260" s="1114"/>
      <c r="T260" s="1114"/>
      <c r="U260" s="1114"/>
      <c r="V260" s="1114"/>
      <c r="W260" s="1114"/>
      <c r="X260" s="1114"/>
      <c r="Y260" s="1115"/>
      <c r="AA260" s="566"/>
    </row>
    <row r="261" spans="5:27" ht="15" customHeight="1">
      <c r="E261" s="576"/>
      <c r="F261" s="577"/>
      <c r="G261" s="577"/>
      <c r="H261" s="577"/>
      <c r="I261" s="577"/>
      <c r="J261" s="577"/>
      <c r="K261" s="971"/>
      <c r="L261" s="577"/>
      <c r="M261" s="577"/>
      <c r="N261" s="577"/>
      <c r="O261" s="577"/>
      <c r="P261" s="580"/>
      <c r="Q261" s="1116"/>
      <c r="R261" s="1117"/>
      <c r="S261" s="1117"/>
      <c r="T261" s="1117"/>
      <c r="U261" s="1117"/>
      <c r="V261" s="1117"/>
      <c r="W261" s="1117"/>
      <c r="X261" s="1117"/>
      <c r="Y261" s="1118"/>
      <c r="AA261" s="566"/>
    </row>
    <row r="262" spans="5:27" ht="15" customHeight="1">
      <c r="E262" s="570"/>
      <c r="K262" s="958"/>
      <c r="Q262" s="584" t="s">
        <v>2474</v>
      </c>
      <c r="R262" s="585" t="s">
        <v>2468</v>
      </c>
      <c r="S262" s="586"/>
      <c r="T262" s="586"/>
      <c r="U262" s="586"/>
      <c r="V262" s="586"/>
      <c r="W262" s="586"/>
      <c r="X262" s="586"/>
      <c r="Y262" s="587"/>
      <c r="AA262" s="566"/>
    </row>
    <row r="263" spans="5:27" ht="15" customHeight="1">
      <c r="E263" s="570"/>
      <c r="G263" s="951"/>
      <c r="H263" s="955">
        <v>1.1200000000000001</v>
      </c>
      <c r="Q263" s="570"/>
      <c r="R263" s="571" t="s">
        <v>56</v>
      </c>
      <c r="S263" s="588">
        <v>4</v>
      </c>
      <c r="T263" s="572"/>
      <c r="U263" s="572"/>
      <c r="V263" s="572"/>
      <c r="W263" s="572"/>
      <c r="X263" s="572"/>
      <c r="Y263" s="573"/>
      <c r="AA263" s="566"/>
    </row>
    <row r="264" spans="5:27" ht="15" customHeight="1">
      <c r="E264" s="570"/>
      <c r="Q264" s="570"/>
      <c r="R264" s="571" t="s">
        <v>9</v>
      </c>
      <c r="S264" s="572">
        <f>O271+O271+H263</f>
        <v>5.12</v>
      </c>
      <c r="T264" s="588"/>
      <c r="U264" s="588"/>
      <c r="V264" s="588"/>
      <c r="W264" s="572"/>
      <c r="X264" s="572"/>
      <c r="Y264" s="970"/>
      <c r="AA264" s="566"/>
    </row>
    <row r="265" spans="5:27" ht="15" customHeight="1">
      <c r="E265" s="570"/>
      <c r="N265" s="571"/>
      <c r="Q265" s="570"/>
      <c r="R265" s="571" t="s">
        <v>10</v>
      </c>
      <c r="S265" s="588">
        <v>0.12</v>
      </c>
      <c r="T265" s="588"/>
      <c r="U265" s="588"/>
      <c r="V265" s="588"/>
      <c r="W265" s="572"/>
      <c r="X265" s="572"/>
      <c r="Y265" s="970"/>
      <c r="AA265" s="566"/>
    </row>
    <row r="266" spans="5:27" ht="15" customHeight="1">
      <c r="E266" s="570"/>
      <c r="N266" s="571"/>
      <c r="Q266" s="570"/>
      <c r="R266" s="571" t="s">
        <v>57</v>
      </c>
      <c r="S266" s="588">
        <v>0.05</v>
      </c>
      <c r="T266" s="588"/>
      <c r="U266" s="588"/>
      <c r="V266" s="588"/>
      <c r="W266" s="572"/>
      <c r="X266" s="572"/>
      <c r="Y266" s="970"/>
      <c r="AA266" s="566"/>
    </row>
    <row r="267" spans="5:27" ht="15" customHeight="1">
      <c r="E267" s="570"/>
      <c r="Q267" s="570"/>
      <c r="R267" s="571" t="s">
        <v>58</v>
      </c>
      <c r="S267" s="964">
        <f>(S266*S265*S263)*S264</f>
        <v>0.12288</v>
      </c>
      <c r="T267" s="976" t="s">
        <v>44</v>
      </c>
      <c r="U267" s="965"/>
      <c r="V267" s="966"/>
      <c r="W267" s="572"/>
      <c r="X267" s="572"/>
      <c r="Y267" s="943"/>
      <c r="AA267" s="566"/>
    </row>
    <row r="268" spans="5:27" ht="15" customHeight="1">
      <c r="E268" s="570"/>
      <c r="Q268" s="570"/>
      <c r="R268" s="571"/>
      <c r="S268" s="572"/>
      <c r="T268" s="572"/>
      <c r="U268" s="965"/>
      <c r="V268" s="966"/>
      <c r="W268" s="572"/>
      <c r="X268" s="572"/>
      <c r="Y268" s="943"/>
      <c r="AA268" s="566"/>
    </row>
    <row r="269" spans="5:27" ht="15" customHeight="1">
      <c r="E269" s="570"/>
      <c r="Q269" s="570"/>
      <c r="R269" s="571"/>
      <c r="S269" s="572"/>
      <c r="T269" s="572"/>
      <c r="U269" s="965"/>
      <c r="V269" s="966"/>
      <c r="W269" s="572"/>
      <c r="X269" s="572"/>
      <c r="Y269" s="943"/>
      <c r="AA269" s="566"/>
    </row>
    <row r="270" spans="5:27" ht="15" customHeight="1">
      <c r="E270" s="570"/>
      <c r="Q270" s="570"/>
      <c r="R270" s="571"/>
      <c r="S270" s="572"/>
      <c r="T270" s="572"/>
      <c r="U270" s="965"/>
      <c r="V270" s="966"/>
      <c r="W270" s="572"/>
      <c r="X270" s="572"/>
      <c r="Y270" s="943"/>
      <c r="AA270" s="566"/>
    </row>
    <row r="271" spans="5:27" ht="15" customHeight="1">
      <c r="E271" s="570"/>
      <c r="N271" s="978"/>
      <c r="O271" s="972">
        <v>2</v>
      </c>
      <c r="Q271" s="570"/>
      <c r="R271" s="571"/>
      <c r="S271" s="572"/>
      <c r="T271" s="572"/>
      <c r="U271" s="965"/>
      <c r="V271" s="966"/>
      <c r="W271" s="572"/>
      <c r="X271" s="572"/>
      <c r="Y271" s="943"/>
      <c r="AA271" s="566"/>
    </row>
    <row r="272" spans="5:27" ht="15" customHeight="1">
      <c r="E272" s="570"/>
      <c r="Q272" s="570"/>
      <c r="R272" s="571"/>
      <c r="S272" s="572"/>
      <c r="T272" s="572"/>
      <c r="U272" s="965"/>
      <c r="V272" s="966"/>
      <c r="W272" s="572"/>
      <c r="X272" s="572"/>
      <c r="Y272" s="943"/>
      <c r="AA272" s="566"/>
    </row>
    <row r="273" spans="5:27" ht="15" customHeight="1">
      <c r="E273" s="570"/>
      <c r="Q273" s="570"/>
      <c r="R273" s="571"/>
      <c r="S273" s="572"/>
      <c r="T273" s="572"/>
      <c r="U273" s="965"/>
      <c r="V273" s="966"/>
      <c r="W273" s="572"/>
      <c r="X273" s="572"/>
      <c r="Y273" s="943"/>
      <c r="AA273" s="566"/>
    </row>
    <row r="274" spans="5:27" ht="15" customHeight="1">
      <c r="E274" s="570"/>
      <c r="Q274" s="570"/>
      <c r="R274" s="571"/>
      <c r="S274" s="572"/>
      <c r="T274" s="572"/>
      <c r="U274" s="965"/>
      <c r="V274" s="966"/>
      <c r="W274" s="572"/>
      <c r="X274" s="572"/>
      <c r="Y274" s="943"/>
      <c r="AA274" s="566"/>
    </row>
    <row r="275" spans="5:27" ht="15" customHeight="1">
      <c r="E275" s="570"/>
      <c r="Q275" s="570"/>
      <c r="R275" s="571"/>
      <c r="S275" s="572"/>
      <c r="T275" s="572"/>
      <c r="U275" s="965"/>
      <c r="V275" s="966"/>
      <c r="W275" s="572"/>
      <c r="X275" s="572"/>
      <c r="Y275" s="943"/>
      <c r="AA275" s="566"/>
    </row>
    <row r="276" spans="5:27" ht="15" customHeight="1">
      <c r="E276" s="570"/>
      <c r="Q276" s="570"/>
      <c r="R276" s="571"/>
      <c r="S276" s="572"/>
      <c r="T276" s="572"/>
      <c r="U276" s="965"/>
      <c r="V276" s="966"/>
      <c r="W276" s="572"/>
      <c r="X276" s="572"/>
      <c r="Y276" s="943"/>
      <c r="AA276" s="566"/>
    </row>
    <row r="277" spans="5:27" ht="15" customHeight="1">
      <c r="E277" s="570"/>
      <c r="Q277" s="570"/>
      <c r="R277" s="571"/>
      <c r="S277" s="572"/>
      <c r="T277" s="572"/>
      <c r="U277" s="965"/>
      <c r="V277" s="966"/>
      <c r="W277" s="572"/>
      <c r="X277" s="572"/>
      <c r="Y277" s="943"/>
      <c r="AA277" s="566"/>
    </row>
    <row r="278" spans="5:27" ht="15" customHeight="1">
      <c r="E278" s="576"/>
      <c r="F278" s="577"/>
      <c r="G278" s="577"/>
      <c r="H278" s="577"/>
      <c r="I278" s="577"/>
      <c r="J278" s="577"/>
      <c r="K278" s="577"/>
      <c r="L278" s="577"/>
      <c r="M278" s="577"/>
      <c r="N278" s="577"/>
      <c r="O278" s="577"/>
      <c r="P278" s="580"/>
      <c r="Q278" s="576"/>
      <c r="R278" s="582"/>
      <c r="S278" s="578"/>
      <c r="T278" s="578"/>
      <c r="U278" s="974"/>
      <c r="V278" s="975"/>
      <c r="W278" s="578"/>
      <c r="X278" s="578"/>
      <c r="Y278" s="969"/>
      <c r="AA278" s="566"/>
    </row>
    <row r="279" spans="5:27" ht="15" customHeight="1">
      <c r="E279" s="570"/>
      <c r="K279" s="958"/>
      <c r="Q279" s="584" t="s">
        <v>2475</v>
      </c>
      <c r="R279" s="585" t="s">
        <v>2469</v>
      </c>
      <c r="S279" s="586"/>
      <c r="T279" s="586"/>
      <c r="U279" s="586"/>
      <c r="V279" s="586"/>
      <c r="W279" s="586"/>
      <c r="X279" s="586"/>
      <c r="Y279" s="587"/>
      <c r="AA279" s="566"/>
    </row>
    <row r="280" spans="5:27" ht="15" customHeight="1">
      <c r="E280" s="570"/>
      <c r="G280" s="951"/>
      <c r="H280" s="955">
        <v>1</v>
      </c>
      <c r="Q280" s="570"/>
      <c r="R280" s="571" t="s">
        <v>56</v>
      </c>
      <c r="S280" s="588">
        <v>1</v>
      </c>
      <c r="T280" s="572"/>
      <c r="U280" s="572"/>
      <c r="V280" s="572"/>
      <c r="W280" s="572"/>
      <c r="X280" s="572"/>
      <c r="Y280" s="573"/>
      <c r="AA280" s="566"/>
    </row>
    <row r="281" spans="5:27" ht="15" customHeight="1">
      <c r="E281" s="570"/>
      <c r="Q281" s="570"/>
      <c r="R281" s="571" t="s">
        <v>9</v>
      </c>
      <c r="S281" s="572">
        <f>O288+O288+H280</f>
        <v>5</v>
      </c>
      <c r="T281" s="588"/>
      <c r="U281" s="588"/>
      <c r="V281" s="588"/>
      <c r="W281" s="572"/>
      <c r="X281" s="572"/>
      <c r="Y281" s="970"/>
      <c r="AA281" s="566"/>
    </row>
    <row r="282" spans="5:27" ht="15" customHeight="1">
      <c r="E282" s="570"/>
      <c r="N282" s="571"/>
      <c r="Q282" s="570"/>
      <c r="R282" s="571" t="s">
        <v>10</v>
      </c>
      <c r="S282" s="588">
        <v>0.12</v>
      </c>
      <c r="T282" s="588"/>
      <c r="U282" s="588"/>
      <c r="V282" s="588"/>
      <c r="W282" s="572"/>
      <c r="X282" s="572"/>
      <c r="Y282" s="970"/>
      <c r="AA282" s="566"/>
    </row>
    <row r="283" spans="5:27" ht="15" customHeight="1">
      <c r="E283" s="570"/>
      <c r="N283" s="571"/>
      <c r="Q283" s="570"/>
      <c r="R283" s="571" t="s">
        <v>57</v>
      </c>
      <c r="S283" s="588">
        <v>0.05</v>
      </c>
      <c r="T283" s="588"/>
      <c r="U283" s="588"/>
      <c r="V283" s="588"/>
      <c r="W283" s="572"/>
      <c r="X283" s="572"/>
      <c r="Y283" s="970"/>
      <c r="AA283" s="566"/>
    </row>
    <row r="284" spans="5:27" ht="15" customHeight="1">
      <c r="E284" s="570"/>
      <c r="Q284" s="570"/>
      <c r="R284" s="571" t="s">
        <v>58</v>
      </c>
      <c r="S284" s="964">
        <f>(S283*S282*S280)*S281</f>
        <v>0.03</v>
      </c>
      <c r="T284" s="976" t="s">
        <v>44</v>
      </c>
      <c r="U284" s="965"/>
      <c r="V284" s="966"/>
      <c r="W284" s="572"/>
      <c r="X284" s="572"/>
      <c r="Y284" s="943"/>
      <c r="AA284" s="566"/>
    </row>
    <row r="285" spans="5:27" ht="15" customHeight="1">
      <c r="E285" s="570"/>
      <c r="Q285" s="570"/>
      <c r="R285" s="571"/>
      <c r="S285" s="572"/>
      <c r="T285" s="572"/>
      <c r="U285" s="965"/>
      <c r="V285" s="966"/>
      <c r="W285" s="572"/>
      <c r="X285" s="572"/>
      <c r="Y285" s="943"/>
      <c r="AA285" s="566"/>
    </row>
    <row r="286" spans="5:27" ht="15" customHeight="1">
      <c r="E286" s="570"/>
      <c r="Q286" s="570"/>
      <c r="R286" s="571"/>
      <c r="S286" s="572"/>
      <c r="T286" s="572"/>
      <c r="U286" s="965"/>
      <c r="V286" s="966"/>
      <c r="W286" s="572"/>
      <c r="X286" s="572"/>
      <c r="Y286" s="943"/>
      <c r="AA286" s="566"/>
    </row>
    <row r="287" spans="5:27" ht="15" customHeight="1">
      <c r="E287" s="570"/>
      <c r="Q287" s="570"/>
      <c r="R287" s="571"/>
      <c r="S287" s="572"/>
      <c r="T287" s="572"/>
      <c r="U287" s="965"/>
      <c r="V287" s="966"/>
      <c r="W287" s="572"/>
      <c r="X287" s="572"/>
      <c r="Y287" s="943"/>
      <c r="AA287" s="566"/>
    </row>
    <row r="288" spans="5:27" ht="15" customHeight="1">
      <c r="E288" s="570"/>
      <c r="N288" s="978"/>
      <c r="O288" s="972">
        <v>2</v>
      </c>
      <c r="Q288" s="570"/>
      <c r="R288" s="571"/>
      <c r="S288" s="572"/>
      <c r="T288" s="572"/>
      <c r="U288" s="965"/>
      <c r="V288" s="966"/>
      <c r="W288" s="572"/>
      <c r="X288" s="572"/>
      <c r="Y288" s="943"/>
      <c r="AA288" s="566"/>
    </row>
    <row r="289" spans="5:27" ht="15" customHeight="1">
      <c r="E289" s="570"/>
      <c r="Q289" s="570"/>
      <c r="R289" s="571"/>
      <c r="S289" s="572"/>
      <c r="T289" s="572"/>
      <c r="U289" s="965"/>
      <c r="V289" s="966"/>
      <c r="W289" s="572"/>
      <c r="X289" s="572"/>
      <c r="Y289" s="943"/>
      <c r="AA289" s="566"/>
    </row>
    <row r="290" spans="5:27" ht="15" customHeight="1">
      <c r="E290" s="570"/>
      <c r="Q290" s="570"/>
      <c r="R290" s="571"/>
      <c r="S290" s="572"/>
      <c r="T290" s="572"/>
      <c r="U290" s="965"/>
      <c r="V290" s="966"/>
      <c r="W290" s="572"/>
      <c r="X290" s="572"/>
      <c r="Y290" s="943"/>
      <c r="AA290" s="566"/>
    </row>
    <row r="291" spans="5:27" ht="15" customHeight="1">
      <c r="E291" s="570"/>
      <c r="Q291" s="570"/>
      <c r="R291" s="571"/>
      <c r="S291" s="572"/>
      <c r="T291" s="572"/>
      <c r="U291" s="965"/>
      <c r="V291" s="966"/>
      <c r="W291" s="572"/>
      <c r="X291" s="572"/>
      <c r="Y291" s="943"/>
      <c r="AA291" s="566"/>
    </row>
    <row r="292" spans="5:27" ht="15" customHeight="1">
      <c r="E292" s="570"/>
      <c r="Q292" s="570"/>
      <c r="R292" s="571"/>
      <c r="S292" s="572"/>
      <c r="T292" s="572"/>
      <c r="U292" s="965"/>
      <c r="V292" s="966"/>
      <c r="W292" s="572"/>
      <c r="X292" s="572"/>
      <c r="Y292" s="943"/>
      <c r="AA292" s="566"/>
    </row>
    <row r="293" spans="5:27" ht="15" customHeight="1">
      <c r="E293" s="570"/>
      <c r="Q293" s="570"/>
      <c r="R293" s="571"/>
      <c r="S293" s="572"/>
      <c r="T293" s="572"/>
      <c r="U293" s="965"/>
      <c r="V293" s="966"/>
      <c r="W293" s="572"/>
      <c r="X293" s="572"/>
      <c r="Y293" s="943"/>
      <c r="AA293" s="566"/>
    </row>
    <row r="294" spans="5:27" ht="15" customHeight="1">
      <c r="E294" s="570"/>
      <c r="Q294" s="570"/>
      <c r="R294" s="571"/>
      <c r="S294" s="572"/>
      <c r="T294" s="572"/>
      <c r="U294" s="965"/>
      <c r="V294" s="966"/>
      <c r="W294" s="572"/>
      <c r="X294" s="572"/>
      <c r="Y294" s="943"/>
      <c r="AA294" s="566"/>
    </row>
    <row r="295" spans="5:27" ht="15" customHeight="1">
      <c r="E295" s="576"/>
      <c r="F295" s="577"/>
      <c r="G295" s="577"/>
      <c r="H295" s="577"/>
      <c r="I295" s="577"/>
      <c r="J295" s="577"/>
      <c r="K295" s="577"/>
      <c r="L295" s="577"/>
      <c r="M295" s="577"/>
      <c r="N295" s="577"/>
      <c r="O295" s="577"/>
      <c r="P295" s="580"/>
      <c r="Q295" s="576"/>
      <c r="R295" s="582"/>
      <c r="S295" s="578"/>
      <c r="T295" s="578"/>
      <c r="U295" s="974"/>
      <c r="V295" s="975"/>
      <c r="W295" s="578"/>
      <c r="X295" s="578"/>
      <c r="Y295" s="969"/>
      <c r="AA295" s="566"/>
    </row>
    <row r="296" spans="5:27" ht="15" customHeight="1">
      <c r="E296" s="570"/>
      <c r="K296" s="958"/>
      <c r="Q296" s="584" t="s">
        <v>2476</v>
      </c>
      <c r="R296" s="585" t="s">
        <v>2472</v>
      </c>
      <c r="S296" s="586"/>
      <c r="T296" s="586"/>
      <c r="U296" s="586"/>
      <c r="V296" s="586"/>
      <c r="W296" s="586"/>
      <c r="X296" s="586"/>
      <c r="Y296" s="587"/>
      <c r="AA296" s="566"/>
    </row>
    <row r="297" spans="5:27" ht="15" customHeight="1">
      <c r="E297" s="570"/>
      <c r="G297" s="977"/>
      <c r="H297" s="955">
        <v>0.9</v>
      </c>
      <c r="Q297" s="570"/>
      <c r="R297" s="571" t="s">
        <v>56</v>
      </c>
      <c r="S297" s="588">
        <v>2</v>
      </c>
      <c r="T297" s="572"/>
      <c r="U297" s="572"/>
      <c r="V297" s="572"/>
      <c r="W297" s="572"/>
      <c r="X297" s="572"/>
      <c r="Y297" s="573"/>
      <c r="AA297" s="566"/>
    </row>
    <row r="298" spans="5:27" ht="15" customHeight="1">
      <c r="E298" s="570"/>
      <c r="Q298" s="570"/>
      <c r="R298" s="571" t="s">
        <v>9</v>
      </c>
      <c r="S298" s="572">
        <f>(H297*3)+(O303*2)</f>
        <v>4.3000000000000007</v>
      </c>
      <c r="T298" s="588"/>
      <c r="U298" s="588"/>
      <c r="V298" s="588"/>
      <c r="W298" s="572"/>
      <c r="X298" s="572"/>
      <c r="Y298" s="970"/>
      <c r="AA298" s="566"/>
    </row>
    <row r="299" spans="5:27" ht="15" customHeight="1">
      <c r="E299" s="570"/>
      <c r="N299" s="571"/>
      <c r="Q299" s="570"/>
      <c r="R299" s="571" t="s">
        <v>10</v>
      </c>
      <c r="S299" s="588">
        <v>0.12</v>
      </c>
      <c r="T299" s="588"/>
      <c r="U299" s="588"/>
      <c r="V299" s="588"/>
      <c r="W299" s="572"/>
      <c r="X299" s="572"/>
      <c r="Y299" s="970"/>
      <c r="AA299" s="566"/>
    </row>
    <row r="300" spans="5:27" ht="15" customHeight="1">
      <c r="E300" s="570"/>
      <c r="N300" s="571"/>
      <c r="Q300" s="570"/>
      <c r="R300" s="571" t="s">
        <v>57</v>
      </c>
      <c r="S300" s="588">
        <v>0.05</v>
      </c>
      <c r="T300" s="588"/>
      <c r="U300" s="588"/>
      <c r="V300" s="588"/>
      <c r="W300" s="572"/>
      <c r="X300" s="572"/>
      <c r="Y300" s="970"/>
      <c r="AA300" s="566"/>
    </row>
    <row r="301" spans="5:27" ht="15" customHeight="1">
      <c r="E301" s="570"/>
      <c r="Q301" s="570"/>
      <c r="R301" s="571" t="s">
        <v>58</v>
      </c>
      <c r="S301" s="964">
        <f>(S300*S299*S297)*S298</f>
        <v>5.1600000000000007E-2</v>
      </c>
      <c r="T301" s="976" t="s">
        <v>44</v>
      </c>
      <c r="U301" s="965"/>
      <c r="V301" s="966"/>
      <c r="W301" s="572"/>
      <c r="X301" s="572"/>
      <c r="Y301" s="943"/>
      <c r="AA301" s="566"/>
    </row>
    <row r="302" spans="5:27" ht="15" customHeight="1">
      <c r="E302" s="570"/>
      <c r="Q302" s="570"/>
      <c r="R302" s="571"/>
      <c r="S302" s="572"/>
      <c r="T302" s="572"/>
      <c r="U302" s="965"/>
      <c r="V302" s="966"/>
      <c r="W302" s="572"/>
      <c r="X302" s="572"/>
      <c r="Y302" s="943"/>
      <c r="AA302" s="566"/>
    </row>
    <row r="303" spans="5:27" ht="15" customHeight="1">
      <c r="E303" s="570"/>
      <c r="O303" s="955">
        <v>0.8</v>
      </c>
      <c r="Q303" s="570"/>
      <c r="R303" s="571"/>
      <c r="S303" s="572"/>
      <c r="T303" s="572"/>
      <c r="U303" s="965"/>
      <c r="V303" s="966"/>
      <c r="W303" s="572"/>
      <c r="X303" s="572"/>
      <c r="Y303" s="943"/>
      <c r="AA303" s="566"/>
    </row>
    <row r="304" spans="5:27" ht="15" customHeight="1">
      <c r="E304" s="570"/>
      <c r="Q304" s="570"/>
      <c r="R304" s="571"/>
      <c r="S304" s="572"/>
      <c r="T304" s="572"/>
      <c r="U304" s="965"/>
      <c r="V304" s="966"/>
      <c r="W304" s="572"/>
      <c r="X304" s="572"/>
      <c r="Y304" s="943"/>
      <c r="AA304" s="566"/>
    </row>
    <row r="305" spans="5:27" ht="15" customHeight="1">
      <c r="E305" s="570"/>
      <c r="N305" s="978"/>
      <c r="Q305" s="570"/>
      <c r="R305" s="571"/>
      <c r="S305" s="572"/>
      <c r="T305" s="572"/>
      <c r="U305" s="965"/>
      <c r="V305" s="966"/>
      <c r="W305" s="572"/>
      <c r="X305" s="572"/>
      <c r="Y305" s="943"/>
      <c r="AA305" s="566"/>
    </row>
    <row r="306" spans="5:27" ht="15" customHeight="1">
      <c r="E306" s="570"/>
      <c r="Q306" s="570"/>
      <c r="R306" s="571"/>
      <c r="S306" s="572"/>
      <c r="T306" s="572"/>
      <c r="U306" s="965"/>
      <c r="V306" s="966"/>
      <c r="W306" s="572"/>
      <c r="X306" s="572"/>
      <c r="Y306" s="943"/>
      <c r="AA306" s="566"/>
    </row>
    <row r="307" spans="5:27" ht="15" customHeight="1">
      <c r="E307" s="570"/>
      <c r="Q307" s="570"/>
      <c r="R307" s="571"/>
      <c r="S307" s="572"/>
      <c r="T307" s="572"/>
      <c r="U307" s="965"/>
      <c r="V307" s="966"/>
      <c r="W307" s="572"/>
      <c r="X307" s="572"/>
      <c r="Y307" s="943"/>
      <c r="AA307" s="566"/>
    </row>
    <row r="308" spans="5:27" ht="15" customHeight="1">
      <c r="E308" s="576"/>
      <c r="F308" s="577"/>
      <c r="G308" s="577"/>
      <c r="H308" s="577"/>
      <c r="I308" s="577"/>
      <c r="J308" s="577"/>
      <c r="K308" s="577"/>
      <c r="L308" s="577"/>
      <c r="M308" s="577"/>
      <c r="N308" s="577"/>
      <c r="O308" s="577"/>
      <c r="P308" s="580"/>
      <c r="Q308" s="576"/>
      <c r="R308" s="582"/>
      <c r="S308" s="578"/>
      <c r="T308" s="578"/>
      <c r="U308" s="974"/>
      <c r="V308" s="975"/>
      <c r="W308" s="578"/>
      <c r="X308" s="578"/>
      <c r="Y308" s="969"/>
      <c r="AA308" s="566"/>
    </row>
    <row r="309" spans="5:27" ht="15" customHeight="1">
      <c r="E309" s="570"/>
      <c r="K309" s="958"/>
      <c r="Q309" s="584" t="s">
        <v>2477</v>
      </c>
      <c r="R309" s="585" t="s">
        <v>2473</v>
      </c>
      <c r="S309" s="586"/>
      <c r="T309" s="586"/>
      <c r="U309" s="586"/>
      <c r="V309" s="586"/>
      <c r="W309" s="586"/>
      <c r="X309" s="586"/>
      <c r="Y309" s="587"/>
      <c r="AA309" s="566"/>
    </row>
    <row r="310" spans="5:27" ht="15" customHeight="1">
      <c r="E310" s="570"/>
      <c r="G310" s="977"/>
      <c r="H310" s="955">
        <v>1.28</v>
      </c>
      <c r="Q310" s="570"/>
      <c r="R310" s="571" t="s">
        <v>56</v>
      </c>
      <c r="S310" s="588">
        <v>1</v>
      </c>
      <c r="T310" s="572"/>
      <c r="U310" s="572"/>
      <c r="V310" s="572"/>
      <c r="W310" s="572"/>
      <c r="X310" s="572"/>
      <c r="Y310" s="573"/>
      <c r="AA310" s="566"/>
    </row>
    <row r="311" spans="5:27" ht="15" customHeight="1">
      <c r="E311" s="570"/>
      <c r="Q311" s="570"/>
      <c r="R311" s="571" t="s">
        <v>9</v>
      </c>
      <c r="S311" s="572">
        <f>(H310*2)+(O315*3)+(0.5*2)</f>
        <v>5.9600000000000009</v>
      </c>
      <c r="T311" s="588"/>
      <c r="U311" s="588"/>
      <c r="V311" s="588"/>
      <c r="W311" s="572"/>
      <c r="X311" s="572"/>
      <c r="Y311" s="970"/>
      <c r="AA311" s="566"/>
    </row>
    <row r="312" spans="5:27" ht="15" customHeight="1">
      <c r="E312" s="570"/>
      <c r="N312" s="571"/>
      <c r="Q312" s="570"/>
      <c r="R312" s="571" t="s">
        <v>10</v>
      </c>
      <c r="S312" s="588">
        <v>0.12</v>
      </c>
      <c r="T312" s="588"/>
      <c r="U312" s="588"/>
      <c r="V312" s="588"/>
      <c r="W312" s="572"/>
      <c r="X312" s="572"/>
      <c r="Y312" s="970"/>
      <c r="AA312" s="566"/>
    </row>
    <row r="313" spans="5:27" ht="15" customHeight="1">
      <c r="E313" s="570"/>
      <c r="N313" s="571"/>
      <c r="Q313" s="570"/>
      <c r="R313" s="571" t="s">
        <v>57</v>
      </c>
      <c r="S313" s="588">
        <v>0.05</v>
      </c>
      <c r="T313" s="588"/>
      <c r="U313" s="588"/>
      <c r="V313" s="588"/>
      <c r="W313" s="572"/>
      <c r="X313" s="572"/>
      <c r="Y313" s="970"/>
      <c r="AA313" s="566"/>
    </row>
    <row r="314" spans="5:27" ht="15" customHeight="1">
      <c r="E314" s="570"/>
      <c r="Q314" s="570"/>
      <c r="R314" s="571" t="s">
        <v>58</v>
      </c>
      <c r="S314" s="964">
        <f>(S313*S312*S310)*S311</f>
        <v>3.5760000000000007E-2</v>
      </c>
      <c r="T314" s="976" t="s">
        <v>44</v>
      </c>
      <c r="U314" s="965"/>
      <c r="V314" s="966"/>
      <c r="W314" s="572"/>
      <c r="X314" s="572"/>
      <c r="Y314" s="943"/>
      <c r="AA314" s="566"/>
    </row>
    <row r="315" spans="5:27" ht="15" customHeight="1">
      <c r="E315" s="570"/>
      <c r="O315" s="955">
        <v>0.8</v>
      </c>
      <c r="Q315" s="570"/>
      <c r="R315" s="571"/>
      <c r="S315" s="572"/>
      <c r="T315" s="572"/>
      <c r="U315" s="965"/>
      <c r="V315" s="966"/>
      <c r="W315" s="572"/>
      <c r="X315" s="572"/>
      <c r="Y315" s="943"/>
      <c r="AA315" s="566"/>
    </row>
    <row r="316" spans="5:27" ht="15" customHeight="1">
      <c r="E316" s="570"/>
      <c r="O316" s="951"/>
      <c r="Q316" s="570"/>
      <c r="R316" s="571"/>
      <c r="S316" s="572"/>
      <c r="T316" s="572"/>
      <c r="U316" s="965"/>
      <c r="V316" s="966"/>
      <c r="W316" s="572"/>
      <c r="X316" s="572"/>
      <c r="Y316" s="943"/>
      <c r="AA316" s="566"/>
    </row>
    <row r="317" spans="5:27" ht="15" customHeight="1">
      <c r="E317" s="570"/>
      <c r="Q317" s="570"/>
      <c r="R317" s="571"/>
      <c r="S317" s="572"/>
      <c r="T317" s="572"/>
      <c r="U317" s="965"/>
      <c r="V317" s="966"/>
      <c r="W317" s="572"/>
      <c r="X317" s="572"/>
      <c r="Y317" s="943"/>
      <c r="AA317" s="566"/>
    </row>
    <row r="318" spans="5:27" ht="15" customHeight="1">
      <c r="E318" s="570"/>
      <c r="N318" s="978"/>
      <c r="Q318" s="570"/>
      <c r="R318" s="571"/>
      <c r="S318" s="572"/>
      <c r="T318" s="572"/>
      <c r="U318" s="965"/>
      <c r="V318" s="966"/>
      <c r="W318" s="572"/>
      <c r="X318" s="572"/>
      <c r="Y318" s="943"/>
      <c r="AA318" s="566"/>
    </row>
    <row r="319" spans="5:27" ht="15" customHeight="1">
      <c r="E319" s="570"/>
      <c r="Q319" s="570"/>
      <c r="R319" s="571"/>
      <c r="S319" s="572"/>
      <c r="T319" s="572"/>
      <c r="U319" s="965"/>
      <c r="V319" s="966"/>
      <c r="W319" s="572"/>
      <c r="X319" s="572"/>
      <c r="Y319" s="943"/>
      <c r="AA319" s="566"/>
    </row>
    <row r="320" spans="5:27" ht="15" customHeight="1">
      <c r="E320" s="570"/>
      <c r="Q320" s="570"/>
      <c r="R320" s="571"/>
      <c r="S320" s="572"/>
      <c r="T320" s="572"/>
      <c r="U320" s="965"/>
      <c r="V320" s="966"/>
      <c r="W320" s="572"/>
      <c r="X320" s="572"/>
      <c r="Y320" s="943"/>
      <c r="AA320" s="566"/>
    </row>
    <row r="321" spans="5:27" ht="15" customHeight="1">
      <c r="E321" s="570"/>
      <c r="Q321" s="570"/>
      <c r="R321" s="571"/>
      <c r="S321" s="572"/>
      <c r="T321" s="572"/>
      <c r="U321" s="965"/>
      <c r="V321" s="966"/>
      <c r="W321" s="572"/>
      <c r="X321" s="572"/>
      <c r="Y321" s="943"/>
      <c r="AA321" s="566"/>
    </row>
    <row r="322" spans="5:27" ht="15" customHeight="1">
      <c r="E322" s="570"/>
      <c r="Q322" s="570"/>
      <c r="R322" s="571"/>
      <c r="S322" s="572"/>
      <c r="T322" s="572"/>
      <c r="U322" s="965"/>
      <c r="V322" s="966"/>
      <c r="W322" s="572"/>
      <c r="X322" s="572"/>
      <c r="Y322" s="943"/>
      <c r="AA322" s="566"/>
    </row>
    <row r="323" spans="5:27" ht="15" customHeight="1">
      <c r="E323" s="576"/>
      <c r="F323" s="577"/>
      <c r="G323" s="577"/>
      <c r="H323" s="577"/>
      <c r="I323" s="577"/>
      <c r="J323" s="577"/>
      <c r="K323" s="577"/>
      <c r="L323" s="577"/>
      <c r="M323" s="577"/>
      <c r="N323" s="577"/>
      <c r="O323" s="577"/>
      <c r="P323" s="580"/>
      <c r="Q323" s="576"/>
      <c r="R323" s="582"/>
      <c r="S323" s="578"/>
      <c r="T323" s="578"/>
      <c r="U323" s="974"/>
      <c r="V323" s="975"/>
      <c r="W323" s="578"/>
      <c r="X323" s="578"/>
      <c r="Y323" s="969"/>
      <c r="AA323" s="566"/>
    </row>
    <row r="324" spans="5:27" ht="15" customHeight="1">
      <c r="E324" s="570"/>
      <c r="K324" s="958"/>
      <c r="Q324" s="973" t="s">
        <v>2478</v>
      </c>
      <c r="R324" s="585" t="s">
        <v>59</v>
      </c>
      <c r="S324" s="586"/>
      <c r="T324" s="586"/>
      <c r="U324" s="586"/>
      <c r="V324" s="586"/>
      <c r="W324" s="586"/>
      <c r="X324" s="586"/>
      <c r="Y324" s="587"/>
      <c r="AA324" s="566"/>
    </row>
    <row r="325" spans="5:27" ht="15" customHeight="1">
      <c r="E325" s="570"/>
      <c r="G325" s="977"/>
      <c r="H325" s="951"/>
      <c r="J325" s="955">
        <v>0.9</v>
      </c>
      <c r="Q325" s="570"/>
      <c r="R325" s="571" t="s">
        <v>56</v>
      </c>
      <c r="S325" s="588">
        <v>4</v>
      </c>
      <c r="T325" s="572"/>
      <c r="U325" s="572"/>
      <c r="V325" s="572"/>
      <c r="W325" s="572"/>
      <c r="X325" s="572"/>
      <c r="Y325" s="573"/>
      <c r="AA325" s="566"/>
    </row>
    <row r="326" spans="5:27" ht="15" customHeight="1">
      <c r="E326" s="570"/>
      <c r="Q326" s="570"/>
      <c r="R326" s="571" t="s">
        <v>9</v>
      </c>
      <c r="S326" s="572">
        <f>(J325*2)+(O329*4)</f>
        <v>2.4</v>
      </c>
      <c r="T326" s="588"/>
      <c r="U326" s="588"/>
      <c r="V326" s="588"/>
      <c r="W326" s="572"/>
      <c r="X326" s="572"/>
      <c r="Y326" s="970"/>
      <c r="AA326" s="566"/>
    </row>
    <row r="327" spans="5:27" ht="15" customHeight="1">
      <c r="E327" s="570"/>
      <c r="N327" s="571"/>
      <c r="Q327" s="570"/>
      <c r="R327" s="571" t="s">
        <v>10</v>
      </c>
      <c r="S327" s="588">
        <v>0.12</v>
      </c>
      <c r="T327" s="588"/>
      <c r="U327" s="588"/>
      <c r="V327" s="588"/>
      <c r="W327" s="572"/>
      <c r="X327" s="572"/>
      <c r="Y327" s="970"/>
      <c r="AA327" s="566"/>
    </row>
    <row r="328" spans="5:27" ht="15" customHeight="1">
      <c r="E328" s="570"/>
      <c r="N328" s="571"/>
      <c r="O328" s="951"/>
      <c r="Q328" s="570"/>
      <c r="R328" s="571" t="s">
        <v>57</v>
      </c>
      <c r="S328" s="588">
        <v>0.05</v>
      </c>
      <c r="T328" s="588"/>
      <c r="U328" s="588"/>
      <c r="V328" s="588"/>
      <c r="W328" s="572"/>
      <c r="X328" s="572"/>
      <c r="Y328" s="970"/>
      <c r="AA328" s="566"/>
    </row>
    <row r="329" spans="5:27" ht="15" customHeight="1">
      <c r="E329" s="570"/>
      <c r="O329" s="955">
        <v>0.15</v>
      </c>
      <c r="Q329" s="570"/>
      <c r="R329" s="571" t="s">
        <v>58</v>
      </c>
      <c r="S329" s="964">
        <f>(S328*S327*S326)*S325</f>
        <v>5.7599999999999998E-2</v>
      </c>
      <c r="T329" s="976" t="s">
        <v>44</v>
      </c>
      <c r="U329" s="965"/>
      <c r="V329" s="966"/>
      <c r="W329" s="572"/>
      <c r="X329" s="572"/>
      <c r="Y329" s="943"/>
      <c r="AA329" s="566"/>
    </row>
    <row r="330" spans="5:27" ht="15" customHeight="1">
      <c r="E330" s="570"/>
      <c r="O330" s="951"/>
      <c r="Q330" s="570"/>
      <c r="R330" s="571"/>
      <c r="S330" s="572"/>
      <c r="T330" s="572"/>
      <c r="U330" s="965"/>
      <c r="V330" s="966"/>
      <c r="W330" s="572"/>
      <c r="X330" s="572"/>
      <c r="Y330" s="943"/>
      <c r="AA330" s="566"/>
    </row>
    <row r="331" spans="5:27" ht="15" customHeight="1">
      <c r="E331" s="570"/>
      <c r="O331" s="951"/>
      <c r="Q331" s="570"/>
      <c r="R331" s="571"/>
      <c r="S331" s="572"/>
      <c r="T331" s="572"/>
      <c r="U331" s="965"/>
      <c r="V331" s="966"/>
      <c r="W331" s="572"/>
      <c r="X331" s="572"/>
      <c r="Y331" s="943"/>
      <c r="AA331" s="566"/>
    </row>
    <row r="332" spans="5:27" ht="15" customHeight="1">
      <c r="E332" s="570"/>
      <c r="Q332" s="570"/>
      <c r="R332" s="571"/>
      <c r="S332" s="572"/>
      <c r="T332" s="572"/>
      <c r="U332" s="965"/>
      <c r="V332" s="966"/>
      <c r="W332" s="572"/>
      <c r="X332" s="572"/>
      <c r="Y332" s="943"/>
      <c r="AA332" s="566"/>
    </row>
    <row r="333" spans="5:27" ht="15" customHeight="1">
      <c r="E333" s="570"/>
      <c r="N333" s="978"/>
      <c r="Q333" s="570"/>
      <c r="R333" s="571"/>
      <c r="S333" s="572"/>
      <c r="T333" s="572"/>
      <c r="U333" s="965"/>
      <c r="V333" s="966"/>
      <c r="W333" s="572"/>
      <c r="X333" s="572"/>
      <c r="Y333" s="943"/>
      <c r="AA333" s="566"/>
    </row>
    <row r="334" spans="5:27" ht="15" customHeight="1">
      <c r="E334" s="576"/>
      <c r="F334" s="577"/>
      <c r="G334" s="577"/>
      <c r="H334" s="577"/>
      <c r="I334" s="577"/>
      <c r="J334" s="577"/>
      <c r="K334" s="577"/>
      <c r="L334" s="577"/>
      <c r="M334" s="577"/>
      <c r="N334" s="577"/>
      <c r="O334" s="577"/>
      <c r="P334" s="580"/>
      <c r="Q334" s="576"/>
      <c r="R334" s="582"/>
      <c r="S334" s="578"/>
      <c r="T334" s="578"/>
      <c r="U334" s="974"/>
      <c r="V334" s="975"/>
      <c r="W334" s="578"/>
      <c r="X334" s="578"/>
      <c r="Y334" s="969"/>
      <c r="AA334" s="566"/>
    </row>
    <row r="335" spans="5:27" ht="15" customHeight="1">
      <c r="E335" s="570"/>
      <c r="K335" s="958"/>
      <c r="Q335" s="973" t="s">
        <v>2479</v>
      </c>
      <c r="R335" s="585" t="s">
        <v>60</v>
      </c>
      <c r="S335" s="586"/>
      <c r="T335" s="586"/>
      <c r="U335" s="586"/>
      <c r="V335" s="586"/>
      <c r="W335" s="586"/>
      <c r="X335" s="586"/>
      <c r="Y335" s="587"/>
      <c r="AA335" s="566"/>
    </row>
    <row r="336" spans="5:27" ht="15" customHeight="1">
      <c r="E336" s="570"/>
      <c r="G336" s="977"/>
      <c r="H336" s="951"/>
      <c r="J336" s="955">
        <v>0.7</v>
      </c>
      <c r="Q336" s="570"/>
      <c r="R336" s="571" t="s">
        <v>56</v>
      </c>
      <c r="S336" s="588">
        <v>3</v>
      </c>
      <c r="T336" s="572"/>
      <c r="U336" s="572"/>
      <c r="V336" s="572"/>
      <c r="W336" s="572"/>
      <c r="X336" s="572"/>
      <c r="Y336" s="573"/>
      <c r="AA336" s="566"/>
    </row>
    <row r="337" spans="5:27" ht="15" customHeight="1">
      <c r="E337" s="570"/>
      <c r="Q337" s="570"/>
      <c r="R337" s="571" t="s">
        <v>9</v>
      </c>
      <c r="S337" s="572">
        <f>(J336*2)+(O340*4)</f>
        <v>2</v>
      </c>
      <c r="T337" s="588"/>
      <c r="U337" s="588"/>
      <c r="V337" s="588"/>
      <c r="W337" s="572"/>
      <c r="X337" s="572"/>
      <c r="Y337" s="970"/>
      <c r="AA337" s="566"/>
    </row>
    <row r="338" spans="5:27" ht="15" customHeight="1">
      <c r="E338" s="570"/>
      <c r="N338" s="571"/>
      <c r="Q338" s="570"/>
      <c r="R338" s="571" t="s">
        <v>10</v>
      </c>
      <c r="S338" s="588">
        <v>0.12</v>
      </c>
      <c r="T338" s="588"/>
      <c r="U338" s="588"/>
      <c r="V338" s="588"/>
      <c r="W338" s="572"/>
      <c r="X338" s="572"/>
      <c r="Y338" s="970"/>
      <c r="AA338" s="566"/>
    </row>
    <row r="339" spans="5:27" ht="15" customHeight="1">
      <c r="E339" s="570"/>
      <c r="N339" s="571"/>
      <c r="O339" s="951"/>
      <c r="Q339" s="570"/>
      <c r="R339" s="571" t="s">
        <v>57</v>
      </c>
      <c r="S339" s="588">
        <v>0.05</v>
      </c>
      <c r="T339" s="588"/>
      <c r="U339" s="588"/>
      <c r="V339" s="588"/>
      <c r="W339" s="572"/>
      <c r="X339" s="572"/>
      <c r="Y339" s="970"/>
      <c r="AA339" s="566"/>
    </row>
    <row r="340" spans="5:27" ht="15" customHeight="1">
      <c r="E340" s="570"/>
      <c r="O340" s="955">
        <v>0.15</v>
      </c>
      <c r="Q340" s="570"/>
      <c r="R340" s="571" t="s">
        <v>58</v>
      </c>
      <c r="S340" s="964">
        <f>(S339*S338*S337)*S336</f>
        <v>3.6000000000000004E-2</v>
      </c>
      <c r="T340" s="976" t="s">
        <v>44</v>
      </c>
      <c r="U340" s="965"/>
      <c r="V340" s="966"/>
      <c r="W340" s="572"/>
      <c r="X340" s="572"/>
      <c r="Y340" s="943"/>
      <c r="AA340" s="566"/>
    </row>
    <row r="341" spans="5:27" ht="15" customHeight="1">
      <c r="E341" s="570"/>
      <c r="O341" s="951"/>
      <c r="Q341" s="570"/>
      <c r="R341" s="571"/>
      <c r="S341" s="572"/>
      <c r="T341" s="572"/>
      <c r="U341" s="965"/>
      <c r="V341" s="966"/>
      <c r="W341" s="572"/>
      <c r="X341" s="572"/>
      <c r="Y341" s="943"/>
      <c r="AA341" s="566"/>
    </row>
    <row r="342" spans="5:27" ht="15" customHeight="1">
      <c r="E342" s="570"/>
      <c r="O342" s="951"/>
      <c r="Q342" s="570"/>
      <c r="R342" s="571"/>
      <c r="S342" s="572"/>
      <c r="T342" s="572"/>
      <c r="U342" s="965"/>
      <c r="V342" s="966"/>
      <c r="W342" s="572"/>
      <c r="X342" s="572"/>
      <c r="Y342" s="943"/>
      <c r="AA342" s="566"/>
    </row>
    <row r="343" spans="5:27" ht="15" customHeight="1">
      <c r="E343" s="570"/>
      <c r="Q343" s="570"/>
      <c r="R343" s="571"/>
      <c r="S343" s="572"/>
      <c r="T343" s="572"/>
      <c r="U343" s="965"/>
      <c r="V343" s="966"/>
      <c r="W343" s="572"/>
      <c r="X343" s="572"/>
      <c r="Y343" s="943"/>
      <c r="AA343" s="566"/>
    </row>
    <row r="344" spans="5:27" ht="15" customHeight="1">
      <c r="E344" s="570"/>
      <c r="N344" s="978"/>
      <c r="Q344" s="570"/>
      <c r="R344" s="571"/>
      <c r="S344" s="572"/>
      <c r="T344" s="572"/>
      <c r="U344" s="965"/>
      <c r="V344" s="966"/>
      <c r="W344" s="572"/>
      <c r="X344" s="572"/>
      <c r="Y344" s="943"/>
      <c r="AA344" s="566"/>
    </row>
    <row r="345" spans="5:27" ht="15" customHeight="1">
      <c r="E345" s="576"/>
      <c r="F345" s="577"/>
      <c r="G345" s="577"/>
      <c r="H345" s="577"/>
      <c r="I345" s="577"/>
      <c r="J345" s="577"/>
      <c r="K345" s="577"/>
      <c r="L345" s="577"/>
      <c r="M345" s="577"/>
      <c r="N345" s="577"/>
      <c r="O345" s="577"/>
      <c r="P345" s="580"/>
      <c r="Q345" s="576"/>
      <c r="R345" s="582"/>
      <c r="S345" s="578"/>
      <c r="T345" s="578"/>
      <c r="U345" s="974"/>
      <c r="V345" s="975"/>
      <c r="W345" s="578"/>
      <c r="X345" s="578"/>
      <c r="Y345" s="969"/>
      <c r="AA345" s="566"/>
    </row>
    <row r="346" spans="5:27" ht="15" customHeight="1">
      <c r="E346" s="570"/>
      <c r="K346" s="958"/>
      <c r="Q346" s="973" t="s">
        <v>2480</v>
      </c>
      <c r="R346" s="585" t="s">
        <v>60</v>
      </c>
      <c r="S346" s="586"/>
      <c r="T346" s="586"/>
      <c r="U346" s="586"/>
      <c r="V346" s="586"/>
      <c r="W346" s="586"/>
      <c r="X346" s="586"/>
      <c r="Y346" s="587"/>
      <c r="AA346" s="566"/>
    </row>
    <row r="347" spans="5:27" ht="15" customHeight="1">
      <c r="E347" s="570"/>
      <c r="G347" s="977"/>
      <c r="H347" s="951"/>
      <c r="J347" s="955">
        <v>1.08</v>
      </c>
      <c r="Q347" s="570"/>
      <c r="R347" s="571" t="s">
        <v>56</v>
      </c>
      <c r="S347" s="588">
        <v>1</v>
      </c>
      <c r="T347" s="572"/>
      <c r="U347" s="572"/>
      <c r="V347" s="572"/>
      <c r="W347" s="572"/>
      <c r="X347" s="572"/>
      <c r="Y347" s="573"/>
      <c r="AA347" s="566"/>
    </row>
    <row r="348" spans="5:27" ht="15" customHeight="1">
      <c r="E348" s="570"/>
      <c r="Q348" s="570"/>
      <c r="R348" s="571" t="s">
        <v>9</v>
      </c>
      <c r="S348" s="572">
        <f>(J347*2)+(O351*4)</f>
        <v>2.7600000000000002</v>
      </c>
      <c r="T348" s="588"/>
      <c r="U348" s="588"/>
      <c r="V348" s="588"/>
      <c r="W348" s="572"/>
      <c r="X348" s="572"/>
      <c r="Y348" s="970"/>
      <c r="AA348" s="566"/>
    </row>
    <row r="349" spans="5:27" ht="15" customHeight="1">
      <c r="E349" s="570"/>
      <c r="N349" s="571"/>
      <c r="Q349" s="570"/>
      <c r="R349" s="571" t="s">
        <v>10</v>
      </c>
      <c r="S349" s="588">
        <v>0.12</v>
      </c>
      <c r="T349" s="588"/>
      <c r="U349" s="588"/>
      <c r="V349" s="588"/>
      <c r="W349" s="572"/>
      <c r="X349" s="572"/>
      <c r="Y349" s="970"/>
      <c r="AA349" s="566"/>
    </row>
    <row r="350" spans="5:27" ht="15" customHeight="1">
      <c r="E350" s="570"/>
      <c r="N350" s="571"/>
      <c r="O350" s="951"/>
      <c r="Q350" s="570"/>
      <c r="R350" s="571" t="s">
        <v>57</v>
      </c>
      <c r="S350" s="588">
        <v>0.05</v>
      </c>
      <c r="T350" s="588"/>
      <c r="U350" s="588"/>
      <c r="V350" s="588"/>
      <c r="W350" s="572"/>
      <c r="X350" s="572"/>
      <c r="Y350" s="970"/>
      <c r="AA350" s="566"/>
    </row>
    <row r="351" spans="5:27" ht="15" customHeight="1">
      <c r="E351" s="570"/>
      <c r="O351" s="955">
        <v>0.15</v>
      </c>
      <c r="Q351" s="570"/>
      <c r="R351" s="571" t="s">
        <v>58</v>
      </c>
      <c r="S351" s="964">
        <f>(S350*S349*S348)*S347</f>
        <v>1.6560000000000002E-2</v>
      </c>
      <c r="T351" s="976" t="s">
        <v>44</v>
      </c>
      <c r="U351" s="965"/>
      <c r="V351" s="966"/>
      <c r="W351" s="572"/>
      <c r="X351" s="572"/>
      <c r="Y351" s="943"/>
      <c r="AA351" s="566"/>
    </row>
    <row r="352" spans="5:27" ht="15" customHeight="1">
      <c r="E352" s="570"/>
      <c r="O352" s="951"/>
      <c r="Q352" s="570"/>
      <c r="R352" s="571"/>
      <c r="S352" s="572"/>
      <c r="T352" s="572"/>
      <c r="U352" s="965"/>
      <c r="V352" s="966"/>
      <c r="W352" s="572"/>
      <c r="X352" s="572"/>
      <c r="Y352" s="943"/>
      <c r="AA352" s="566"/>
    </row>
    <row r="353" spans="5:27" ht="15" customHeight="1">
      <c r="E353" s="570"/>
      <c r="O353" s="951"/>
      <c r="Q353" s="570"/>
      <c r="R353" s="571"/>
      <c r="S353" s="572"/>
      <c r="T353" s="572"/>
      <c r="U353" s="965"/>
      <c r="V353" s="966"/>
      <c r="W353" s="572"/>
      <c r="X353" s="572"/>
      <c r="Y353" s="943"/>
      <c r="AA353" s="566"/>
    </row>
    <row r="354" spans="5:27" ht="15" customHeight="1">
      <c r="E354" s="570"/>
      <c r="Q354" s="570"/>
      <c r="R354" s="571"/>
      <c r="S354" s="572"/>
      <c r="T354" s="572"/>
      <c r="U354" s="965"/>
      <c r="V354" s="966"/>
      <c r="W354" s="572"/>
      <c r="X354" s="572"/>
      <c r="Y354" s="943"/>
      <c r="AA354" s="566"/>
    </row>
    <row r="355" spans="5:27" ht="15" customHeight="1">
      <c r="E355" s="570"/>
      <c r="N355" s="978"/>
      <c r="Q355" s="570"/>
      <c r="R355" s="571"/>
      <c r="S355" s="572"/>
      <c r="T355" s="572"/>
      <c r="U355" s="965"/>
      <c r="V355" s="966"/>
      <c r="W355" s="572"/>
      <c r="X355" s="572"/>
      <c r="Y355" s="943"/>
      <c r="AA355" s="566"/>
    </row>
    <row r="356" spans="5:27" ht="15" customHeight="1">
      <c r="E356" s="576"/>
      <c r="F356" s="577"/>
      <c r="G356" s="577"/>
      <c r="H356" s="577"/>
      <c r="I356" s="577"/>
      <c r="J356" s="577"/>
      <c r="K356" s="577"/>
      <c r="L356" s="577"/>
      <c r="M356" s="577"/>
      <c r="N356" s="577"/>
      <c r="O356" s="577"/>
      <c r="P356" s="580"/>
      <c r="Q356" s="576"/>
      <c r="R356" s="582"/>
      <c r="S356" s="578"/>
      <c r="T356" s="578"/>
      <c r="U356" s="974"/>
      <c r="V356" s="975"/>
      <c r="W356" s="578"/>
      <c r="X356" s="578"/>
      <c r="Y356" s="969"/>
      <c r="AA356" s="566"/>
    </row>
    <row r="357" spans="5:27" ht="15" customHeight="1">
      <c r="E357" s="567"/>
      <c r="F357" s="568"/>
      <c r="G357" s="568"/>
      <c r="H357" s="568"/>
      <c r="I357" s="568"/>
      <c r="J357" s="568"/>
      <c r="K357" s="568"/>
      <c r="L357" s="568"/>
      <c r="M357" s="568"/>
      <c r="N357" s="568"/>
      <c r="O357" s="568"/>
      <c r="P357" s="569"/>
      <c r="Q357" s="973" t="s">
        <v>1687</v>
      </c>
      <c r="R357" s="585"/>
      <c r="S357" s="586"/>
      <c r="T357" s="586"/>
      <c r="U357" s="586"/>
      <c r="V357" s="586"/>
      <c r="W357" s="586"/>
      <c r="X357" s="586"/>
      <c r="Y357" s="587" t="s">
        <v>56</v>
      </c>
    </row>
    <row r="358" spans="5:27" ht="15" customHeight="1">
      <c r="E358" s="570"/>
      <c r="P358" s="575"/>
      <c r="Q358" s="581"/>
      <c r="R358" s="981">
        <f>S267</f>
        <v>0.12288</v>
      </c>
      <c r="S358" s="964">
        <f>S284</f>
        <v>0.03</v>
      </c>
      <c r="T358" s="964">
        <f>S301</f>
        <v>5.1600000000000007E-2</v>
      </c>
      <c r="U358" s="964">
        <f>S314</f>
        <v>3.5760000000000007E-2</v>
      </c>
      <c r="V358" s="964">
        <f>S329</f>
        <v>5.7599999999999998E-2</v>
      </c>
      <c r="W358" s="964">
        <f>S340</f>
        <v>3.6000000000000004E-2</v>
      </c>
      <c r="X358" s="964">
        <f>S351</f>
        <v>1.6560000000000002E-2</v>
      </c>
      <c r="Y358" s="982">
        <f>SUM(R358:X358)</f>
        <v>0.35040000000000004</v>
      </c>
      <c r="Z358" s="980"/>
    </row>
    <row r="359" spans="5:27" ht="15" customHeight="1">
      <c r="E359" s="570"/>
      <c r="P359" s="575"/>
      <c r="Q359" s="581"/>
      <c r="R359" s="571"/>
      <c r="S359" s="572"/>
      <c r="T359" s="572"/>
      <c r="U359" s="572"/>
      <c r="V359" s="572"/>
      <c r="W359" s="572"/>
      <c r="X359" s="572"/>
      <c r="Y359" s="943"/>
    </row>
    <row r="360" spans="5:27" ht="15" customHeight="1">
      <c r="E360" s="570"/>
      <c r="P360" s="575"/>
      <c r="Q360" s="973" t="s">
        <v>1688</v>
      </c>
      <c r="R360" s="585"/>
      <c r="S360" s="586" t="s">
        <v>2076</v>
      </c>
      <c r="T360" s="586" t="s">
        <v>2340</v>
      </c>
      <c r="U360" s="586" t="s">
        <v>2078</v>
      </c>
      <c r="V360" s="586" t="s">
        <v>56</v>
      </c>
      <c r="W360" s="586"/>
      <c r="X360" s="586"/>
      <c r="Y360" s="587"/>
    </row>
    <row r="361" spans="5:27" ht="15" customHeight="1">
      <c r="E361" s="570"/>
      <c r="P361" s="575"/>
      <c r="Q361" s="581"/>
      <c r="R361" s="571"/>
      <c r="S361" s="572" t="s">
        <v>2024</v>
      </c>
      <c r="T361" s="588">
        <v>2.04</v>
      </c>
      <c r="U361" s="588">
        <v>0.8</v>
      </c>
      <c r="V361" s="588">
        <v>4</v>
      </c>
      <c r="W361" s="572"/>
      <c r="X361" s="572"/>
      <c r="Y361" s="982">
        <f>T361*U361*V361</f>
        <v>6.5280000000000005</v>
      </c>
    </row>
    <row r="362" spans="5:27" ht="15" customHeight="1">
      <c r="E362" s="570"/>
      <c r="P362" s="575"/>
      <c r="Q362" s="581"/>
      <c r="R362" s="571"/>
      <c r="S362" s="572"/>
      <c r="T362" s="572"/>
      <c r="U362" s="572"/>
      <c r="V362" s="572"/>
      <c r="W362" s="572"/>
      <c r="X362" s="572"/>
      <c r="Y362" s="943"/>
    </row>
    <row r="363" spans="5:27" ht="15" customHeight="1">
      <c r="E363" s="570"/>
      <c r="P363" s="575"/>
      <c r="Q363" s="973" t="s">
        <v>61</v>
      </c>
      <c r="R363" s="585"/>
      <c r="S363" s="586" t="s">
        <v>2076</v>
      </c>
      <c r="T363" s="586" t="s">
        <v>2340</v>
      </c>
      <c r="U363" s="586" t="s">
        <v>2078</v>
      </c>
      <c r="V363" s="586" t="s">
        <v>56</v>
      </c>
      <c r="W363" s="586"/>
      <c r="X363" s="586"/>
      <c r="Y363" s="587"/>
    </row>
    <row r="364" spans="5:27" ht="15" customHeight="1">
      <c r="E364" s="570"/>
      <c r="P364" s="575"/>
      <c r="Q364" s="581"/>
      <c r="R364" s="571"/>
      <c r="S364" s="572" t="s">
        <v>2024</v>
      </c>
      <c r="T364" s="588">
        <v>2.04</v>
      </c>
      <c r="U364" s="588">
        <v>0.7</v>
      </c>
      <c r="V364" s="588">
        <v>1</v>
      </c>
      <c r="W364" s="572"/>
      <c r="X364" s="572"/>
      <c r="Y364" s="982">
        <f>T364*U364*V364</f>
        <v>1.4279999999999999</v>
      </c>
    </row>
    <row r="365" spans="5:27" ht="15" customHeight="1">
      <c r="E365" s="570"/>
      <c r="P365" s="575"/>
      <c r="Q365" s="581"/>
      <c r="R365" s="571"/>
      <c r="S365" s="572"/>
      <c r="T365" s="572"/>
      <c r="U365" s="572"/>
      <c r="V365" s="572"/>
      <c r="W365" s="572"/>
      <c r="X365" s="572"/>
      <c r="Y365" s="943"/>
    </row>
    <row r="366" spans="5:27" ht="15" customHeight="1">
      <c r="E366" s="570"/>
      <c r="P366" s="575"/>
      <c r="Q366" s="973" t="s">
        <v>107</v>
      </c>
      <c r="R366" s="585"/>
      <c r="S366" s="586" t="s">
        <v>2076</v>
      </c>
      <c r="T366" s="586" t="s">
        <v>2340</v>
      </c>
      <c r="U366" s="586" t="s">
        <v>2078</v>
      </c>
      <c r="V366" s="586" t="s">
        <v>56</v>
      </c>
      <c r="W366" s="586"/>
      <c r="X366" s="586"/>
      <c r="Y366" s="587"/>
    </row>
    <row r="367" spans="5:27" ht="15" customHeight="1">
      <c r="E367" s="570"/>
      <c r="P367" s="575"/>
      <c r="Q367" s="983"/>
      <c r="R367" s="948" t="s">
        <v>2408</v>
      </c>
      <c r="S367" s="950" t="s">
        <v>2024</v>
      </c>
      <c r="T367" s="950">
        <v>0.57999999999999996</v>
      </c>
      <c r="U367" s="950">
        <v>0.7</v>
      </c>
      <c r="V367" s="950">
        <v>2</v>
      </c>
      <c r="W367" s="949"/>
      <c r="X367" s="949"/>
      <c r="Y367" s="970">
        <f>T367*U367*V367</f>
        <v>0.81199999999999994</v>
      </c>
    </row>
    <row r="368" spans="5:27" ht="15" customHeight="1">
      <c r="E368" s="570"/>
      <c r="P368" s="575"/>
      <c r="Q368" s="581"/>
      <c r="R368" s="571" t="s">
        <v>2409</v>
      </c>
      <c r="S368" s="572" t="s">
        <v>2024</v>
      </c>
      <c r="T368" s="588">
        <v>0.9</v>
      </c>
      <c r="U368" s="588">
        <v>0.7</v>
      </c>
      <c r="V368" s="588">
        <v>1</v>
      </c>
      <c r="W368" s="572"/>
      <c r="X368" s="572"/>
      <c r="Y368" s="970">
        <f>T368*U368*V368</f>
        <v>0.63</v>
      </c>
    </row>
    <row r="369" spans="5:27" ht="15" customHeight="1">
      <c r="E369" s="570"/>
      <c r="P369" s="575"/>
      <c r="Q369" s="581"/>
      <c r="R369" s="571"/>
      <c r="S369" s="572"/>
      <c r="T369" s="588"/>
      <c r="U369" s="588"/>
      <c r="V369" s="588"/>
      <c r="W369" s="572"/>
      <c r="X369" s="572"/>
      <c r="Y369" s="982">
        <f>SUM(Y367:Y368)</f>
        <v>1.4419999999999999</v>
      </c>
    </row>
    <row r="370" spans="5:27" ht="15" customHeight="1">
      <c r="E370" s="570"/>
      <c r="P370" s="575"/>
      <c r="Q370" s="581"/>
      <c r="R370" s="571"/>
      <c r="S370" s="572"/>
      <c r="T370" s="572"/>
      <c r="U370" s="572"/>
      <c r="V370" s="572"/>
      <c r="W370" s="572"/>
      <c r="X370" s="572"/>
      <c r="Y370" s="943"/>
    </row>
    <row r="371" spans="5:27" ht="15" customHeight="1">
      <c r="E371" s="570"/>
      <c r="P371" s="575"/>
      <c r="Q371" s="973" t="s">
        <v>108</v>
      </c>
      <c r="R371" s="585"/>
      <c r="S371" s="586" t="s">
        <v>2076</v>
      </c>
      <c r="T371" s="586" t="s">
        <v>2340</v>
      </c>
      <c r="U371" s="586" t="s">
        <v>2078</v>
      </c>
      <c r="V371" s="586" t="s">
        <v>56</v>
      </c>
      <c r="W371" s="586"/>
      <c r="X371" s="586"/>
      <c r="Y371" s="587"/>
    </row>
    <row r="372" spans="5:27" ht="15" customHeight="1">
      <c r="E372" s="570"/>
      <c r="P372" s="575"/>
      <c r="Q372" s="570"/>
      <c r="R372" s="571"/>
      <c r="S372" s="572" t="s">
        <v>2024</v>
      </c>
      <c r="T372" s="588">
        <v>0.64</v>
      </c>
      <c r="U372" s="588">
        <v>0.4</v>
      </c>
      <c r="V372" s="588">
        <v>9</v>
      </c>
      <c r="W372" s="572"/>
      <c r="X372" s="572"/>
      <c r="Y372" s="982">
        <f>T372*U372*V372</f>
        <v>2.3040000000000003</v>
      </c>
    </row>
    <row r="373" spans="5:27" ht="15" customHeight="1">
      <c r="E373" s="576"/>
      <c r="F373" s="577"/>
      <c r="G373" s="577"/>
      <c r="H373" s="577"/>
      <c r="I373" s="577"/>
      <c r="J373" s="577"/>
      <c r="K373" s="577"/>
      <c r="L373" s="577"/>
      <c r="M373" s="577"/>
      <c r="N373" s="577"/>
      <c r="O373" s="577"/>
      <c r="P373" s="580"/>
      <c r="Q373" s="576"/>
      <c r="R373" s="582"/>
      <c r="S373" s="578"/>
      <c r="T373" s="578"/>
      <c r="U373" s="578"/>
      <c r="V373" s="968"/>
      <c r="W373" s="578"/>
      <c r="X373" s="578"/>
      <c r="Y373" s="969"/>
    </row>
    <row r="374" spans="5:27" ht="15" customHeight="1">
      <c r="E374" s="565"/>
      <c r="F374" s="565"/>
      <c r="G374" s="565"/>
      <c r="H374" s="565"/>
      <c r="I374" s="565"/>
      <c r="J374" s="565"/>
      <c r="K374" s="565"/>
      <c r="L374" s="565"/>
      <c r="M374" s="565"/>
      <c r="N374" s="565"/>
      <c r="O374" s="565"/>
      <c r="P374" s="565"/>
      <c r="Q374" s="565"/>
      <c r="R374" s="566"/>
      <c r="S374" s="957"/>
      <c r="T374" s="957"/>
      <c r="U374" s="957"/>
      <c r="V374" s="967"/>
      <c r="W374" s="957"/>
      <c r="X374" s="957"/>
      <c r="Y374" s="957"/>
    </row>
    <row r="375" spans="5:27" ht="15" customHeight="1">
      <c r="E375" s="567"/>
      <c r="F375" s="568"/>
      <c r="G375" s="568"/>
      <c r="H375" s="568"/>
      <c r="I375" s="568"/>
      <c r="J375" s="568"/>
      <c r="K375" s="568"/>
      <c r="L375" s="568"/>
      <c r="M375" s="568"/>
      <c r="N375" s="568"/>
      <c r="O375" s="568"/>
      <c r="P375" s="569"/>
      <c r="Q375" s="1113" t="s">
        <v>2481</v>
      </c>
      <c r="R375" s="1114"/>
      <c r="S375" s="1114"/>
      <c r="T375" s="1114"/>
      <c r="U375" s="1114"/>
      <c r="V375" s="1114"/>
      <c r="W375" s="1114"/>
      <c r="X375" s="1114"/>
      <c r="Y375" s="1115"/>
      <c r="AA375" s="566"/>
    </row>
    <row r="376" spans="5:27" ht="15" customHeight="1">
      <c r="E376" s="570"/>
      <c r="H376" s="961">
        <v>3</v>
      </c>
      <c r="K376" s="958"/>
      <c r="L376" s="961">
        <v>3</v>
      </c>
      <c r="P376" s="575"/>
      <c r="Q376" s="1116"/>
      <c r="R376" s="1117"/>
      <c r="S376" s="1117"/>
      <c r="T376" s="1117"/>
      <c r="U376" s="1117"/>
      <c r="V376" s="1117"/>
      <c r="W376" s="1117"/>
      <c r="X376" s="1117"/>
      <c r="Y376" s="1118"/>
      <c r="AA376" s="566"/>
    </row>
    <row r="377" spans="5:27" ht="15" customHeight="1">
      <c r="E377" s="570"/>
      <c r="P377" s="575"/>
      <c r="Q377" s="584">
        <v>1</v>
      </c>
      <c r="R377" s="585" t="s">
        <v>2482</v>
      </c>
      <c r="S377" s="586" t="s">
        <v>2076</v>
      </c>
      <c r="T377" s="586" t="s">
        <v>2077</v>
      </c>
      <c r="U377" s="962"/>
      <c r="V377" s="586"/>
      <c r="W377" s="586"/>
      <c r="X377" s="586"/>
      <c r="Y377" s="587" t="s">
        <v>56</v>
      </c>
      <c r="AA377" s="566"/>
    </row>
    <row r="378" spans="5:27" ht="15" customHeight="1">
      <c r="E378" s="570"/>
      <c r="P378" s="575"/>
      <c r="Q378" s="570"/>
      <c r="R378" s="571" t="s">
        <v>15</v>
      </c>
      <c r="S378" s="572">
        <f>E383</f>
        <v>8</v>
      </c>
      <c r="T378" s="572">
        <f>H376+L376</f>
        <v>6</v>
      </c>
      <c r="U378" s="965"/>
      <c r="V378" s="966"/>
      <c r="W378" s="572"/>
      <c r="X378" s="572"/>
      <c r="Y378" s="943">
        <f>S378*T378</f>
        <v>48</v>
      </c>
      <c r="AA378" s="566"/>
    </row>
    <row r="379" spans="5:27" ht="15" customHeight="1">
      <c r="E379" s="570"/>
      <c r="P379" s="575"/>
      <c r="Q379" s="570"/>
      <c r="R379" s="571" t="s">
        <v>2484</v>
      </c>
      <c r="S379" s="572">
        <f>I394</f>
        <v>2</v>
      </c>
      <c r="T379" s="572">
        <f>O391</f>
        <v>1.5</v>
      </c>
      <c r="U379" s="572"/>
      <c r="V379" s="572"/>
      <c r="W379" s="572"/>
      <c r="X379" s="572"/>
      <c r="Y379" s="943">
        <f>S379*T379</f>
        <v>3</v>
      </c>
      <c r="AA379" s="566"/>
    </row>
    <row r="380" spans="5:27" ht="15" customHeight="1">
      <c r="E380" s="570"/>
      <c r="O380" s="955">
        <v>1.25</v>
      </c>
      <c r="P380" s="575"/>
      <c r="Q380" s="947"/>
      <c r="R380" s="948" t="s">
        <v>2486</v>
      </c>
      <c r="S380" s="949">
        <f>O384</f>
        <v>1.8</v>
      </c>
      <c r="T380" s="950">
        <v>1.6</v>
      </c>
      <c r="U380" s="953"/>
      <c r="V380" s="949"/>
      <c r="W380" s="949"/>
      <c r="X380" s="949"/>
      <c r="Y380" s="943">
        <f>S380*T380</f>
        <v>2.8800000000000003</v>
      </c>
      <c r="AA380" s="566"/>
    </row>
    <row r="381" spans="5:27" ht="15" customHeight="1">
      <c r="E381" s="570"/>
      <c r="P381" s="575"/>
      <c r="Q381" s="947"/>
      <c r="R381" s="948" t="s">
        <v>2485</v>
      </c>
      <c r="S381" s="949">
        <f>L376</f>
        <v>3</v>
      </c>
      <c r="T381" s="949">
        <f>O380</f>
        <v>1.25</v>
      </c>
      <c r="U381" s="984"/>
      <c r="V381" s="979"/>
      <c r="W381" s="949"/>
      <c r="X381" s="949"/>
      <c r="Y381" s="943">
        <f>S381*T381</f>
        <v>3.75</v>
      </c>
    </row>
    <row r="382" spans="5:27" ht="15" customHeight="1">
      <c r="E382" s="570"/>
      <c r="P382" s="575"/>
      <c r="Q382" s="947"/>
      <c r="R382" s="948"/>
      <c r="S382" s="949"/>
      <c r="T382" s="949"/>
      <c r="U382" s="949"/>
      <c r="V382" s="949"/>
      <c r="W382" s="949"/>
      <c r="X382" s="949"/>
      <c r="Y382" s="583">
        <f>Y378+Y379-Y380-Y381</f>
        <v>44.37</v>
      </c>
    </row>
    <row r="383" spans="5:27" ht="15" customHeight="1">
      <c r="E383" s="961">
        <v>8</v>
      </c>
      <c r="O383" s="958"/>
      <c r="P383" s="575"/>
      <c r="Q383" s="576"/>
      <c r="R383" s="577"/>
      <c r="S383" s="577"/>
      <c r="T383" s="577"/>
      <c r="U383" s="577"/>
      <c r="V383" s="577"/>
      <c r="W383" s="577"/>
      <c r="X383" s="577"/>
      <c r="Y383" s="580"/>
    </row>
    <row r="384" spans="5:27" ht="15" customHeight="1">
      <c r="E384" s="570"/>
      <c r="O384" s="961">
        <v>1.8</v>
      </c>
      <c r="P384" s="575"/>
      <c r="Q384" s="584">
        <v>2</v>
      </c>
      <c r="R384" s="585" t="s">
        <v>2487</v>
      </c>
      <c r="S384" s="586" t="s">
        <v>2076</v>
      </c>
      <c r="T384" s="586" t="s">
        <v>2077</v>
      </c>
      <c r="U384" s="962"/>
      <c r="V384" s="586"/>
      <c r="W384" s="586"/>
      <c r="X384" s="586"/>
      <c r="Y384" s="587" t="s">
        <v>56</v>
      </c>
    </row>
    <row r="385" spans="5:27" ht="15" customHeight="1">
      <c r="E385" s="570"/>
      <c r="P385" s="575"/>
      <c r="Q385" s="947"/>
      <c r="R385" s="948" t="s">
        <v>2483</v>
      </c>
      <c r="S385" s="949">
        <f>S380</f>
        <v>1.8</v>
      </c>
      <c r="T385" s="949">
        <f>T380</f>
        <v>1.6</v>
      </c>
      <c r="U385" s="984"/>
      <c r="V385" s="979"/>
      <c r="W385" s="949"/>
      <c r="X385" s="949"/>
      <c r="Y385" s="583">
        <f>S385*T385</f>
        <v>2.8800000000000003</v>
      </c>
    </row>
    <row r="386" spans="5:27" ht="15" customHeight="1">
      <c r="E386" s="570"/>
      <c r="P386" s="575"/>
      <c r="Q386" s="947"/>
      <c r="R386" s="948"/>
      <c r="S386" s="949"/>
      <c r="T386" s="949"/>
      <c r="U386" s="949"/>
      <c r="V386" s="949"/>
      <c r="W386" s="949"/>
      <c r="X386" s="949"/>
      <c r="Y386" s="943"/>
    </row>
    <row r="387" spans="5:27" ht="15" customHeight="1">
      <c r="E387" s="570"/>
      <c r="O387" s="961">
        <v>1.6</v>
      </c>
      <c r="P387" s="575"/>
      <c r="Q387" s="947"/>
      <c r="R387" s="948"/>
      <c r="S387" s="949"/>
      <c r="T387" s="949"/>
      <c r="U387" s="949"/>
      <c r="V387" s="950"/>
      <c r="W387" s="949"/>
      <c r="X387" s="949"/>
      <c r="Y387" s="943"/>
    </row>
    <row r="388" spans="5:27" ht="15" customHeight="1">
      <c r="E388" s="570"/>
      <c r="P388" s="575"/>
      <c r="Q388" s="947"/>
      <c r="R388" s="948"/>
      <c r="S388" s="949"/>
      <c r="T388" s="949"/>
      <c r="U388" s="949"/>
      <c r="V388" s="950"/>
      <c r="W388" s="949"/>
      <c r="X388" s="949"/>
      <c r="Y388" s="943"/>
    </row>
    <row r="389" spans="5:27" ht="15" customHeight="1">
      <c r="E389" s="570"/>
      <c r="P389" s="575"/>
      <c r="Q389" s="947"/>
      <c r="R389" s="948"/>
      <c r="S389" s="949"/>
      <c r="T389" s="949"/>
      <c r="U389" s="949"/>
      <c r="V389" s="949"/>
      <c r="W389" s="949"/>
      <c r="X389" s="949"/>
      <c r="Y389" s="943"/>
    </row>
    <row r="390" spans="5:27" ht="15" customHeight="1">
      <c r="E390" s="570"/>
      <c r="P390" s="575"/>
      <c r="Q390" s="947"/>
      <c r="R390" s="948"/>
      <c r="S390" s="949"/>
      <c r="T390" s="949"/>
      <c r="U390" s="949"/>
      <c r="V390" s="950"/>
      <c r="W390" s="949"/>
      <c r="X390" s="949"/>
      <c r="Y390" s="943"/>
    </row>
    <row r="391" spans="5:27" ht="15" customHeight="1">
      <c r="E391" s="570"/>
      <c r="O391" s="961">
        <v>1.5</v>
      </c>
      <c r="P391" s="575"/>
      <c r="Q391" s="947"/>
      <c r="R391" s="948"/>
      <c r="S391" s="949"/>
      <c r="T391" s="949"/>
      <c r="U391" s="949"/>
      <c r="V391" s="950"/>
      <c r="W391" s="949"/>
      <c r="X391" s="949"/>
      <c r="Y391" s="943"/>
    </row>
    <row r="392" spans="5:27" ht="15" customHeight="1">
      <c r="E392" s="570"/>
      <c r="P392" s="575"/>
      <c r="Q392" s="947"/>
      <c r="R392" s="948"/>
      <c r="S392" s="949"/>
      <c r="T392" s="949"/>
      <c r="U392" s="949"/>
      <c r="V392" s="949"/>
      <c r="W392" s="949"/>
      <c r="X392" s="949"/>
      <c r="Y392" s="943"/>
    </row>
    <row r="393" spans="5:27" ht="15" customHeight="1">
      <c r="E393" s="570"/>
      <c r="P393" s="575"/>
      <c r="Q393" s="947"/>
      <c r="R393" s="948"/>
      <c r="S393" s="949"/>
      <c r="T393" s="949"/>
      <c r="U393" s="949"/>
      <c r="V393" s="950"/>
      <c r="W393" s="949"/>
      <c r="X393" s="949"/>
      <c r="Y393" s="943"/>
    </row>
    <row r="394" spans="5:27" ht="15" customHeight="1">
      <c r="E394" s="570"/>
      <c r="I394" s="961">
        <v>2</v>
      </c>
      <c r="P394" s="575"/>
      <c r="Q394" s="947"/>
      <c r="R394" s="948"/>
      <c r="S394" s="949"/>
      <c r="T394" s="949"/>
      <c r="U394" s="949"/>
      <c r="V394" s="950"/>
      <c r="W394" s="949"/>
      <c r="X394" s="949"/>
      <c r="Y394" s="943"/>
    </row>
    <row r="395" spans="5:27" ht="15" customHeight="1">
      <c r="E395" s="576"/>
      <c r="F395" s="577"/>
      <c r="G395" s="577"/>
      <c r="H395" s="577"/>
      <c r="I395" s="577"/>
      <c r="J395" s="577"/>
      <c r="K395" s="577"/>
      <c r="L395" s="577"/>
      <c r="M395" s="577"/>
      <c r="N395" s="577"/>
      <c r="O395" s="577"/>
      <c r="P395" s="580"/>
      <c r="Q395" s="576"/>
      <c r="R395" s="577"/>
      <c r="S395" s="578"/>
      <c r="T395" s="578"/>
      <c r="U395" s="578"/>
      <c r="V395" s="578"/>
      <c r="W395" s="578"/>
      <c r="X395" s="578"/>
      <c r="Y395" s="579"/>
    </row>
    <row r="396" spans="5:27" ht="15" customHeight="1">
      <c r="E396" s="565"/>
      <c r="F396" s="565"/>
      <c r="G396" s="565"/>
      <c r="H396" s="565"/>
      <c r="I396" s="565"/>
      <c r="J396" s="565"/>
      <c r="K396" s="565"/>
      <c r="L396" s="565"/>
      <c r="M396" s="565"/>
      <c r="N396" s="565"/>
      <c r="O396" s="565"/>
      <c r="P396" s="565"/>
      <c r="Q396" s="565"/>
      <c r="R396" s="566"/>
      <c r="S396" s="957"/>
      <c r="T396" s="957"/>
      <c r="U396" s="957"/>
      <c r="V396" s="967"/>
      <c r="W396" s="957"/>
      <c r="X396" s="957"/>
      <c r="Y396" s="957"/>
    </row>
    <row r="397" spans="5:27" ht="15" customHeight="1">
      <c r="E397" s="567"/>
      <c r="F397" s="568"/>
      <c r="G397" s="568"/>
      <c r="H397" s="568"/>
      <c r="I397" s="568"/>
      <c r="J397" s="568"/>
      <c r="K397" s="568"/>
      <c r="L397" s="568"/>
      <c r="M397" s="568"/>
      <c r="N397" s="568"/>
      <c r="O397" s="568"/>
      <c r="P397" s="569"/>
      <c r="Q397" s="1113" t="s">
        <v>2488</v>
      </c>
      <c r="R397" s="1114"/>
      <c r="S397" s="1114"/>
      <c r="T397" s="1114"/>
      <c r="U397" s="1114"/>
      <c r="V397" s="1114"/>
      <c r="W397" s="1114"/>
      <c r="X397" s="1114"/>
      <c r="Y397" s="1115"/>
      <c r="AA397" s="566"/>
    </row>
    <row r="398" spans="5:27" ht="15" customHeight="1">
      <c r="E398" s="570"/>
      <c r="H398" s="985"/>
      <c r="K398" s="958"/>
      <c r="L398" s="985"/>
      <c r="P398" s="575"/>
      <c r="Q398" s="1116"/>
      <c r="R398" s="1117"/>
      <c r="S398" s="1117"/>
      <c r="T398" s="1117"/>
      <c r="U398" s="1117"/>
      <c r="V398" s="1117"/>
      <c r="W398" s="1117"/>
      <c r="X398" s="1117"/>
      <c r="Y398" s="1118"/>
      <c r="AA398" s="566"/>
    </row>
    <row r="399" spans="5:27" ht="15" customHeight="1">
      <c r="E399" s="570"/>
      <c r="P399" s="575"/>
      <c r="Q399" s="584"/>
      <c r="R399" s="585"/>
      <c r="S399" s="586"/>
      <c r="T399" s="586"/>
      <c r="U399" s="962"/>
      <c r="V399" s="586"/>
      <c r="W399" s="586"/>
      <c r="X399" s="586"/>
      <c r="Y399" s="587" t="s">
        <v>56</v>
      </c>
      <c r="AA399" s="566"/>
    </row>
    <row r="400" spans="5:27" ht="15" customHeight="1">
      <c r="E400" s="570"/>
      <c r="P400" s="575"/>
      <c r="Q400" s="570">
        <v>1</v>
      </c>
      <c r="R400" s="571" t="s">
        <v>63</v>
      </c>
      <c r="S400" s="572"/>
      <c r="T400" s="572"/>
      <c r="U400" s="965"/>
      <c r="V400" s="966"/>
      <c r="W400" s="572"/>
      <c r="X400" s="572"/>
      <c r="Y400" s="987">
        <v>4</v>
      </c>
      <c r="AA400" s="566"/>
    </row>
    <row r="401" spans="5:27" ht="15" customHeight="1">
      <c r="E401" s="570"/>
      <c r="P401" s="575"/>
      <c r="Q401" s="570">
        <v>2</v>
      </c>
      <c r="R401" s="571" t="s">
        <v>64</v>
      </c>
      <c r="S401" s="572"/>
      <c r="T401" s="572"/>
      <c r="U401" s="572"/>
      <c r="V401" s="572"/>
      <c r="W401" s="572"/>
      <c r="X401" s="572"/>
      <c r="Y401" s="987">
        <v>1</v>
      </c>
      <c r="AA401" s="566"/>
    </row>
    <row r="402" spans="5:27" ht="15" customHeight="1">
      <c r="E402" s="570"/>
      <c r="P402" s="575"/>
      <c r="Q402" s="570">
        <v>3</v>
      </c>
      <c r="R402" s="571" t="s">
        <v>1690</v>
      </c>
      <c r="S402" s="572"/>
      <c r="T402" s="572"/>
      <c r="U402" s="572"/>
      <c r="V402" s="572"/>
      <c r="W402" s="572"/>
      <c r="X402" s="572"/>
      <c r="Y402" s="987">
        <v>5</v>
      </c>
      <c r="AA402" s="566"/>
    </row>
    <row r="403" spans="5:27" ht="15" customHeight="1">
      <c r="E403" s="570"/>
      <c r="P403" s="575"/>
      <c r="Q403" s="570">
        <v>4</v>
      </c>
      <c r="R403" s="571" t="s">
        <v>1691</v>
      </c>
      <c r="S403" s="572"/>
      <c r="T403" s="572"/>
      <c r="U403" s="572"/>
      <c r="V403" s="572"/>
      <c r="W403" s="572"/>
      <c r="X403" s="572"/>
      <c r="Y403" s="987">
        <v>4</v>
      </c>
      <c r="AA403" s="566"/>
    </row>
    <row r="404" spans="5:27" ht="15" customHeight="1">
      <c r="E404" s="570"/>
      <c r="P404" s="575"/>
      <c r="Q404" s="570">
        <v>5</v>
      </c>
      <c r="R404" s="571" t="s">
        <v>65</v>
      </c>
      <c r="S404" s="572"/>
      <c r="T404" s="572"/>
      <c r="U404" s="572"/>
      <c r="V404" s="572"/>
      <c r="W404" s="572"/>
      <c r="X404" s="572"/>
      <c r="Y404" s="987">
        <f>3*(Y400+Y401)</f>
        <v>15</v>
      </c>
      <c r="AA404" s="566"/>
    </row>
    <row r="405" spans="5:27" ht="15" customHeight="1">
      <c r="E405" s="570"/>
      <c r="P405" s="575"/>
      <c r="Q405" s="570">
        <v>6</v>
      </c>
      <c r="R405" s="571" t="s">
        <v>66</v>
      </c>
      <c r="S405" s="572"/>
      <c r="T405" s="572"/>
      <c r="U405" s="572"/>
      <c r="V405" s="572"/>
      <c r="W405" s="572"/>
      <c r="X405" s="572"/>
      <c r="Y405" s="987">
        <f>2*Y403</f>
        <v>8</v>
      </c>
      <c r="AA405" s="566"/>
    </row>
    <row r="406" spans="5:27" ht="15" customHeight="1">
      <c r="E406" s="570"/>
      <c r="O406" s="977"/>
      <c r="P406" s="575"/>
      <c r="Q406" s="947">
        <v>7</v>
      </c>
      <c r="R406" s="948" t="s">
        <v>67</v>
      </c>
      <c r="S406" s="949"/>
      <c r="T406" s="950"/>
      <c r="U406" s="953"/>
      <c r="V406" s="949"/>
      <c r="W406" s="949"/>
      <c r="X406" s="949"/>
      <c r="Y406" s="987">
        <f>2*Y403</f>
        <v>8</v>
      </c>
      <c r="AA406" s="566"/>
    </row>
    <row r="407" spans="5:27" ht="15" customHeight="1">
      <c r="E407" s="570"/>
      <c r="P407" s="575"/>
      <c r="Q407" s="947">
        <v>8</v>
      </c>
      <c r="R407" s="948" t="s">
        <v>68</v>
      </c>
      <c r="S407" s="949"/>
      <c r="T407" s="949"/>
      <c r="U407" s="984"/>
      <c r="V407" s="979"/>
      <c r="W407" s="949"/>
      <c r="X407" s="949"/>
      <c r="Y407" s="987">
        <v>1</v>
      </c>
    </row>
    <row r="408" spans="5:27" ht="15" customHeight="1">
      <c r="E408" s="986"/>
      <c r="F408" s="577"/>
      <c r="G408" s="577"/>
      <c r="H408" s="577"/>
      <c r="I408" s="577"/>
      <c r="J408" s="577"/>
      <c r="K408" s="577"/>
      <c r="L408" s="577"/>
      <c r="M408" s="577"/>
      <c r="N408" s="577"/>
      <c r="O408" s="971"/>
      <c r="P408" s="580"/>
      <c r="Q408" s="576"/>
      <c r="R408" s="577"/>
      <c r="S408" s="577"/>
      <c r="T408" s="577"/>
      <c r="U408" s="577"/>
      <c r="V408" s="577"/>
      <c r="W408" s="577"/>
      <c r="X408" s="577"/>
      <c r="Y408" s="580"/>
    </row>
    <row r="409" spans="5:27" ht="15" customHeight="1">
      <c r="E409" s="565"/>
      <c r="F409" s="565"/>
      <c r="G409" s="565"/>
      <c r="H409" s="565"/>
      <c r="I409" s="565"/>
      <c r="J409" s="565"/>
      <c r="K409" s="565"/>
      <c r="L409" s="565"/>
      <c r="M409" s="565"/>
      <c r="N409" s="565"/>
      <c r="O409" s="565"/>
      <c r="P409" s="565"/>
      <c r="Q409" s="565"/>
      <c r="R409" s="566"/>
      <c r="S409" s="957"/>
      <c r="T409" s="957"/>
      <c r="U409" s="957"/>
      <c r="V409" s="967"/>
      <c r="W409" s="957"/>
      <c r="X409" s="957"/>
      <c r="Y409" s="957"/>
    </row>
    <row r="410" spans="5:27" ht="15" customHeight="1">
      <c r="E410" s="567"/>
      <c r="F410" s="568"/>
      <c r="G410" s="568"/>
      <c r="H410" s="568"/>
      <c r="I410" s="568"/>
      <c r="J410" s="568"/>
      <c r="K410" s="568"/>
      <c r="L410" s="568"/>
      <c r="M410" s="568"/>
      <c r="N410" s="568"/>
      <c r="O410" s="568"/>
      <c r="P410" s="569"/>
      <c r="Q410" s="1113" t="s">
        <v>2489</v>
      </c>
      <c r="R410" s="1114"/>
      <c r="S410" s="1114"/>
      <c r="T410" s="1114"/>
      <c r="U410" s="1114"/>
      <c r="V410" s="1114"/>
      <c r="W410" s="1114"/>
      <c r="X410" s="1114"/>
      <c r="Y410" s="1115"/>
      <c r="AA410" s="566"/>
    </row>
    <row r="411" spans="5:27" ht="15" customHeight="1">
      <c r="E411" s="570"/>
      <c r="H411" s="985"/>
      <c r="K411" s="958"/>
      <c r="L411" s="985"/>
      <c r="P411" s="575"/>
      <c r="Q411" s="1116"/>
      <c r="R411" s="1117"/>
      <c r="S411" s="1117"/>
      <c r="T411" s="1117"/>
      <c r="U411" s="1117"/>
      <c r="V411" s="1117"/>
      <c r="W411" s="1117"/>
      <c r="X411" s="1117"/>
      <c r="Y411" s="1118"/>
      <c r="AA411" s="566"/>
    </row>
    <row r="412" spans="5:27" ht="15" customHeight="1">
      <c r="E412" s="570"/>
      <c r="P412" s="575"/>
      <c r="Q412" s="584"/>
      <c r="R412" s="585"/>
      <c r="S412" s="586"/>
      <c r="T412" s="586"/>
      <c r="U412" s="962"/>
      <c r="V412" s="586"/>
      <c r="W412" s="586"/>
      <c r="X412" s="586"/>
      <c r="Y412" s="587" t="s">
        <v>56</v>
      </c>
      <c r="AA412" s="566"/>
    </row>
    <row r="413" spans="5:27" ht="15" customHeight="1">
      <c r="E413" s="570"/>
      <c r="P413" s="575"/>
      <c r="Q413" s="570">
        <v>1</v>
      </c>
      <c r="R413" s="571" t="s">
        <v>114</v>
      </c>
      <c r="S413" s="572"/>
      <c r="T413" s="572"/>
      <c r="U413" s="965"/>
      <c r="V413" s="966"/>
      <c r="W413" s="572"/>
      <c r="X413" s="572"/>
      <c r="Y413" s="987">
        <v>2</v>
      </c>
      <c r="AA413" s="566"/>
    </row>
    <row r="414" spans="5:27" ht="15" customHeight="1">
      <c r="E414" s="570"/>
      <c r="P414" s="575"/>
      <c r="Q414" s="570">
        <v>2</v>
      </c>
      <c r="R414" s="571" t="s">
        <v>1682</v>
      </c>
      <c r="S414" s="572"/>
      <c r="T414" s="572"/>
      <c r="U414" s="572"/>
      <c r="V414" s="572"/>
      <c r="W414" s="572"/>
      <c r="X414" s="572"/>
      <c r="Y414" s="987">
        <v>5</v>
      </c>
      <c r="AA414" s="566"/>
    </row>
    <row r="415" spans="5:27" ht="15" customHeight="1">
      <c r="E415" s="570"/>
      <c r="P415" s="575"/>
      <c r="Q415" s="570">
        <v>3</v>
      </c>
      <c r="R415" s="571" t="s">
        <v>81</v>
      </c>
      <c r="S415" s="572"/>
      <c r="T415" s="572"/>
      <c r="U415" s="572"/>
      <c r="V415" s="572"/>
      <c r="W415" s="572"/>
      <c r="X415" s="572"/>
      <c r="Y415" s="987">
        <v>1</v>
      </c>
      <c r="AA415" s="566"/>
    </row>
    <row r="416" spans="5:27" ht="15" customHeight="1">
      <c r="E416" s="570"/>
      <c r="P416" s="575"/>
      <c r="Q416" s="570">
        <v>4</v>
      </c>
      <c r="R416" s="571" t="s">
        <v>70</v>
      </c>
      <c r="S416" s="572"/>
      <c r="T416" s="572"/>
      <c r="U416" s="572"/>
      <c r="V416" s="572"/>
      <c r="W416" s="572"/>
      <c r="X416" s="572"/>
      <c r="Y416" s="987">
        <v>2</v>
      </c>
      <c r="AA416" s="566"/>
    </row>
    <row r="417" spans="5:28" ht="15" customHeight="1">
      <c r="E417" s="570"/>
      <c r="P417" s="575"/>
      <c r="Q417" s="570">
        <v>5</v>
      </c>
      <c r="R417" s="571" t="s">
        <v>71</v>
      </c>
      <c r="S417" s="572"/>
      <c r="T417" s="572"/>
      <c r="U417" s="572"/>
      <c r="V417" s="572"/>
      <c r="W417" s="572"/>
      <c r="X417" s="572"/>
      <c r="Y417" s="987">
        <v>4</v>
      </c>
      <c r="AA417" s="566"/>
    </row>
    <row r="418" spans="5:28" ht="15" customHeight="1">
      <c r="E418" s="570"/>
      <c r="P418" s="575"/>
      <c r="Q418" s="570">
        <v>6</v>
      </c>
      <c r="R418" s="571" t="s">
        <v>72</v>
      </c>
      <c r="S418" s="572"/>
      <c r="T418" s="572"/>
      <c r="U418" s="572"/>
      <c r="V418" s="572"/>
      <c r="W418" s="572"/>
      <c r="X418" s="572"/>
      <c r="Y418" s="987">
        <v>4</v>
      </c>
      <c r="AA418" s="566"/>
    </row>
    <row r="419" spans="5:28" ht="15" customHeight="1">
      <c r="E419" s="570"/>
      <c r="O419" s="977"/>
      <c r="P419" s="575"/>
      <c r="Q419" s="947">
        <v>7</v>
      </c>
      <c r="R419" s="948" t="s">
        <v>73</v>
      </c>
      <c r="S419" s="949"/>
      <c r="T419" s="950"/>
      <c r="U419" s="953"/>
      <c r="V419" s="949"/>
      <c r="W419" s="949"/>
      <c r="X419" s="949"/>
      <c r="Y419" s="987">
        <v>1</v>
      </c>
      <c r="AA419" s="566"/>
    </row>
    <row r="420" spans="5:28" ht="15" customHeight="1">
      <c r="E420" s="570"/>
      <c r="O420" s="977"/>
      <c r="P420" s="575"/>
      <c r="Q420" s="947">
        <v>8</v>
      </c>
      <c r="R420" s="948" t="s">
        <v>74</v>
      </c>
      <c r="S420" s="949"/>
      <c r="T420" s="950"/>
      <c r="U420" s="953"/>
      <c r="V420" s="949"/>
      <c r="W420" s="949"/>
      <c r="X420" s="949"/>
      <c r="Y420" s="987">
        <v>1</v>
      </c>
      <c r="AA420" s="566"/>
    </row>
    <row r="421" spans="5:28" ht="15" customHeight="1">
      <c r="E421" s="570"/>
      <c r="O421" s="977"/>
      <c r="P421" s="575"/>
      <c r="Q421" s="947">
        <v>9</v>
      </c>
      <c r="R421" s="948" t="s">
        <v>75</v>
      </c>
      <c r="S421" s="949"/>
      <c r="T421" s="950"/>
      <c r="U421" s="953"/>
      <c r="V421" s="949"/>
      <c r="W421" s="949"/>
      <c r="X421" s="949"/>
      <c r="Y421" s="987">
        <v>1</v>
      </c>
      <c r="AA421" s="566"/>
    </row>
    <row r="422" spans="5:28" ht="15" customHeight="1">
      <c r="E422" s="570"/>
      <c r="O422" s="977"/>
      <c r="P422" s="575"/>
      <c r="Q422" s="947">
        <v>10</v>
      </c>
      <c r="R422" s="948" t="s">
        <v>76</v>
      </c>
      <c r="S422" s="949"/>
      <c r="T422" s="950"/>
      <c r="U422" s="953"/>
      <c r="V422" s="949"/>
      <c r="W422" s="949"/>
      <c r="X422" s="949"/>
      <c r="Y422" s="987">
        <v>4</v>
      </c>
      <c r="AA422" s="566"/>
    </row>
    <row r="423" spans="5:28" ht="15" customHeight="1">
      <c r="E423" s="570"/>
      <c r="O423" s="977"/>
      <c r="P423" s="575"/>
      <c r="Q423" s="947">
        <v>11</v>
      </c>
      <c r="R423" s="948" t="s">
        <v>77</v>
      </c>
      <c r="S423" s="949"/>
      <c r="T423" s="950"/>
      <c r="U423" s="953"/>
      <c r="V423" s="949"/>
      <c r="W423" s="949"/>
      <c r="X423" s="949"/>
      <c r="Y423" s="987">
        <v>1</v>
      </c>
      <c r="AA423" s="566"/>
    </row>
    <row r="424" spans="5:28" ht="15" customHeight="1">
      <c r="E424" s="570"/>
      <c r="O424" s="977"/>
      <c r="P424" s="575"/>
      <c r="Q424" s="947">
        <v>12</v>
      </c>
      <c r="R424" s="948" t="s">
        <v>78</v>
      </c>
      <c r="S424" s="949"/>
      <c r="T424" s="950"/>
      <c r="U424" s="953"/>
      <c r="V424" s="949"/>
      <c r="W424" s="949"/>
      <c r="X424" s="949"/>
      <c r="Y424" s="987">
        <v>1</v>
      </c>
      <c r="AA424" s="566"/>
    </row>
    <row r="425" spans="5:28" ht="15" customHeight="1">
      <c r="E425" s="570"/>
      <c r="O425" s="977"/>
      <c r="P425" s="575"/>
      <c r="Q425" s="947">
        <v>13</v>
      </c>
      <c r="R425" s="948" t="s">
        <v>79</v>
      </c>
      <c r="S425" s="949"/>
      <c r="T425" s="950"/>
      <c r="U425" s="953"/>
      <c r="V425" s="949"/>
      <c r="W425" s="949"/>
      <c r="X425" s="949"/>
      <c r="Y425" s="987">
        <v>1</v>
      </c>
      <c r="AA425" s="566"/>
    </row>
    <row r="426" spans="5:28" ht="15" customHeight="1">
      <c r="E426" s="570"/>
      <c r="O426" s="977"/>
      <c r="P426" s="575"/>
      <c r="Q426" s="947">
        <v>14</v>
      </c>
      <c r="R426" s="948" t="s">
        <v>80</v>
      </c>
      <c r="S426" s="949"/>
      <c r="T426" s="950"/>
      <c r="U426" s="953"/>
      <c r="V426" s="949"/>
      <c r="W426" s="949"/>
      <c r="X426" s="949"/>
      <c r="Y426" s="987">
        <v>1</v>
      </c>
      <c r="AA426" s="566"/>
    </row>
    <row r="427" spans="5:28" ht="15" customHeight="1">
      <c r="E427" s="986"/>
      <c r="F427" s="577"/>
      <c r="G427" s="577"/>
      <c r="H427" s="577"/>
      <c r="I427" s="577"/>
      <c r="J427" s="577"/>
      <c r="K427" s="577"/>
      <c r="L427" s="577"/>
      <c r="M427" s="577"/>
      <c r="N427" s="577"/>
      <c r="O427" s="971"/>
      <c r="P427" s="580"/>
      <c r="Q427" s="576"/>
      <c r="R427" s="577"/>
      <c r="S427" s="577"/>
      <c r="T427" s="577"/>
      <c r="U427" s="577"/>
      <c r="V427" s="577"/>
      <c r="W427" s="577"/>
      <c r="X427" s="577"/>
      <c r="Y427" s="580"/>
    </row>
    <row r="428" spans="5:28" ht="15" customHeight="1">
      <c r="E428" s="565"/>
      <c r="F428" s="565"/>
      <c r="G428" s="565"/>
      <c r="H428" s="565"/>
      <c r="I428" s="565"/>
      <c r="J428" s="565"/>
      <c r="K428" s="565"/>
      <c r="L428" s="565"/>
      <c r="M428" s="565"/>
      <c r="N428" s="565"/>
      <c r="O428" s="565"/>
      <c r="P428" s="565"/>
      <c r="Q428" s="565"/>
      <c r="R428" s="566"/>
      <c r="S428" s="957"/>
      <c r="T428" s="957"/>
      <c r="U428" s="957"/>
      <c r="V428" s="967"/>
      <c r="W428" s="957"/>
      <c r="X428" s="957"/>
      <c r="Y428" s="957"/>
    </row>
    <row r="429" spans="5:28" ht="15" customHeight="1">
      <c r="E429" s="567"/>
      <c r="F429" s="568"/>
      <c r="G429" s="568"/>
      <c r="H429" s="568"/>
      <c r="I429" s="568"/>
      <c r="J429" s="568"/>
      <c r="K429" s="568"/>
      <c r="L429" s="568"/>
      <c r="M429" s="568"/>
      <c r="N429" s="568"/>
      <c r="O429" s="568"/>
      <c r="P429" s="569"/>
      <c r="Q429" s="1113" t="s">
        <v>2490</v>
      </c>
      <c r="R429" s="1114"/>
      <c r="S429" s="1114"/>
      <c r="T429" s="1114"/>
      <c r="U429" s="1114"/>
      <c r="V429" s="1114"/>
      <c r="W429" s="1114"/>
      <c r="X429" s="1114"/>
      <c r="Y429" s="1115"/>
      <c r="AA429" s="566"/>
      <c r="AB429" s="566"/>
    </row>
    <row r="430" spans="5:28" ht="15" customHeight="1">
      <c r="E430" s="570"/>
      <c r="H430" s="985"/>
      <c r="K430" s="958"/>
      <c r="L430" s="985"/>
      <c r="P430" s="575"/>
      <c r="Q430" s="1116"/>
      <c r="R430" s="1117"/>
      <c r="S430" s="1117"/>
      <c r="T430" s="1117"/>
      <c r="U430" s="1117"/>
      <c r="V430" s="1117"/>
      <c r="W430" s="1117"/>
      <c r="X430" s="1117"/>
      <c r="Y430" s="1118"/>
      <c r="AA430" s="566"/>
      <c r="AB430" s="566"/>
    </row>
    <row r="431" spans="5:28" ht="15" customHeight="1">
      <c r="E431" s="570"/>
      <c r="P431" s="575"/>
      <c r="Q431" s="584">
        <v>1</v>
      </c>
      <c r="R431" s="585" t="s">
        <v>2491</v>
      </c>
      <c r="S431" s="586"/>
      <c r="T431" s="586"/>
      <c r="U431" s="962"/>
      <c r="V431" s="586"/>
      <c r="W431" s="586"/>
      <c r="X431" s="586"/>
      <c r="Y431" s="587" t="s">
        <v>56</v>
      </c>
      <c r="AA431" s="566"/>
      <c r="AB431" s="566"/>
    </row>
    <row r="432" spans="5:28" ht="15" customHeight="1">
      <c r="E432" s="570"/>
      <c r="P432" s="575"/>
      <c r="Q432" s="570"/>
      <c r="R432" s="571" t="s">
        <v>2492</v>
      </c>
      <c r="S432" s="572"/>
      <c r="T432" s="572"/>
      <c r="U432" s="965"/>
      <c r="V432" s="966"/>
      <c r="W432" s="572"/>
      <c r="X432" s="572"/>
      <c r="Y432" s="583">
        <f>Y111</f>
        <v>135.23000000000002</v>
      </c>
      <c r="AA432" s="566"/>
      <c r="AB432" s="566"/>
    </row>
    <row r="433" spans="5:28" ht="15" customHeight="1">
      <c r="E433" s="570"/>
      <c r="P433" s="575"/>
      <c r="Q433" s="570"/>
      <c r="R433" s="571"/>
      <c r="S433" s="572"/>
      <c r="T433" s="572"/>
      <c r="U433" s="572"/>
      <c r="V433" s="572"/>
      <c r="W433" s="572"/>
      <c r="X433" s="572"/>
      <c r="Y433" s="987"/>
      <c r="AA433" s="566"/>
      <c r="AB433" s="566"/>
    </row>
    <row r="434" spans="5:28" ht="15" customHeight="1">
      <c r="E434" s="570"/>
      <c r="P434" s="575"/>
      <c r="Q434" s="584">
        <v>2</v>
      </c>
      <c r="R434" s="585" t="s">
        <v>2493</v>
      </c>
      <c r="S434" s="586"/>
      <c r="T434" s="586"/>
      <c r="U434" s="962"/>
      <c r="V434" s="586"/>
      <c r="W434" s="586"/>
      <c r="X434" s="586"/>
      <c r="Y434" s="587" t="s">
        <v>56</v>
      </c>
      <c r="AA434" s="566"/>
      <c r="AB434" s="566"/>
    </row>
    <row r="435" spans="5:28" ht="15" customHeight="1">
      <c r="E435" s="570"/>
      <c r="P435" s="575"/>
      <c r="Q435" s="570"/>
      <c r="R435" s="571" t="s">
        <v>2494</v>
      </c>
      <c r="S435" s="572"/>
      <c r="T435" s="572"/>
      <c r="U435" s="965"/>
      <c r="V435" s="966"/>
      <c r="W435" s="572"/>
      <c r="X435" s="572"/>
      <c r="Y435" s="583">
        <f>Y254</f>
        <v>80</v>
      </c>
      <c r="AA435" s="566"/>
      <c r="AB435" s="566"/>
    </row>
    <row r="436" spans="5:28" ht="15" customHeight="1">
      <c r="E436" s="570"/>
      <c r="P436" s="575"/>
      <c r="Q436" s="570"/>
      <c r="R436" s="571"/>
      <c r="S436" s="572"/>
      <c r="T436" s="572"/>
      <c r="U436" s="572"/>
      <c r="V436" s="572"/>
      <c r="W436" s="572"/>
      <c r="X436" s="572"/>
      <c r="Y436" s="987"/>
      <c r="AA436" s="566"/>
      <c r="AB436" s="566"/>
    </row>
    <row r="437" spans="5:28" ht="15" customHeight="1">
      <c r="E437" s="570"/>
      <c r="P437" s="575"/>
      <c r="Q437" s="584">
        <v>3</v>
      </c>
      <c r="R437" s="585" t="s">
        <v>83</v>
      </c>
      <c r="S437" s="586" t="s">
        <v>2076</v>
      </c>
      <c r="T437" s="586" t="s">
        <v>2497</v>
      </c>
      <c r="U437" s="962" t="s">
        <v>2498</v>
      </c>
      <c r="V437" s="586" t="s">
        <v>2499</v>
      </c>
      <c r="W437" s="586"/>
      <c r="X437" s="586"/>
      <c r="Y437" s="587" t="s">
        <v>56</v>
      </c>
      <c r="AA437" s="566"/>
      <c r="AB437" s="566"/>
    </row>
    <row r="438" spans="5:28" ht="15" customHeight="1">
      <c r="E438" s="570"/>
      <c r="O438" s="977"/>
      <c r="P438" s="575"/>
      <c r="Q438" s="570"/>
      <c r="R438" s="571" t="s">
        <v>2495</v>
      </c>
      <c r="S438" s="572">
        <f>S348+S337+S326+S311+S298+S281+S264</f>
        <v>27.540000000000003</v>
      </c>
      <c r="T438" s="588">
        <v>0.05</v>
      </c>
      <c r="U438" s="588">
        <v>0.12</v>
      </c>
      <c r="V438" s="966">
        <v>0.05</v>
      </c>
      <c r="W438" s="572"/>
      <c r="X438" s="572"/>
      <c r="Y438" s="943">
        <f>(S438)*(T438+U438+V438)</f>
        <v>6.0587999999999997</v>
      </c>
      <c r="AA438" s="566"/>
      <c r="AB438" s="566"/>
    </row>
    <row r="439" spans="5:28" ht="15" customHeight="1">
      <c r="E439" s="570"/>
      <c r="O439" s="977"/>
      <c r="P439" s="575"/>
      <c r="Q439" s="947"/>
      <c r="R439" s="948" t="s">
        <v>2496</v>
      </c>
      <c r="S439" s="949">
        <f>Y245</f>
        <v>39.536019536019538</v>
      </c>
      <c r="T439" s="950">
        <v>0.2</v>
      </c>
      <c r="U439" s="949" t="s">
        <v>2024</v>
      </c>
      <c r="V439" s="949" t="s">
        <v>2024</v>
      </c>
      <c r="W439" s="949"/>
      <c r="X439" s="949"/>
      <c r="Y439" s="943">
        <f>S439*T439</f>
        <v>7.9072039072039075</v>
      </c>
      <c r="AA439" s="566"/>
      <c r="AB439" s="566"/>
    </row>
    <row r="440" spans="5:28" ht="15" customHeight="1">
      <c r="E440" s="570"/>
      <c r="O440" s="977"/>
      <c r="P440" s="575"/>
      <c r="Q440" s="947"/>
      <c r="R440" s="948"/>
      <c r="S440" s="949"/>
      <c r="T440" s="950"/>
      <c r="U440" s="953"/>
      <c r="V440" s="949"/>
      <c r="W440" s="949"/>
      <c r="X440" s="949"/>
      <c r="Y440" s="583">
        <f>SUM(Y438:Y439)</f>
        <v>13.966003907203907</v>
      </c>
      <c r="AA440" s="566"/>
      <c r="AB440" s="566"/>
    </row>
    <row r="441" spans="5:28" ht="15" customHeight="1">
      <c r="E441" s="986"/>
      <c r="F441" s="577"/>
      <c r="G441" s="577"/>
      <c r="H441" s="577"/>
      <c r="I441" s="577"/>
      <c r="J441" s="577"/>
      <c r="K441" s="577"/>
      <c r="L441" s="577"/>
      <c r="M441" s="577"/>
      <c r="N441" s="577"/>
      <c r="O441" s="971"/>
      <c r="P441" s="580"/>
      <c r="Q441" s="576"/>
      <c r="R441" s="577"/>
      <c r="S441" s="577"/>
      <c r="T441" s="577"/>
      <c r="U441" s="577"/>
      <c r="V441" s="577"/>
      <c r="W441" s="577"/>
      <c r="X441" s="577"/>
      <c r="Y441" s="580"/>
      <c r="AB441" s="566"/>
    </row>
    <row r="442" spans="5:28" ht="15" customHeight="1">
      <c r="E442" s="565"/>
      <c r="F442" s="565"/>
      <c r="G442" s="565"/>
      <c r="H442" s="565"/>
      <c r="I442" s="565"/>
      <c r="J442" s="565"/>
      <c r="K442" s="565"/>
      <c r="L442" s="565"/>
      <c r="M442" s="565"/>
      <c r="N442" s="565"/>
      <c r="O442" s="565"/>
      <c r="P442" s="565"/>
      <c r="Q442" s="565"/>
      <c r="R442" s="566"/>
      <c r="S442" s="957"/>
      <c r="T442" s="957"/>
      <c r="U442" s="957"/>
      <c r="V442" s="967"/>
      <c r="W442" s="957"/>
      <c r="X442" s="957"/>
      <c r="Y442" s="957"/>
      <c r="AB442" s="566"/>
    </row>
    <row r="443" spans="5:28" ht="15" customHeight="1">
      <c r="E443" s="567"/>
      <c r="F443" s="568"/>
      <c r="G443" s="568"/>
      <c r="H443" s="568"/>
      <c r="I443" s="568"/>
      <c r="J443" s="568"/>
      <c r="K443" s="568"/>
      <c r="L443" s="568"/>
      <c r="M443" s="568"/>
      <c r="N443" s="568"/>
      <c r="O443" s="568"/>
      <c r="P443" s="569"/>
      <c r="Q443" s="1114" t="s">
        <v>2500</v>
      </c>
      <c r="R443" s="1114"/>
      <c r="S443" s="1114"/>
      <c r="T443" s="1114"/>
      <c r="U443" s="1114"/>
      <c r="V443" s="1114"/>
      <c r="W443" s="1114"/>
      <c r="X443" s="1114"/>
      <c r="Y443" s="1115"/>
      <c r="AB443" s="566"/>
    </row>
    <row r="444" spans="5:28" ht="15" customHeight="1">
      <c r="E444" s="570"/>
      <c r="H444" s="985"/>
      <c r="K444" s="958"/>
      <c r="L444" s="985"/>
      <c r="P444" s="575"/>
      <c r="Q444" s="1117"/>
      <c r="R444" s="1117"/>
      <c r="S444" s="1117"/>
      <c r="T444" s="1117"/>
      <c r="U444" s="1117"/>
      <c r="V444" s="1117"/>
      <c r="W444" s="1117"/>
      <c r="X444" s="1117"/>
      <c r="Y444" s="1118"/>
      <c r="AB444" s="566"/>
    </row>
    <row r="445" spans="5:28" ht="15" customHeight="1">
      <c r="E445" s="570"/>
      <c r="M445" s="571"/>
      <c r="N445" s="571" t="s">
        <v>2502</v>
      </c>
      <c r="P445" s="575"/>
      <c r="Q445" s="944">
        <v>1</v>
      </c>
      <c r="R445" s="585" t="s">
        <v>86</v>
      </c>
      <c r="S445" s="586" t="s">
        <v>2076</v>
      </c>
      <c r="T445" s="586" t="s">
        <v>2077</v>
      </c>
      <c r="U445" s="586" t="s">
        <v>2078</v>
      </c>
      <c r="V445" s="586"/>
      <c r="W445" s="586"/>
      <c r="X445" s="586"/>
      <c r="Y445" s="587" t="s">
        <v>56</v>
      </c>
      <c r="AA445" s="566"/>
      <c r="AB445" s="566"/>
    </row>
    <row r="446" spans="5:28" ht="15" customHeight="1">
      <c r="E446" s="570"/>
      <c r="M446" s="571"/>
      <c r="N446" s="571" t="s">
        <v>2503</v>
      </c>
      <c r="P446" s="575"/>
      <c r="Q446" s="574"/>
      <c r="R446" s="571" t="s">
        <v>87</v>
      </c>
      <c r="S446" s="588">
        <v>2.85</v>
      </c>
      <c r="T446" s="588">
        <v>1.8</v>
      </c>
      <c r="U446" s="588">
        <v>1.5</v>
      </c>
      <c r="V446" s="966"/>
      <c r="W446" s="572"/>
      <c r="X446" s="572"/>
      <c r="Y446" s="970">
        <f>S446*T446*U446</f>
        <v>7.6950000000000003</v>
      </c>
      <c r="AA446" s="566"/>
      <c r="AB446" s="566"/>
    </row>
    <row r="447" spans="5:28" ht="15" customHeight="1">
      <c r="E447" s="570"/>
      <c r="P447" s="575"/>
      <c r="Q447" s="574"/>
      <c r="R447" s="571" t="s">
        <v>87</v>
      </c>
      <c r="S447" s="588">
        <v>0.7</v>
      </c>
      <c r="T447" s="588">
        <v>0.7</v>
      </c>
      <c r="U447" s="588">
        <v>0.7</v>
      </c>
      <c r="V447" s="572"/>
      <c r="W447" s="572"/>
      <c r="X447" s="572"/>
      <c r="Y447" s="970">
        <f>S447*T447*U447</f>
        <v>0.34299999999999992</v>
      </c>
      <c r="AA447" s="566"/>
      <c r="AB447" s="566"/>
    </row>
    <row r="448" spans="5:28" ht="15" customHeight="1">
      <c r="E448" s="570"/>
      <c r="P448" s="575"/>
      <c r="Q448" s="951"/>
      <c r="R448" s="948" t="s">
        <v>88</v>
      </c>
      <c r="S448" s="950">
        <v>1.6</v>
      </c>
      <c r="T448" s="950">
        <v>1.85</v>
      </c>
      <c r="U448" s="950">
        <v>1.6</v>
      </c>
      <c r="V448" s="949"/>
      <c r="W448" s="949"/>
      <c r="X448" s="949"/>
      <c r="Y448" s="970">
        <f>S448*T448*U448</f>
        <v>4.7360000000000007</v>
      </c>
      <c r="AA448" s="566"/>
      <c r="AB448" s="566"/>
    </row>
    <row r="449" spans="5:28" ht="15" customHeight="1">
      <c r="E449" s="570"/>
      <c r="P449" s="575"/>
      <c r="Q449" s="951"/>
      <c r="R449" s="948"/>
      <c r="S449" s="949"/>
      <c r="T449" s="949"/>
      <c r="U449" s="988"/>
      <c r="V449" s="989"/>
      <c r="W449" s="949"/>
      <c r="X449" s="949"/>
      <c r="Y449" s="982">
        <f>SUM(Y446:Y448)</f>
        <v>12.774000000000001</v>
      </c>
      <c r="AA449" s="566"/>
      <c r="AB449" s="566"/>
    </row>
    <row r="450" spans="5:28" ht="15" customHeight="1">
      <c r="E450" s="570"/>
      <c r="P450" s="575"/>
      <c r="Q450" s="951"/>
      <c r="R450" s="948"/>
      <c r="S450" s="949"/>
      <c r="T450" s="949"/>
      <c r="U450" s="988"/>
      <c r="V450" s="989"/>
      <c r="W450" s="949"/>
      <c r="X450" s="949"/>
      <c r="Y450" s="982"/>
      <c r="AA450" s="566"/>
      <c r="AB450" s="566"/>
    </row>
    <row r="451" spans="5:28" ht="15" customHeight="1">
      <c r="E451" s="570"/>
      <c r="P451" s="575"/>
      <c r="Q451" s="951"/>
      <c r="R451" s="948"/>
      <c r="S451" s="949"/>
      <c r="T451" s="949"/>
      <c r="U451" s="949"/>
      <c r="V451" s="949"/>
      <c r="W451" s="949"/>
      <c r="X451" s="949"/>
      <c r="Y451" s="987"/>
      <c r="AA451" s="566"/>
      <c r="AB451" s="566"/>
    </row>
    <row r="452" spans="5:28" ht="15" customHeight="1">
      <c r="E452" s="567"/>
      <c r="F452" s="568"/>
      <c r="G452" s="568"/>
      <c r="H452" s="568"/>
      <c r="I452" s="568"/>
      <c r="J452" s="568"/>
      <c r="K452" s="568"/>
      <c r="L452" s="568"/>
      <c r="M452" s="568"/>
      <c r="N452" s="568"/>
      <c r="O452" s="568"/>
      <c r="P452" s="569"/>
      <c r="Q452" s="944">
        <v>2</v>
      </c>
      <c r="R452" s="585" t="s">
        <v>2501</v>
      </c>
      <c r="S452" s="586" t="s">
        <v>56</v>
      </c>
      <c r="T452" s="586" t="s">
        <v>2077</v>
      </c>
      <c r="U452" s="586" t="s">
        <v>2078</v>
      </c>
      <c r="V452" s="586"/>
      <c r="W452" s="586"/>
      <c r="X452" s="586"/>
      <c r="Y452" s="587" t="s">
        <v>56</v>
      </c>
      <c r="AA452" s="566"/>
      <c r="AB452" s="566"/>
    </row>
    <row r="453" spans="5:28" ht="15" customHeight="1">
      <c r="E453" s="570"/>
      <c r="I453" s="571"/>
      <c r="L453" s="571" t="s">
        <v>25</v>
      </c>
      <c r="O453" s="977"/>
      <c r="P453" s="575"/>
      <c r="Q453" s="951"/>
      <c r="R453" s="571" t="s">
        <v>87</v>
      </c>
      <c r="S453" s="588">
        <v>6</v>
      </c>
      <c r="T453" s="588">
        <v>1.2</v>
      </c>
      <c r="U453" s="588">
        <v>1.5</v>
      </c>
      <c r="V453" s="966"/>
      <c r="W453" s="572"/>
      <c r="X453" s="572"/>
      <c r="Y453" s="970">
        <f>S453*(T453*U453)</f>
        <v>10.799999999999999</v>
      </c>
      <c r="AA453" s="566"/>
      <c r="AB453" s="566"/>
    </row>
    <row r="454" spans="5:28" ht="15" customHeight="1">
      <c r="E454" s="570"/>
      <c r="I454" s="571"/>
      <c r="L454" s="571" t="s">
        <v>2504</v>
      </c>
      <c r="O454" s="977"/>
      <c r="P454" s="575"/>
      <c r="Q454" s="951"/>
      <c r="R454" s="571" t="s">
        <v>87</v>
      </c>
      <c r="S454" s="588">
        <v>6</v>
      </c>
      <c r="T454" s="588">
        <v>1.2</v>
      </c>
      <c r="U454" s="588">
        <v>1.5</v>
      </c>
      <c r="V454" s="572"/>
      <c r="W454" s="572"/>
      <c r="X454" s="572"/>
      <c r="Y454" s="970">
        <f>S454*T454*U454</f>
        <v>10.799999999999999</v>
      </c>
      <c r="AA454" s="566"/>
      <c r="AB454" s="566"/>
    </row>
    <row r="455" spans="5:28" ht="15" customHeight="1">
      <c r="E455" s="570"/>
      <c r="O455" s="977"/>
      <c r="P455" s="575"/>
      <c r="Q455" s="951"/>
      <c r="R455" s="948" t="s">
        <v>88</v>
      </c>
      <c r="S455" s="950">
        <v>4</v>
      </c>
      <c r="T455" s="950">
        <v>1.2</v>
      </c>
      <c r="U455" s="950">
        <v>0.7</v>
      </c>
      <c r="V455" s="949"/>
      <c r="W455" s="949"/>
      <c r="X455" s="949"/>
      <c r="Y455" s="970">
        <f>S455*T455*U455</f>
        <v>3.36</v>
      </c>
      <c r="AA455" s="566"/>
      <c r="AB455" s="566"/>
    </row>
    <row r="456" spans="5:28" ht="15" customHeight="1">
      <c r="E456" s="570"/>
      <c r="O456" s="977"/>
      <c r="P456" s="575"/>
      <c r="Q456" s="951"/>
      <c r="R456" s="948"/>
      <c r="S456" s="949"/>
      <c r="T456" s="949"/>
      <c r="U456" s="988"/>
      <c r="V456" s="989"/>
      <c r="W456" s="949"/>
      <c r="X456" s="949"/>
      <c r="Y456" s="982">
        <f>SUM(Y453:Y455)</f>
        <v>24.959999999999997</v>
      </c>
      <c r="AA456" s="566"/>
      <c r="AB456" s="566"/>
    </row>
    <row r="457" spans="5:28" ht="15" customHeight="1">
      <c r="E457" s="570"/>
      <c r="O457" s="977"/>
      <c r="P457" s="575"/>
      <c r="Q457" s="951"/>
      <c r="R457" s="948"/>
      <c r="S457" s="949"/>
      <c r="T457" s="949"/>
      <c r="U457" s="988"/>
      <c r="V457" s="989"/>
      <c r="W457" s="949"/>
      <c r="X457" s="949"/>
      <c r="Y457" s="970"/>
      <c r="AA457" s="566"/>
      <c r="AB457" s="566"/>
    </row>
    <row r="458" spans="5:28" ht="15" customHeight="1">
      <c r="E458" s="570"/>
      <c r="O458" s="977"/>
      <c r="P458" s="575"/>
      <c r="Q458" s="951"/>
      <c r="R458" s="948"/>
      <c r="S458" s="949"/>
      <c r="T458" s="949"/>
      <c r="U458" s="988"/>
      <c r="V458" s="989"/>
      <c r="W458" s="949"/>
      <c r="X458" s="949"/>
      <c r="Y458" s="970"/>
      <c r="AA458" s="566"/>
      <c r="AB458" s="566"/>
    </row>
    <row r="459" spans="5:28" ht="15" customHeight="1">
      <c r="E459" s="576"/>
      <c r="F459" s="577"/>
      <c r="G459" s="577"/>
      <c r="H459" s="577"/>
      <c r="I459" s="577"/>
      <c r="J459" s="577"/>
      <c r="K459" s="577"/>
      <c r="L459" s="577"/>
      <c r="M459" s="577"/>
      <c r="N459" s="577"/>
      <c r="O459" s="994"/>
      <c r="P459" s="580"/>
      <c r="Q459" s="951"/>
      <c r="R459" s="948"/>
      <c r="S459" s="949"/>
      <c r="T459" s="949"/>
      <c r="U459" s="988"/>
      <c r="V459" s="989"/>
      <c r="W459" s="949"/>
      <c r="X459" s="949"/>
      <c r="Y459" s="970"/>
      <c r="AA459" s="566"/>
      <c r="AB459" s="566"/>
    </row>
    <row r="460" spans="5:28" ht="15" customHeight="1">
      <c r="E460" s="567"/>
      <c r="F460" s="568"/>
      <c r="G460" s="568"/>
      <c r="H460" s="568"/>
      <c r="I460" s="568"/>
      <c r="J460" s="568"/>
      <c r="K460" s="568"/>
      <c r="L460" s="568"/>
      <c r="M460" s="568"/>
      <c r="N460" s="568"/>
      <c r="O460" s="992"/>
      <c r="P460" s="569"/>
      <c r="Q460" s="944">
        <v>3</v>
      </c>
      <c r="R460" s="585" t="s">
        <v>121</v>
      </c>
      <c r="S460" s="586" t="s">
        <v>2076</v>
      </c>
      <c r="T460" s="586" t="s">
        <v>2077</v>
      </c>
      <c r="U460" s="586" t="s">
        <v>2467</v>
      </c>
      <c r="V460" s="586"/>
      <c r="W460" s="586"/>
      <c r="X460" s="586"/>
      <c r="Y460" s="587" t="s">
        <v>56</v>
      </c>
      <c r="AA460" s="566"/>
      <c r="AB460" s="566"/>
    </row>
    <row r="461" spans="5:28" ht="15" customHeight="1">
      <c r="E461" s="570"/>
      <c r="O461" s="977"/>
      <c r="P461" s="575"/>
      <c r="Q461" s="951"/>
      <c r="R461" s="571"/>
      <c r="S461" s="588">
        <v>1.2</v>
      </c>
      <c r="T461" s="588">
        <v>1.2</v>
      </c>
      <c r="U461" s="588">
        <v>0.3</v>
      </c>
      <c r="V461" s="966"/>
      <c r="W461" s="572"/>
      <c r="X461" s="572"/>
      <c r="Y461" s="982">
        <f>S461*(T461*U461)</f>
        <v>0.432</v>
      </c>
      <c r="AB461" s="566"/>
    </row>
    <row r="462" spans="5:28" ht="15" customHeight="1">
      <c r="E462" s="570"/>
      <c r="O462" s="977"/>
      <c r="P462" s="575"/>
      <c r="Q462" s="951"/>
      <c r="R462" s="948"/>
      <c r="S462" s="949"/>
      <c r="T462" s="950"/>
      <c r="U462" s="953"/>
      <c r="V462" s="949"/>
      <c r="W462" s="949"/>
      <c r="X462" s="949"/>
      <c r="Y462" s="987"/>
      <c r="AB462" s="566"/>
    </row>
    <row r="463" spans="5:28" ht="15" customHeight="1">
      <c r="E463" s="570"/>
      <c r="O463" s="977"/>
      <c r="P463" s="575"/>
      <c r="Q463" s="944">
        <v>4</v>
      </c>
      <c r="R463" s="585" t="s">
        <v>1683</v>
      </c>
      <c r="S463" s="586" t="s">
        <v>2076</v>
      </c>
      <c r="T463" s="586" t="s">
        <v>2077</v>
      </c>
      <c r="U463" s="586" t="s">
        <v>2467</v>
      </c>
      <c r="V463" s="586"/>
      <c r="W463" s="586"/>
      <c r="X463" s="586"/>
      <c r="Y463" s="587" t="s">
        <v>56</v>
      </c>
      <c r="AB463" s="566"/>
    </row>
    <row r="464" spans="5:28" ht="15" customHeight="1">
      <c r="E464" s="570"/>
      <c r="O464" s="977"/>
      <c r="P464" s="575"/>
      <c r="Q464" s="951"/>
      <c r="R464" s="571"/>
      <c r="S464" s="588">
        <v>1.5</v>
      </c>
      <c r="T464" s="588">
        <v>2.85</v>
      </c>
      <c r="U464" s="588">
        <v>0.1</v>
      </c>
      <c r="V464" s="966"/>
      <c r="W464" s="572"/>
      <c r="X464" s="572"/>
      <c r="Y464" s="982">
        <f>S464*(T464*U464)</f>
        <v>0.42750000000000005</v>
      </c>
      <c r="AB464" s="566"/>
    </row>
    <row r="465" spans="5:28" ht="15" customHeight="1">
      <c r="E465" s="570"/>
      <c r="O465" s="977"/>
      <c r="P465" s="575"/>
      <c r="Q465" s="951"/>
      <c r="R465" s="948"/>
      <c r="S465" s="949"/>
      <c r="T465" s="950"/>
      <c r="U465" s="953"/>
      <c r="V465" s="949"/>
      <c r="W465" s="949"/>
      <c r="X465" s="949"/>
      <c r="Y465" s="987"/>
      <c r="AA465" s="566"/>
      <c r="AB465" s="566"/>
    </row>
    <row r="466" spans="5:28" ht="15" customHeight="1">
      <c r="E466" s="570"/>
      <c r="O466" s="977"/>
      <c r="P466" s="575"/>
      <c r="Q466" s="944">
        <v>5</v>
      </c>
      <c r="R466" s="585" t="s">
        <v>122</v>
      </c>
      <c r="S466" s="586" t="s">
        <v>2076</v>
      </c>
      <c r="T466" s="586" t="s">
        <v>2077</v>
      </c>
      <c r="U466" s="586" t="s">
        <v>2467</v>
      </c>
      <c r="V466" s="586"/>
      <c r="W466" s="586"/>
      <c r="X466" s="586"/>
      <c r="Y466" s="587" t="s">
        <v>56</v>
      </c>
      <c r="AA466" s="566"/>
      <c r="AB466" s="566"/>
    </row>
    <row r="467" spans="5:28" ht="15" customHeight="1">
      <c r="E467" s="570"/>
      <c r="O467" s="977"/>
      <c r="P467" s="575"/>
      <c r="Q467" s="951"/>
      <c r="R467" s="571"/>
      <c r="S467" s="588">
        <v>1.2</v>
      </c>
      <c r="T467" s="588">
        <v>1.2</v>
      </c>
      <c r="U467" s="588">
        <v>0.3</v>
      </c>
      <c r="V467" s="966"/>
      <c r="W467" s="572"/>
      <c r="X467" s="572"/>
      <c r="Y467" s="982">
        <f>S467*(T467*U467)</f>
        <v>0.432</v>
      </c>
      <c r="AA467" s="566"/>
      <c r="AB467" s="566"/>
    </row>
    <row r="468" spans="5:28" ht="15" customHeight="1">
      <c r="E468" s="570"/>
      <c r="O468" s="977"/>
      <c r="P468" s="575"/>
      <c r="Q468" s="951"/>
      <c r="R468" s="948"/>
      <c r="S468" s="949"/>
      <c r="T468" s="950"/>
      <c r="U468" s="953"/>
      <c r="V468" s="949"/>
      <c r="W468" s="949"/>
      <c r="X468" s="949"/>
      <c r="Y468" s="987"/>
      <c r="AA468" s="566"/>
      <c r="AB468" s="566"/>
    </row>
    <row r="469" spans="5:28" ht="15" customHeight="1">
      <c r="E469" s="570"/>
      <c r="O469" s="977"/>
      <c r="P469" s="575"/>
      <c r="Q469" s="944">
        <v>6</v>
      </c>
      <c r="R469" s="585" t="s">
        <v>1684</v>
      </c>
      <c r="S469" s="586" t="s">
        <v>2076</v>
      </c>
      <c r="T469" s="586" t="s">
        <v>2077</v>
      </c>
      <c r="U469" s="586" t="s">
        <v>2467</v>
      </c>
      <c r="V469" s="586"/>
      <c r="W469" s="586"/>
      <c r="X469" s="586"/>
      <c r="Y469" s="587" t="s">
        <v>56</v>
      </c>
      <c r="AA469" s="566"/>
      <c r="AB469" s="566"/>
    </row>
    <row r="470" spans="5:28" ht="15" customHeight="1">
      <c r="E470" s="570"/>
      <c r="O470" s="977"/>
      <c r="P470" s="575"/>
      <c r="Q470" s="951"/>
      <c r="R470" s="571"/>
      <c r="S470" s="588">
        <v>1.2</v>
      </c>
      <c r="T470" s="588">
        <v>1.2</v>
      </c>
      <c r="U470" s="588">
        <v>0.3</v>
      </c>
      <c r="V470" s="966"/>
      <c r="W470" s="572"/>
      <c r="X470" s="572"/>
      <c r="Y470" s="982">
        <f>S470*(T470*U470)</f>
        <v>0.432</v>
      </c>
      <c r="AA470" s="566"/>
      <c r="AB470" s="566"/>
    </row>
    <row r="471" spans="5:28" ht="15" customHeight="1">
      <c r="E471" s="570"/>
      <c r="O471" s="977"/>
      <c r="P471" s="575"/>
      <c r="Q471" s="951"/>
      <c r="R471" s="948"/>
      <c r="S471" s="949"/>
      <c r="T471" s="950"/>
      <c r="U471" s="953"/>
      <c r="V471" s="949"/>
      <c r="W471" s="949"/>
      <c r="X471" s="949"/>
      <c r="Y471" s="987"/>
      <c r="AA471" s="566"/>
      <c r="AB471" s="566"/>
    </row>
    <row r="472" spans="5:28" ht="15" customHeight="1">
      <c r="E472" s="570"/>
      <c r="O472" s="977"/>
      <c r="P472" s="575"/>
      <c r="Q472" s="944">
        <v>7</v>
      </c>
      <c r="R472" s="585" t="s">
        <v>123</v>
      </c>
      <c r="S472" s="586" t="s">
        <v>2076</v>
      </c>
      <c r="T472" s="586" t="s">
        <v>2077</v>
      </c>
      <c r="U472" s="586" t="s">
        <v>2505</v>
      </c>
      <c r="V472" s="586"/>
      <c r="W472" s="586"/>
      <c r="X472" s="586"/>
      <c r="Y472" s="587" t="s">
        <v>56</v>
      </c>
      <c r="AA472" s="566"/>
      <c r="AB472" s="566"/>
    </row>
    <row r="473" spans="5:28" ht="15" customHeight="1">
      <c r="E473" s="570"/>
      <c r="O473" s="977"/>
      <c r="P473" s="575"/>
      <c r="Q473" s="951"/>
      <c r="R473" s="571"/>
      <c r="S473" s="588">
        <v>1.1499999999999999</v>
      </c>
      <c r="T473" s="588">
        <v>1.6</v>
      </c>
      <c r="U473" s="588">
        <v>2</v>
      </c>
      <c r="V473" s="966"/>
      <c r="W473" s="572"/>
      <c r="X473" s="572"/>
      <c r="Y473" s="970">
        <f>S473*(T473*U473)</f>
        <v>3.6799999999999997</v>
      </c>
      <c r="AA473" s="566"/>
      <c r="AB473" s="566"/>
    </row>
    <row r="474" spans="5:28" ht="15" customHeight="1">
      <c r="E474" s="570"/>
      <c r="O474" s="977"/>
      <c r="P474" s="575"/>
      <c r="Q474" s="951"/>
      <c r="R474" s="948"/>
      <c r="S474" s="950">
        <v>1.2</v>
      </c>
      <c r="T474" s="950">
        <v>1.2</v>
      </c>
      <c r="U474" s="950">
        <v>1</v>
      </c>
      <c r="V474" s="949"/>
      <c r="W474" s="949"/>
      <c r="X474" s="949"/>
      <c r="Y474" s="970">
        <f>S474*(T474*U474)</f>
        <v>1.44</v>
      </c>
      <c r="AA474" s="566"/>
      <c r="AB474" s="566"/>
    </row>
    <row r="475" spans="5:28" ht="15" customHeight="1">
      <c r="E475" s="570"/>
      <c r="O475" s="977"/>
      <c r="P475" s="575"/>
      <c r="Q475" s="951"/>
      <c r="R475" s="948"/>
      <c r="S475" s="949"/>
      <c r="T475" s="950"/>
      <c r="U475" s="953"/>
      <c r="V475" s="949"/>
      <c r="W475" s="949"/>
      <c r="X475" s="949"/>
      <c r="Y475" s="982">
        <f>SUM(Y473:Y474)</f>
        <v>5.1199999999999992</v>
      </c>
      <c r="AA475" s="566"/>
      <c r="AB475" s="566"/>
    </row>
    <row r="476" spans="5:28" ht="15" customHeight="1">
      <c r="E476" s="576"/>
      <c r="F476" s="577"/>
      <c r="G476" s="577"/>
      <c r="H476" s="577"/>
      <c r="I476" s="577"/>
      <c r="J476" s="577"/>
      <c r="K476" s="577"/>
      <c r="L476" s="577"/>
      <c r="M476" s="577"/>
      <c r="N476" s="577"/>
      <c r="O476" s="994"/>
      <c r="P476" s="580"/>
      <c r="Q476" s="951"/>
      <c r="R476" s="948"/>
      <c r="S476" s="949"/>
      <c r="T476" s="950"/>
      <c r="U476" s="953"/>
      <c r="V476" s="949"/>
      <c r="W476" s="949"/>
      <c r="X476" s="949"/>
      <c r="Y476" s="987"/>
      <c r="AA476" s="566"/>
      <c r="AB476" s="566"/>
    </row>
    <row r="477" spans="5:28" ht="15" customHeight="1">
      <c r="E477" s="567"/>
      <c r="F477" s="568"/>
      <c r="G477" s="568"/>
      <c r="H477" s="568"/>
      <c r="I477" s="568"/>
      <c r="J477" s="568"/>
      <c r="K477" s="568"/>
      <c r="L477" s="568"/>
      <c r="M477" s="568"/>
      <c r="N477" s="568"/>
      <c r="O477" s="992"/>
      <c r="P477" s="569"/>
      <c r="Q477" s="944">
        <v>8</v>
      </c>
      <c r="R477" s="585" t="s">
        <v>124</v>
      </c>
      <c r="S477" s="586" t="s">
        <v>2076</v>
      </c>
      <c r="T477" s="586" t="s">
        <v>2077</v>
      </c>
      <c r="U477" s="586" t="s">
        <v>2467</v>
      </c>
      <c r="V477" s="586" t="s">
        <v>2505</v>
      </c>
      <c r="W477" s="586"/>
      <c r="X477" s="586"/>
      <c r="Y477" s="587" t="s">
        <v>56</v>
      </c>
      <c r="AA477" s="566"/>
      <c r="AB477" s="566"/>
    </row>
    <row r="478" spans="5:28" ht="15" customHeight="1">
      <c r="E478" s="570"/>
      <c r="J478" s="961">
        <v>0.15</v>
      </c>
      <c r="O478" s="977"/>
      <c r="P478" s="575"/>
      <c r="Q478" s="951"/>
      <c r="R478" s="571"/>
      <c r="S478" s="588">
        <v>1.35</v>
      </c>
      <c r="T478" s="572">
        <f>J478</f>
        <v>0.15</v>
      </c>
      <c r="U478" s="572">
        <f>M481</f>
        <v>0.2</v>
      </c>
      <c r="V478" s="588">
        <v>3</v>
      </c>
      <c r="W478" s="572"/>
      <c r="X478" s="572"/>
      <c r="Y478" s="970">
        <f>S478*T478*U478*V478</f>
        <v>0.12150000000000002</v>
      </c>
      <c r="AA478" s="566"/>
      <c r="AB478" s="566"/>
    </row>
    <row r="479" spans="5:28" ht="15" customHeight="1">
      <c r="E479" s="570"/>
      <c r="O479" s="977"/>
      <c r="P479" s="575"/>
      <c r="Q479" s="951"/>
      <c r="R479" s="948"/>
      <c r="S479" s="588">
        <v>2.7</v>
      </c>
      <c r="T479" s="572">
        <f>J478</f>
        <v>0.15</v>
      </c>
      <c r="U479" s="572">
        <f>M481</f>
        <v>0.2</v>
      </c>
      <c r="V479" s="950">
        <v>2</v>
      </c>
      <c r="W479" s="949"/>
      <c r="X479" s="949"/>
      <c r="Y479" s="970">
        <f>S479*T479*U479*V479</f>
        <v>0.16200000000000003</v>
      </c>
      <c r="AA479" s="566"/>
      <c r="AB479" s="566"/>
    </row>
    <row r="480" spans="5:28" ht="15" customHeight="1">
      <c r="E480" s="990"/>
      <c r="O480" s="958"/>
      <c r="P480" s="575"/>
      <c r="Q480" s="951"/>
      <c r="R480" s="948"/>
      <c r="S480" s="949"/>
      <c r="T480" s="950"/>
      <c r="U480" s="953"/>
      <c r="V480" s="949"/>
      <c r="W480" s="949"/>
      <c r="X480" s="949"/>
      <c r="Y480" s="982">
        <f>SUM(Y478:Y479)</f>
        <v>0.28350000000000009</v>
      </c>
      <c r="AB480" s="566"/>
    </row>
    <row r="481" spans="5:28" ht="15" customHeight="1">
      <c r="E481" s="990"/>
      <c r="M481" s="961">
        <v>0.2</v>
      </c>
      <c r="O481" s="958"/>
      <c r="P481" s="575"/>
      <c r="Q481" s="951"/>
      <c r="R481" s="948"/>
      <c r="S481" s="949"/>
      <c r="T481" s="950"/>
      <c r="U481" s="953"/>
      <c r="V481" s="949"/>
      <c r="W481" s="949"/>
      <c r="X481" s="949"/>
      <c r="Y481" s="970"/>
      <c r="AB481" s="566"/>
    </row>
    <row r="482" spans="5:28" ht="15" customHeight="1">
      <c r="E482" s="990"/>
      <c r="O482" s="958"/>
      <c r="P482" s="575"/>
      <c r="Q482" s="951"/>
      <c r="R482" s="948"/>
      <c r="S482" s="949"/>
      <c r="T482" s="950"/>
      <c r="U482" s="953"/>
      <c r="V482" s="949"/>
      <c r="W482" s="949"/>
      <c r="X482" s="949"/>
      <c r="Y482" s="970"/>
      <c r="AB482" s="566"/>
    </row>
    <row r="483" spans="5:28" ht="15" customHeight="1">
      <c r="E483" s="990"/>
      <c r="O483" s="958"/>
      <c r="P483" s="575"/>
      <c r="Q483" s="951"/>
      <c r="R483" s="948"/>
      <c r="S483" s="949"/>
      <c r="T483" s="950"/>
      <c r="U483" s="953"/>
      <c r="V483" s="949"/>
      <c r="W483" s="949"/>
      <c r="X483" s="949"/>
      <c r="Y483" s="970"/>
      <c r="AB483" s="566"/>
    </row>
    <row r="484" spans="5:28" ht="15" customHeight="1">
      <c r="E484" s="990"/>
      <c r="O484" s="958"/>
      <c r="P484" s="575"/>
      <c r="Q484" s="951"/>
      <c r="R484" s="948"/>
      <c r="S484" s="949"/>
      <c r="T484" s="950"/>
      <c r="U484" s="953"/>
      <c r="V484" s="949"/>
      <c r="W484" s="949"/>
      <c r="X484" s="949"/>
      <c r="Y484" s="970"/>
      <c r="AB484" s="566"/>
    </row>
    <row r="485" spans="5:28" ht="15" customHeight="1">
      <c r="E485" s="576"/>
      <c r="F485" s="577"/>
      <c r="G485" s="577"/>
      <c r="H485" s="577"/>
      <c r="I485" s="577"/>
      <c r="J485" s="577"/>
      <c r="K485" s="577"/>
      <c r="L485" s="577"/>
      <c r="M485" s="577"/>
      <c r="N485" s="577"/>
      <c r="O485" s="577"/>
      <c r="P485" s="580"/>
      <c r="Q485" s="574"/>
      <c r="R485" s="571"/>
      <c r="S485" s="572"/>
      <c r="T485" s="572"/>
      <c r="U485" s="572"/>
      <c r="V485" s="588"/>
      <c r="W485" s="572"/>
      <c r="X485" s="572"/>
      <c r="Y485" s="943"/>
      <c r="AB485" s="566"/>
    </row>
    <row r="486" spans="5:28" ht="15" customHeight="1">
      <c r="E486" s="570"/>
      <c r="P486" s="575"/>
      <c r="Q486" s="944">
        <v>9</v>
      </c>
      <c r="R486" s="585" t="s">
        <v>125</v>
      </c>
      <c r="S486" s="586" t="s">
        <v>2076</v>
      </c>
      <c r="T486" s="586" t="s">
        <v>2077</v>
      </c>
      <c r="U486" s="586" t="s">
        <v>2078</v>
      </c>
      <c r="V486" s="586" t="s">
        <v>2505</v>
      </c>
      <c r="W486" s="586"/>
      <c r="X486" s="586"/>
      <c r="Y486" s="587" t="s">
        <v>56</v>
      </c>
      <c r="AB486" s="566"/>
    </row>
    <row r="487" spans="5:28" ht="15" customHeight="1">
      <c r="E487" s="570"/>
      <c r="J487" s="961">
        <v>0.15</v>
      </c>
      <c r="P487" s="575"/>
      <c r="Q487" s="951"/>
      <c r="R487" s="571"/>
      <c r="S487" s="588">
        <v>1.5</v>
      </c>
      <c r="T487" s="572">
        <f>J487</f>
        <v>0.15</v>
      </c>
      <c r="U487" s="572">
        <f>M490</f>
        <v>0.15</v>
      </c>
      <c r="V487" s="588">
        <v>6</v>
      </c>
      <c r="W487" s="572"/>
      <c r="X487" s="572"/>
      <c r="Y487" s="970">
        <f>S487*T487*U487*V487</f>
        <v>0.20249999999999996</v>
      </c>
      <c r="AB487" s="566"/>
    </row>
    <row r="488" spans="5:28" ht="15" customHeight="1">
      <c r="E488" s="570"/>
      <c r="P488" s="575"/>
      <c r="Q488" s="951"/>
      <c r="R488" s="948"/>
      <c r="S488" s="588"/>
      <c r="T488" s="572"/>
      <c r="U488" s="572"/>
      <c r="V488" s="950"/>
      <c r="W488" s="949"/>
      <c r="X488" s="949"/>
      <c r="Y488" s="982">
        <f>SUM(Y486:Y487)</f>
        <v>0.20249999999999996</v>
      </c>
    </row>
    <row r="489" spans="5:28" ht="15" customHeight="1">
      <c r="E489" s="570"/>
      <c r="P489" s="575"/>
      <c r="Q489" s="951"/>
      <c r="R489" s="948"/>
      <c r="S489" s="949"/>
      <c r="T489" s="950"/>
      <c r="U489" s="953"/>
      <c r="V489" s="949"/>
      <c r="W489" s="949"/>
      <c r="X489" s="949"/>
      <c r="Y489" s="970"/>
    </row>
    <row r="490" spans="5:28" ht="15" customHeight="1">
      <c r="E490" s="570"/>
      <c r="M490" s="961">
        <v>0.15</v>
      </c>
      <c r="P490" s="575"/>
      <c r="Q490" s="951"/>
      <c r="R490" s="948"/>
      <c r="S490" s="949"/>
      <c r="T490" s="950"/>
      <c r="U490" s="953"/>
      <c r="V490" s="949"/>
      <c r="W490" s="949"/>
      <c r="X490" s="949"/>
      <c r="Y490" s="970"/>
    </row>
    <row r="491" spans="5:28" ht="15" customHeight="1">
      <c r="E491" s="570"/>
      <c r="P491" s="575"/>
      <c r="Q491" s="951"/>
      <c r="R491" s="948"/>
      <c r="S491" s="949"/>
      <c r="T491" s="950"/>
      <c r="U491" s="953"/>
      <c r="V491" s="949"/>
      <c r="W491" s="949"/>
      <c r="X491" s="949"/>
      <c r="Y491" s="970"/>
    </row>
    <row r="492" spans="5:28" ht="15" customHeight="1">
      <c r="E492" s="570"/>
      <c r="P492" s="575"/>
      <c r="Q492" s="951"/>
      <c r="R492" s="948"/>
      <c r="S492" s="949"/>
      <c r="T492" s="950"/>
      <c r="U492" s="953"/>
      <c r="V492" s="949"/>
      <c r="W492" s="949"/>
      <c r="X492" s="949"/>
      <c r="Y492" s="970"/>
    </row>
    <row r="493" spans="5:28" ht="15" customHeight="1">
      <c r="E493" s="570"/>
      <c r="P493" s="575"/>
      <c r="Q493" s="574"/>
      <c r="R493" s="571"/>
      <c r="S493" s="572"/>
      <c r="T493" s="572"/>
      <c r="U493" s="572"/>
      <c r="V493" s="588"/>
      <c r="W493" s="572"/>
      <c r="X493" s="572"/>
      <c r="Y493" s="943"/>
    </row>
    <row r="494" spans="5:28" ht="15" customHeight="1">
      <c r="E494" s="567"/>
      <c r="F494" s="568"/>
      <c r="G494" s="568"/>
      <c r="H494" s="568"/>
      <c r="I494" s="568"/>
      <c r="J494" s="568"/>
      <c r="K494" s="568"/>
      <c r="L494" s="568"/>
      <c r="M494" s="568"/>
      <c r="N494" s="568"/>
      <c r="O494" s="568"/>
      <c r="P494" s="569"/>
      <c r="Q494" s="944">
        <v>10</v>
      </c>
      <c r="R494" s="585" t="s">
        <v>126</v>
      </c>
      <c r="S494" s="586" t="s">
        <v>2076</v>
      </c>
      <c r="T494" s="586" t="s">
        <v>2077</v>
      </c>
      <c r="U494" s="586" t="s">
        <v>2078</v>
      </c>
      <c r="V494" s="586" t="s">
        <v>2505</v>
      </c>
      <c r="W494" s="586"/>
      <c r="X494" s="586"/>
      <c r="Y494" s="587" t="s">
        <v>56</v>
      </c>
    </row>
    <row r="495" spans="5:28" ht="15" customHeight="1">
      <c r="E495" s="570"/>
      <c r="J495" s="961">
        <v>0.2</v>
      </c>
      <c r="P495" s="575"/>
      <c r="Q495" s="951"/>
      <c r="R495" s="571"/>
      <c r="S495" s="588">
        <v>0.7</v>
      </c>
      <c r="T495" s="572">
        <f>J495</f>
        <v>0.2</v>
      </c>
      <c r="U495" s="572">
        <f>M498</f>
        <v>0.2</v>
      </c>
      <c r="V495" s="588">
        <v>4</v>
      </c>
      <c r="W495" s="572"/>
      <c r="X495" s="572"/>
      <c r="Y495" s="982">
        <f>S495*T495*U495*V495</f>
        <v>0.11199999999999999</v>
      </c>
    </row>
    <row r="496" spans="5:28" ht="15" customHeight="1">
      <c r="E496" s="570"/>
      <c r="P496" s="575"/>
      <c r="Q496" s="951"/>
      <c r="R496" s="571"/>
      <c r="S496" s="588"/>
      <c r="T496" s="588"/>
      <c r="U496" s="588"/>
      <c r="V496" s="588"/>
      <c r="W496" s="572"/>
      <c r="X496" s="572"/>
      <c r="Y496" s="970"/>
    </row>
    <row r="497" spans="5:28" ht="15" customHeight="1">
      <c r="E497" s="570"/>
      <c r="P497" s="575"/>
      <c r="Q497" s="951"/>
      <c r="R497" s="571"/>
      <c r="S497" s="588"/>
      <c r="T497" s="588"/>
      <c r="U497" s="588"/>
      <c r="V497" s="588"/>
      <c r="W497" s="572"/>
      <c r="X497" s="572"/>
      <c r="Y497" s="970"/>
    </row>
    <row r="498" spans="5:28" ht="15" customHeight="1">
      <c r="E498" s="570"/>
      <c r="M498" s="961">
        <v>0.2</v>
      </c>
      <c r="P498" s="575"/>
      <c r="Q498" s="951"/>
      <c r="R498" s="571"/>
      <c r="S498" s="588"/>
      <c r="T498" s="588"/>
      <c r="U498" s="588"/>
      <c r="V498" s="588"/>
      <c r="W498" s="572"/>
      <c r="X498" s="572"/>
      <c r="Y498" s="970"/>
    </row>
    <row r="499" spans="5:28" ht="15" customHeight="1">
      <c r="E499" s="570"/>
      <c r="P499" s="575"/>
      <c r="Q499" s="951"/>
      <c r="R499" s="571"/>
      <c r="S499" s="588"/>
      <c r="T499" s="588"/>
      <c r="U499" s="588"/>
      <c r="V499" s="588"/>
      <c r="W499" s="572"/>
      <c r="X499" s="572"/>
      <c r="Y499" s="970"/>
    </row>
    <row r="500" spans="5:28" ht="15" customHeight="1">
      <c r="E500" s="570"/>
      <c r="P500" s="575"/>
      <c r="Q500" s="951"/>
      <c r="R500" s="571"/>
      <c r="S500" s="588"/>
      <c r="T500" s="588"/>
      <c r="U500" s="588"/>
      <c r="V500" s="588"/>
      <c r="W500" s="572"/>
      <c r="X500" s="572"/>
      <c r="Y500" s="970"/>
    </row>
    <row r="501" spans="5:28" ht="15" customHeight="1">
      <c r="E501" s="570"/>
      <c r="P501" s="575"/>
      <c r="Q501" s="951"/>
      <c r="R501" s="571"/>
      <c r="S501" s="588"/>
      <c r="T501" s="588"/>
      <c r="U501" s="588"/>
      <c r="V501" s="588"/>
      <c r="W501" s="572"/>
      <c r="X501" s="572"/>
      <c r="Y501" s="970"/>
    </row>
    <row r="502" spans="5:28" ht="15" customHeight="1">
      <c r="E502" s="576"/>
      <c r="F502" s="577"/>
      <c r="G502" s="577"/>
      <c r="H502" s="577"/>
      <c r="I502" s="577"/>
      <c r="J502" s="577"/>
      <c r="K502" s="577"/>
      <c r="L502" s="577"/>
      <c r="M502" s="577"/>
      <c r="N502" s="577"/>
      <c r="O502" s="577"/>
      <c r="P502" s="580"/>
      <c r="Q502" s="574"/>
      <c r="R502" s="571"/>
      <c r="S502" s="572"/>
      <c r="T502" s="572"/>
      <c r="U502" s="572"/>
      <c r="V502" s="950"/>
      <c r="W502" s="572"/>
      <c r="X502" s="572"/>
      <c r="Y502" s="943"/>
    </row>
    <row r="503" spans="5:28" ht="15" customHeight="1">
      <c r="E503" s="567"/>
      <c r="F503" s="568"/>
      <c r="G503" s="568"/>
      <c r="H503" s="568"/>
      <c r="I503" s="568"/>
      <c r="J503" s="568"/>
      <c r="K503" s="568"/>
      <c r="L503" s="568"/>
      <c r="M503" s="568"/>
      <c r="N503" s="568"/>
      <c r="O503" s="568"/>
      <c r="P503" s="569"/>
      <c r="Q503" s="584">
        <v>11</v>
      </c>
      <c r="R503" s="585" t="s">
        <v>127</v>
      </c>
      <c r="S503" s="586" t="s">
        <v>2076</v>
      </c>
      <c r="T503" s="586" t="s">
        <v>2077</v>
      </c>
      <c r="U503" s="586" t="s">
        <v>2078</v>
      </c>
      <c r="V503" s="586" t="s">
        <v>2505</v>
      </c>
      <c r="W503" s="586"/>
      <c r="X503" s="586"/>
      <c r="Y503" s="587" t="s">
        <v>56</v>
      </c>
    </row>
    <row r="504" spans="5:28" ht="15" customHeight="1">
      <c r="E504" s="570"/>
      <c r="J504" s="961">
        <v>0.15</v>
      </c>
      <c r="P504" s="575"/>
      <c r="Q504" s="947"/>
      <c r="R504" s="571"/>
      <c r="S504" s="588">
        <v>2.7</v>
      </c>
      <c r="T504" s="572">
        <f>J504</f>
        <v>0.15</v>
      </c>
      <c r="U504" s="572">
        <f>M507</f>
        <v>0.15</v>
      </c>
      <c r="V504" s="588">
        <v>2</v>
      </c>
      <c r="W504" s="572"/>
      <c r="X504" s="572"/>
      <c r="Y504" s="970">
        <f>S504*T504*U504*V504</f>
        <v>0.1215</v>
      </c>
    </row>
    <row r="505" spans="5:28" ht="15" customHeight="1">
      <c r="E505" s="570"/>
      <c r="P505" s="575"/>
      <c r="Q505" s="947"/>
      <c r="R505" s="948"/>
      <c r="S505" s="588">
        <v>1.35</v>
      </c>
      <c r="T505" s="572">
        <f>J504</f>
        <v>0.15</v>
      </c>
      <c r="U505" s="572">
        <f>M507</f>
        <v>0.15</v>
      </c>
      <c r="V505" s="950">
        <v>3</v>
      </c>
      <c r="W505" s="949"/>
      <c r="X505" s="949"/>
      <c r="Y505" s="970">
        <f>S505*T505*U505*V505</f>
        <v>9.1124999999999998E-2</v>
      </c>
    </row>
    <row r="506" spans="5:28" ht="15" customHeight="1">
      <c r="E506" s="570"/>
      <c r="P506" s="575"/>
      <c r="Q506" s="947"/>
      <c r="R506" s="948"/>
      <c r="S506" s="950">
        <v>0.55000000000000004</v>
      </c>
      <c r="T506" s="572">
        <f>J504</f>
        <v>0.15</v>
      </c>
      <c r="U506" s="572">
        <f>M507</f>
        <v>0.15</v>
      </c>
      <c r="V506" s="950">
        <v>3</v>
      </c>
      <c r="W506" s="949"/>
      <c r="X506" s="949"/>
      <c r="Y506" s="970">
        <f>S506*T506*U506*V506</f>
        <v>3.7125000000000005E-2</v>
      </c>
    </row>
    <row r="507" spans="5:28" ht="15" customHeight="1">
      <c r="E507" s="570"/>
      <c r="M507" s="961">
        <v>0.15</v>
      </c>
      <c r="P507" s="575"/>
      <c r="Q507" s="570"/>
      <c r="R507" s="571"/>
      <c r="S507" s="572"/>
      <c r="T507" s="572"/>
      <c r="U507" s="572"/>
      <c r="V507" s="950"/>
      <c r="W507" s="572"/>
      <c r="X507" s="572"/>
      <c r="Y507" s="982">
        <f>SUM(Y504:Y506)</f>
        <v>0.24975000000000003</v>
      </c>
    </row>
    <row r="508" spans="5:28" ht="15" customHeight="1">
      <c r="E508" s="570"/>
      <c r="P508" s="575"/>
      <c r="Q508" s="570"/>
      <c r="R508" s="571"/>
      <c r="S508" s="572"/>
      <c r="T508" s="572"/>
      <c r="U508" s="572"/>
      <c r="V508" s="950"/>
      <c r="W508" s="572"/>
      <c r="X508" s="572"/>
      <c r="Y508" s="943"/>
    </row>
    <row r="509" spans="5:28" ht="15" customHeight="1">
      <c r="E509" s="570"/>
      <c r="P509" s="575"/>
      <c r="Q509" s="570"/>
      <c r="R509" s="571"/>
      <c r="S509" s="572"/>
      <c r="T509" s="572"/>
      <c r="U509" s="572"/>
      <c r="V509" s="950"/>
      <c r="W509" s="572"/>
      <c r="X509" s="572"/>
      <c r="Y509" s="943"/>
    </row>
    <row r="510" spans="5:28" ht="15" customHeight="1">
      <c r="E510" s="570"/>
      <c r="P510" s="575"/>
      <c r="Q510" s="570"/>
      <c r="R510" s="571"/>
      <c r="S510" s="572"/>
      <c r="T510" s="572"/>
      <c r="U510" s="572"/>
      <c r="V510" s="950"/>
      <c r="W510" s="572"/>
      <c r="X510" s="572"/>
      <c r="Y510" s="943"/>
    </row>
    <row r="511" spans="5:28" ht="15" customHeight="1">
      <c r="E511" s="576"/>
      <c r="F511" s="577"/>
      <c r="G511" s="577"/>
      <c r="H511" s="577"/>
      <c r="I511" s="577"/>
      <c r="J511" s="577"/>
      <c r="K511" s="577"/>
      <c r="L511" s="577"/>
      <c r="M511" s="577"/>
      <c r="N511" s="577"/>
      <c r="O511" s="577"/>
      <c r="P511" s="580"/>
      <c r="Q511" s="576"/>
      <c r="R511" s="582"/>
      <c r="S511" s="578"/>
      <c r="T511" s="578"/>
      <c r="U511" s="578"/>
      <c r="V511" s="991"/>
      <c r="W511" s="578"/>
      <c r="X511" s="578"/>
      <c r="Y511" s="969"/>
    </row>
    <row r="512" spans="5:28" ht="15" customHeight="1">
      <c r="E512" s="567"/>
      <c r="F512" s="568"/>
      <c r="G512" s="568"/>
      <c r="H512" s="568"/>
      <c r="I512" s="568"/>
      <c r="J512" s="568"/>
      <c r="K512" s="568"/>
      <c r="L512" s="568"/>
      <c r="M512" s="568"/>
      <c r="N512" s="568"/>
      <c r="O512" s="992"/>
      <c r="P512" s="569"/>
      <c r="Q512" s="584">
        <v>12</v>
      </c>
      <c r="R512" s="585" t="s">
        <v>128</v>
      </c>
      <c r="S512" s="586" t="s">
        <v>2076</v>
      </c>
      <c r="T512" s="586" t="s">
        <v>2077</v>
      </c>
      <c r="U512" s="586" t="s">
        <v>2467</v>
      </c>
      <c r="V512" s="586" t="s">
        <v>2505</v>
      </c>
      <c r="W512" s="586"/>
      <c r="X512" s="586"/>
      <c r="Y512" s="587" t="s">
        <v>56</v>
      </c>
      <c r="AA512" s="566"/>
      <c r="AB512" s="566"/>
    </row>
    <row r="513" spans="5:28" ht="15" customHeight="1">
      <c r="E513" s="570"/>
      <c r="J513" s="961">
        <v>0.15</v>
      </c>
      <c r="O513" s="977"/>
      <c r="P513" s="575"/>
      <c r="Q513" s="947"/>
      <c r="R513" s="571"/>
      <c r="S513" s="588">
        <v>1.4</v>
      </c>
      <c r="T513" s="572">
        <f>J513</f>
        <v>0.15</v>
      </c>
      <c r="U513" s="572">
        <f>M516</f>
        <v>0.2</v>
      </c>
      <c r="V513" s="588">
        <v>4</v>
      </c>
      <c r="W513" s="572"/>
      <c r="X513" s="572"/>
      <c r="Y513" s="970">
        <f>S513*T513*U513*V513</f>
        <v>0.16800000000000001</v>
      </c>
      <c r="AA513" s="566"/>
      <c r="AB513" s="566"/>
    </row>
    <row r="514" spans="5:28" ht="15" customHeight="1">
      <c r="E514" s="570"/>
      <c r="O514" s="977"/>
      <c r="P514" s="575"/>
      <c r="Q514" s="947"/>
      <c r="R514" s="948"/>
      <c r="S514" s="588"/>
      <c r="T514" s="572"/>
      <c r="U514" s="572"/>
      <c r="V514" s="950"/>
      <c r="W514" s="949"/>
      <c r="X514" s="949"/>
      <c r="Y514" s="982">
        <f>SUM(Y512:Y513)</f>
        <v>0.16800000000000001</v>
      </c>
      <c r="AA514" s="566"/>
      <c r="AB514" s="566"/>
    </row>
    <row r="515" spans="5:28" ht="15" customHeight="1">
      <c r="E515" s="990"/>
      <c r="O515" s="958"/>
      <c r="P515" s="575"/>
      <c r="Q515" s="947"/>
      <c r="R515" s="948"/>
      <c r="S515" s="949"/>
      <c r="T515" s="950"/>
      <c r="U515" s="953"/>
      <c r="V515" s="949"/>
      <c r="W515" s="949"/>
      <c r="X515" s="949"/>
      <c r="Y515" s="970"/>
      <c r="AB515" s="566"/>
    </row>
    <row r="516" spans="5:28" ht="15" customHeight="1">
      <c r="E516" s="990"/>
      <c r="M516" s="961">
        <v>0.2</v>
      </c>
      <c r="O516" s="958"/>
      <c r="P516" s="575"/>
      <c r="Q516" s="947"/>
      <c r="R516" s="948"/>
      <c r="S516" s="949"/>
      <c r="T516" s="950"/>
      <c r="U516" s="953"/>
      <c r="V516" s="949"/>
      <c r="W516" s="949"/>
      <c r="X516" s="949"/>
      <c r="Y516" s="970"/>
      <c r="AB516" s="566"/>
    </row>
    <row r="517" spans="5:28" ht="15" customHeight="1">
      <c r="E517" s="990"/>
      <c r="O517" s="958"/>
      <c r="P517" s="575"/>
      <c r="Q517" s="947"/>
      <c r="R517" s="948"/>
      <c r="S517" s="949"/>
      <c r="T517" s="950"/>
      <c r="U517" s="953"/>
      <c r="V517" s="949"/>
      <c r="W517" s="949"/>
      <c r="X517" s="949"/>
      <c r="Y517" s="970"/>
      <c r="AB517" s="566"/>
    </row>
    <row r="518" spans="5:28" ht="15" customHeight="1">
      <c r="E518" s="990"/>
      <c r="O518" s="958"/>
      <c r="P518" s="575"/>
      <c r="Q518" s="947"/>
      <c r="R518" s="948"/>
      <c r="S518" s="949"/>
      <c r="T518" s="950"/>
      <c r="U518" s="953"/>
      <c r="V518" s="949"/>
      <c r="W518" s="949"/>
      <c r="X518" s="949"/>
      <c r="Y518" s="970"/>
      <c r="AB518" s="566"/>
    </row>
    <row r="519" spans="5:28" ht="15" customHeight="1">
      <c r="E519" s="990"/>
      <c r="O519" s="958"/>
      <c r="P519" s="575"/>
      <c r="Q519" s="947"/>
      <c r="R519" s="948"/>
      <c r="S519" s="949"/>
      <c r="T519" s="950"/>
      <c r="U519" s="953"/>
      <c r="V519" s="949"/>
      <c r="W519" s="949"/>
      <c r="X519" s="949"/>
      <c r="Y519" s="970"/>
      <c r="AB519" s="566"/>
    </row>
    <row r="520" spans="5:28" ht="15" customHeight="1">
      <c r="E520" s="576"/>
      <c r="F520" s="577"/>
      <c r="G520" s="577"/>
      <c r="H520" s="577"/>
      <c r="I520" s="577"/>
      <c r="J520" s="577"/>
      <c r="K520" s="577"/>
      <c r="L520" s="577"/>
      <c r="M520" s="577"/>
      <c r="N520" s="577"/>
      <c r="O520" s="577"/>
      <c r="P520" s="580"/>
      <c r="Q520" s="576"/>
      <c r="R520" s="582"/>
      <c r="S520" s="578"/>
      <c r="T520" s="578"/>
      <c r="U520" s="578"/>
      <c r="V520" s="968"/>
      <c r="W520" s="578"/>
      <c r="X520" s="578"/>
      <c r="Y520" s="969"/>
      <c r="AB520" s="566"/>
    </row>
    <row r="521" spans="5:28" ht="15" customHeight="1">
      <c r="E521" s="567"/>
      <c r="F521" s="568"/>
      <c r="G521" s="568"/>
      <c r="H521" s="568"/>
      <c r="I521" s="568"/>
      <c r="J521" s="568"/>
      <c r="K521" s="568"/>
      <c r="L521" s="568"/>
      <c r="M521" s="568"/>
      <c r="N521" s="568"/>
      <c r="O521" s="992"/>
      <c r="P521" s="569"/>
      <c r="Q521" s="584">
        <v>13</v>
      </c>
      <c r="R521" s="585" t="s">
        <v>129</v>
      </c>
      <c r="S521" s="586" t="s">
        <v>2076</v>
      </c>
      <c r="T521" s="586" t="s">
        <v>2077</v>
      </c>
      <c r="U521" s="586" t="s">
        <v>2467</v>
      </c>
      <c r="V521" s="586"/>
      <c r="W521" s="586"/>
      <c r="X521" s="586"/>
      <c r="Y521" s="587" t="s">
        <v>56</v>
      </c>
      <c r="AA521" s="566"/>
      <c r="AB521" s="566"/>
    </row>
    <row r="522" spans="5:28" ht="15" customHeight="1">
      <c r="E522" s="570"/>
      <c r="J522" s="985"/>
      <c r="O522" s="977"/>
      <c r="P522" s="575"/>
      <c r="Q522" s="947"/>
      <c r="R522" s="571"/>
      <c r="S522" s="588">
        <v>2.7</v>
      </c>
      <c r="T522" s="588">
        <v>1.35</v>
      </c>
      <c r="U522" s="588">
        <v>0.1</v>
      </c>
      <c r="V522" s="588"/>
      <c r="W522" s="572"/>
      <c r="X522" s="572"/>
      <c r="Y522" s="970">
        <f>S522*T522*U522</f>
        <v>0.36450000000000005</v>
      </c>
      <c r="AA522" s="566"/>
      <c r="AB522" s="566"/>
    </row>
    <row r="523" spans="5:28" ht="15" customHeight="1">
      <c r="E523" s="570"/>
      <c r="O523" s="977"/>
      <c r="P523" s="575"/>
      <c r="Q523" s="947"/>
      <c r="R523" s="948"/>
      <c r="S523" s="588">
        <v>1.4</v>
      </c>
      <c r="T523" s="588">
        <v>1.4</v>
      </c>
      <c r="U523" s="588">
        <v>0.1</v>
      </c>
      <c r="V523" s="950"/>
      <c r="W523" s="949"/>
      <c r="X523" s="949"/>
      <c r="Y523" s="970">
        <f>S523*T523*U523</f>
        <v>0.19599999999999998</v>
      </c>
      <c r="AA523" s="566"/>
      <c r="AB523" s="566"/>
    </row>
    <row r="524" spans="5:28" ht="15" customHeight="1">
      <c r="E524" s="990"/>
      <c r="O524" s="958"/>
      <c r="P524" s="575"/>
      <c r="Q524" s="947"/>
      <c r="R524" s="948"/>
      <c r="S524" s="950">
        <v>0.55000000000000004</v>
      </c>
      <c r="T524" s="950">
        <v>0.55000000000000004</v>
      </c>
      <c r="U524" s="588">
        <v>0.1</v>
      </c>
      <c r="V524" s="949"/>
      <c r="W524" s="949"/>
      <c r="X524" s="949"/>
      <c r="Y524" s="970">
        <f>S524*T524*U524</f>
        <v>3.0250000000000006E-2</v>
      </c>
      <c r="AB524" s="566"/>
    </row>
    <row r="525" spans="5:28" ht="15" customHeight="1">
      <c r="E525" s="990"/>
      <c r="M525" s="985"/>
      <c r="O525" s="958"/>
      <c r="P525" s="575"/>
      <c r="Q525" s="947"/>
      <c r="R525" s="948"/>
      <c r="S525" s="949"/>
      <c r="T525" s="950"/>
      <c r="U525" s="953"/>
      <c r="V525" s="949"/>
      <c r="W525" s="949"/>
      <c r="X525" s="949"/>
      <c r="Y525" s="982">
        <f>SUM(Y522:Y524)</f>
        <v>0.59075</v>
      </c>
      <c r="AB525" s="566"/>
    </row>
    <row r="526" spans="5:28" ht="15" customHeight="1">
      <c r="E526" s="576"/>
      <c r="F526" s="577"/>
      <c r="G526" s="577"/>
      <c r="H526" s="577"/>
      <c r="I526" s="577"/>
      <c r="J526" s="577"/>
      <c r="K526" s="577"/>
      <c r="L526" s="577"/>
      <c r="M526" s="577"/>
      <c r="N526" s="577"/>
      <c r="O526" s="577"/>
      <c r="P526" s="580"/>
      <c r="Q526" s="576"/>
      <c r="R526" s="582"/>
      <c r="S526" s="578"/>
      <c r="T526" s="578"/>
      <c r="U526" s="578"/>
      <c r="V526" s="968"/>
      <c r="W526" s="578"/>
      <c r="X526" s="578"/>
      <c r="Y526" s="969"/>
      <c r="AB526" s="566"/>
    </row>
    <row r="527" spans="5:28" ht="15" customHeight="1">
      <c r="E527" s="570"/>
      <c r="P527" s="575"/>
      <c r="Q527" s="584">
        <v>14</v>
      </c>
      <c r="R527" s="585" t="s">
        <v>130</v>
      </c>
      <c r="S527" s="586"/>
      <c r="T527" s="586"/>
      <c r="U527" s="586"/>
      <c r="V527" s="586"/>
      <c r="W527" s="586"/>
      <c r="X527" s="586"/>
      <c r="Y527" s="587" t="s">
        <v>56</v>
      </c>
    </row>
    <row r="528" spans="5:28" ht="15" customHeight="1">
      <c r="E528" s="570"/>
      <c r="P528" s="575"/>
      <c r="Q528" s="947"/>
      <c r="R528" s="571"/>
      <c r="S528" s="588"/>
      <c r="T528" s="588"/>
      <c r="U528" s="588"/>
      <c r="V528" s="588"/>
      <c r="W528" s="572"/>
      <c r="X528" s="572"/>
      <c r="Y528" s="993">
        <v>3</v>
      </c>
    </row>
    <row r="529" spans="5:25" ht="15" customHeight="1">
      <c r="E529" s="570"/>
      <c r="P529" s="575"/>
      <c r="Q529" s="574"/>
      <c r="R529" s="571"/>
      <c r="S529" s="572"/>
      <c r="T529" s="572"/>
      <c r="U529" s="572"/>
      <c r="V529" s="950"/>
      <c r="W529" s="572"/>
      <c r="X529" s="572"/>
      <c r="Y529" s="943"/>
    </row>
    <row r="530" spans="5:25" ht="15" customHeight="1">
      <c r="E530" s="570"/>
      <c r="P530" s="575"/>
      <c r="Q530" s="584">
        <v>15</v>
      </c>
      <c r="R530" s="585" t="s">
        <v>1685</v>
      </c>
      <c r="S530" s="586"/>
      <c r="T530" s="586"/>
      <c r="U530" s="586"/>
      <c r="V530" s="586"/>
      <c r="W530" s="586"/>
      <c r="X530" s="586"/>
      <c r="Y530" s="587" t="s">
        <v>56</v>
      </c>
    </row>
    <row r="531" spans="5:25" ht="15" customHeight="1">
      <c r="E531" s="570"/>
      <c r="P531" s="575"/>
      <c r="Q531" s="947"/>
      <c r="R531" s="571"/>
      <c r="S531" s="588"/>
      <c r="T531" s="588"/>
      <c r="U531" s="588"/>
      <c r="V531" s="588"/>
      <c r="W531" s="572"/>
      <c r="X531" s="572"/>
      <c r="Y531" s="993">
        <v>1</v>
      </c>
    </row>
    <row r="532" spans="5:25" ht="15" customHeight="1">
      <c r="E532" s="570"/>
      <c r="P532" s="575"/>
      <c r="Q532" s="574"/>
      <c r="R532" s="571"/>
      <c r="S532" s="572"/>
      <c r="T532" s="572"/>
      <c r="U532" s="572"/>
      <c r="V532" s="588"/>
      <c r="W532" s="572"/>
      <c r="X532" s="572"/>
      <c r="Y532" s="943"/>
    </row>
    <row r="533" spans="5:25" ht="15" customHeight="1">
      <c r="E533" s="570"/>
      <c r="P533" s="575"/>
      <c r="Q533" s="584">
        <v>16</v>
      </c>
      <c r="R533" s="585" t="s">
        <v>132</v>
      </c>
      <c r="S533" s="586" t="s">
        <v>2505</v>
      </c>
      <c r="T533" s="586" t="s">
        <v>2076</v>
      </c>
      <c r="U533" s="586" t="s">
        <v>2077</v>
      </c>
      <c r="V533" s="586" t="s">
        <v>438</v>
      </c>
      <c r="W533" s="586"/>
      <c r="X533" s="586"/>
      <c r="Y533" s="587" t="s">
        <v>56</v>
      </c>
    </row>
    <row r="534" spans="5:25" ht="15" customHeight="1">
      <c r="E534" s="570"/>
      <c r="P534" s="575"/>
      <c r="Q534" s="947"/>
      <c r="R534" s="571" t="s">
        <v>2506</v>
      </c>
      <c r="S534" s="572" t="s">
        <v>2024</v>
      </c>
      <c r="T534" s="572" t="s">
        <v>2024</v>
      </c>
      <c r="U534" s="572" t="s">
        <v>2024</v>
      </c>
      <c r="V534" s="588">
        <f>Y456</f>
        <v>24.959999999999997</v>
      </c>
      <c r="W534" s="572"/>
      <c r="X534" s="572"/>
      <c r="Y534" s="970">
        <f>V534</f>
        <v>24.959999999999997</v>
      </c>
    </row>
    <row r="535" spans="5:25" ht="15" customHeight="1">
      <c r="E535" s="570"/>
      <c r="P535" s="575"/>
      <c r="Q535" s="947"/>
      <c r="R535" s="948" t="s">
        <v>88</v>
      </c>
      <c r="S535" s="588">
        <v>4</v>
      </c>
      <c r="T535" s="588">
        <v>1.7</v>
      </c>
      <c r="U535" s="588">
        <v>1.35</v>
      </c>
      <c r="V535" s="950"/>
      <c r="W535" s="949"/>
      <c r="X535" s="949"/>
      <c r="Y535" s="970">
        <f>S535*T535*U535</f>
        <v>9.18</v>
      </c>
    </row>
    <row r="536" spans="5:25" ht="15" customHeight="1">
      <c r="E536" s="570"/>
      <c r="P536" s="575"/>
      <c r="Q536" s="574"/>
      <c r="R536" s="571"/>
      <c r="S536" s="572"/>
      <c r="T536" s="572"/>
      <c r="U536" s="572"/>
      <c r="V536" s="588"/>
      <c r="W536" s="572"/>
      <c r="X536" s="572"/>
      <c r="Y536" s="583">
        <f>SUM(Y534:Y535)</f>
        <v>34.14</v>
      </c>
    </row>
    <row r="537" spans="5:25" ht="15" customHeight="1">
      <c r="E537" s="576"/>
      <c r="F537" s="577"/>
      <c r="G537" s="577"/>
      <c r="H537" s="577"/>
      <c r="I537" s="577"/>
      <c r="J537" s="577"/>
      <c r="K537" s="577"/>
      <c r="L537" s="577"/>
      <c r="M537" s="577"/>
      <c r="N537" s="577"/>
      <c r="O537" s="577"/>
      <c r="P537" s="580"/>
      <c r="Q537" s="577"/>
      <c r="R537" s="582"/>
      <c r="S537" s="578"/>
      <c r="T537" s="578"/>
      <c r="U537" s="578"/>
      <c r="V537" s="968"/>
      <c r="W537" s="578"/>
      <c r="X537" s="578"/>
      <c r="Y537" s="969"/>
    </row>
    <row r="538" spans="5:25" ht="15" customHeight="1">
      <c r="E538" s="565"/>
      <c r="F538" s="565"/>
      <c r="G538" s="565"/>
      <c r="H538" s="565"/>
      <c r="I538" s="565"/>
      <c r="J538" s="565"/>
      <c r="K538" s="565"/>
      <c r="L538" s="565"/>
      <c r="M538" s="565"/>
      <c r="N538" s="565"/>
      <c r="O538" s="565"/>
      <c r="P538" s="565"/>
      <c r="Q538" s="565"/>
      <c r="R538" s="566"/>
      <c r="S538" s="957"/>
      <c r="T538" s="957"/>
      <c r="U538" s="957"/>
      <c r="V538" s="967"/>
      <c r="W538" s="957"/>
      <c r="X538" s="957"/>
      <c r="Y538" s="957"/>
    </row>
  </sheetData>
  <mergeCells count="94">
    <mergeCell ref="Q397:Y398"/>
    <mergeCell ref="Q410:Y411"/>
    <mergeCell ref="Q429:Y430"/>
    <mergeCell ref="Q443:Y444"/>
    <mergeCell ref="Q260:Y261"/>
    <mergeCell ref="Q375:Y376"/>
    <mergeCell ref="Q123:Y124"/>
    <mergeCell ref="A124:C124"/>
    <mergeCell ref="Q5:Y6"/>
    <mergeCell ref="Q26:Y27"/>
    <mergeCell ref="A27:C27"/>
    <mergeCell ref="Q66:Y67"/>
    <mergeCell ref="A67:C67"/>
    <mergeCell ref="L43:M43"/>
    <mergeCell ref="L44:M44"/>
    <mergeCell ref="I22:J22"/>
    <mergeCell ref="I23:J23"/>
    <mergeCell ref="N22:O22"/>
    <mergeCell ref="N23:O23"/>
    <mergeCell ref="A21:C21"/>
    <mergeCell ref="F190:I190"/>
    <mergeCell ref="J190:L190"/>
    <mergeCell ref="M190:O190"/>
    <mergeCell ref="M213:O213"/>
    <mergeCell ref="F214:I214"/>
    <mergeCell ref="J214:L214"/>
    <mergeCell ref="M214:O214"/>
    <mergeCell ref="F211:I211"/>
    <mergeCell ref="J211:L211"/>
    <mergeCell ref="M211:O211"/>
    <mergeCell ref="F212:I212"/>
    <mergeCell ref="J212:L212"/>
    <mergeCell ref="M212:O212"/>
    <mergeCell ref="F213:I213"/>
    <mergeCell ref="J213:L213"/>
    <mergeCell ref="M191:O191"/>
    <mergeCell ref="J191:L191"/>
    <mergeCell ref="F191:I191"/>
    <mergeCell ref="F192:I192"/>
    <mergeCell ref="J192:L192"/>
    <mergeCell ref="M192:O192"/>
    <mergeCell ref="J167:L167"/>
    <mergeCell ref="M167:O167"/>
    <mergeCell ref="F189:I189"/>
    <mergeCell ref="J189:L189"/>
    <mergeCell ref="M189:O189"/>
    <mergeCell ref="F141:I141"/>
    <mergeCell ref="J141:L141"/>
    <mergeCell ref="M141:O141"/>
    <mergeCell ref="F144:I144"/>
    <mergeCell ref="J144:L144"/>
    <mergeCell ref="M144:O144"/>
    <mergeCell ref="F143:I143"/>
    <mergeCell ref="J143:L143"/>
    <mergeCell ref="M143:O143"/>
    <mergeCell ref="F234:I234"/>
    <mergeCell ref="J234:L234"/>
    <mergeCell ref="M234:O234"/>
    <mergeCell ref="F142:I142"/>
    <mergeCell ref="J142:L142"/>
    <mergeCell ref="M142:O142"/>
    <mergeCell ref="F166:I166"/>
    <mergeCell ref="J166:L166"/>
    <mergeCell ref="M166:O166"/>
    <mergeCell ref="F165:I165"/>
    <mergeCell ref="J165:L165"/>
    <mergeCell ref="M165:O165"/>
    <mergeCell ref="F168:I168"/>
    <mergeCell ref="J168:L168"/>
    <mergeCell ref="M168:O168"/>
    <mergeCell ref="F167:I167"/>
    <mergeCell ref="Q239:Y240"/>
    <mergeCell ref="F235:I235"/>
    <mergeCell ref="J235:L235"/>
    <mergeCell ref="M235:O235"/>
    <mergeCell ref="F236:I236"/>
    <mergeCell ref="J236:L236"/>
    <mergeCell ref="M236:O236"/>
    <mergeCell ref="N195:O195"/>
    <mergeCell ref="N217:O217"/>
    <mergeCell ref="J256:K256"/>
    <mergeCell ref="J257:K257"/>
    <mergeCell ref="A25:C25"/>
    <mergeCell ref="N172:O172"/>
    <mergeCell ref="N149:O149"/>
    <mergeCell ref="N150:O150"/>
    <mergeCell ref="N127:O127"/>
    <mergeCell ref="N126:O126"/>
    <mergeCell ref="N147:O147"/>
    <mergeCell ref="N148:O148"/>
    <mergeCell ref="N171:O171"/>
    <mergeCell ref="F233:I233"/>
    <mergeCell ref="J233:L233"/>
    <mergeCell ref="M233:O233"/>
  </mergeCells>
  <phoneticPr fontId="9" type="noConversion"/>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B80E-FF8D-4A63-9361-4F83CF8C7FF8}">
  <sheetPr codeName="HOME"/>
  <dimension ref="A1:L130"/>
  <sheetViews>
    <sheetView showGridLines="0" showRowColHeaders="0" zoomScale="75" zoomScaleNormal="75" workbookViewId="0">
      <pane ySplit="5" topLeftCell="A6" activePane="bottomLeft" state="frozen"/>
      <selection pane="bottomLeft" activeCell="A26" sqref="A26"/>
    </sheetView>
  </sheetViews>
  <sheetFormatPr defaultColWidth="9.21875" defaultRowHeight="15" customHeight="1"/>
  <cols>
    <col min="1" max="3" width="10.77734375" style="635" customWidth="1"/>
    <col min="4" max="4" width="3.77734375" style="669" customWidth="1"/>
    <col min="5" max="5" width="3.6640625" style="230" customWidth="1"/>
    <col min="6" max="6" width="38.6640625" style="230" customWidth="1"/>
    <col min="7" max="7" width="85.6640625" style="1091" customWidth="1"/>
    <col min="8" max="8" width="11.6640625" style="236" customWidth="1"/>
    <col min="9" max="9" width="6.6640625" style="236" customWidth="1"/>
    <col min="10" max="10" width="8.6640625" style="230" customWidth="1"/>
    <col min="11" max="12" width="15.6640625" style="236" customWidth="1"/>
    <col min="13" max="16384" width="9.21875" style="230"/>
  </cols>
  <sheetData>
    <row r="1" spans="5:12" s="635" customFormat="1" ht="15" customHeight="1">
      <c r="G1" s="1082"/>
      <c r="H1" s="636"/>
      <c r="I1" s="636"/>
      <c r="K1" s="636"/>
      <c r="L1" s="636"/>
    </row>
    <row r="2" spans="5:12" s="635" customFormat="1" ht="15" customHeight="1">
      <c r="E2" s="937" t="s">
        <v>2394</v>
      </c>
      <c r="F2" s="637"/>
      <c r="G2" s="1083"/>
      <c r="H2" s="637"/>
      <c r="I2" s="637"/>
      <c r="J2" s="637"/>
      <c r="K2" s="637"/>
      <c r="L2" s="637"/>
    </row>
    <row r="3" spans="5:12" s="635" customFormat="1" ht="15" customHeight="1">
      <c r="E3" s="638"/>
      <c r="F3" s="638"/>
      <c r="G3" s="1084"/>
      <c r="H3" s="638"/>
      <c r="I3" s="638"/>
      <c r="J3" s="638"/>
      <c r="K3" s="638"/>
      <c r="L3" s="638"/>
    </row>
    <row r="4" spans="5:12" ht="15" customHeight="1">
      <c r="E4" s="1132" t="s">
        <v>136</v>
      </c>
      <c r="F4" s="1132" t="s">
        <v>2065</v>
      </c>
      <c r="G4" s="1133" t="s">
        <v>2066</v>
      </c>
      <c r="H4" s="1135" t="s">
        <v>2062</v>
      </c>
      <c r="I4" s="1132" t="s">
        <v>138</v>
      </c>
      <c r="J4" s="1132" t="s">
        <v>58</v>
      </c>
      <c r="K4" s="1132" t="s">
        <v>139</v>
      </c>
      <c r="L4" s="1132"/>
    </row>
    <row r="5" spans="5:12" ht="15" customHeight="1">
      <c r="E5" s="1132"/>
      <c r="F5" s="1132"/>
      <c r="G5" s="1134"/>
      <c r="H5" s="1136"/>
      <c r="I5" s="1132"/>
      <c r="J5" s="1132"/>
      <c r="K5" s="589" t="s">
        <v>140</v>
      </c>
      <c r="L5" s="589" t="s">
        <v>141</v>
      </c>
    </row>
    <row r="6" spans="5:12" ht="15" customHeight="1" thickBot="1">
      <c r="E6" s="229">
        <v>1</v>
      </c>
      <c r="F6" s="229">
        <v>2</v>
      </c>
      <c r="G6" s="1085">
        <v>3</v>
      </c>
      <c r="H6" s="229">
        <v>4</v>
      </c>
      <c r="I6" s="229">
        <v>5</v>
      </c>
      <c r="J6" s="229">
        <v>6</v>
      </c>
      <c r="K6" s="229">
        <v>7</v>
      </c>
      <c r="L6" s="229" t="s">
        <v>2063</v>
      </c>
    </row>
    <row r="7" spans="5:12" ht="15" customHeight="1" thickTop="1">
      <c r="E7" s="500" t="s">
        <v>3</v>
      </c>
      <c r="F7" s="501" t="s">
        <v>4</v>
      </c>
      <c r="G7" s="1086"/>
      <c r="H7" s="500"/>
      <c r="I7" s="502"/>
      <c r="J7" s="503"/>
      <c r="K7" s="502"/>
      <c r="L7" s="502"/>
    </row>
    <row r="8" spans="5:12" ht="15" customHeight="1">
      <c r="E8" s="231">
        <v>1</v>
      </c>
      <c r="F8" s="231" t="s">
        <v>96</v>
      </c>
      <c r="G8" s="1087" t="s">
        <v>234</v>
      </c>
      <c r="H8" s="232" t="str">
        <f>IFERROR(INDEX(HSP!$G$7:$G$460,MATCH('HITUNG RAB'!G8,HSP!$H$7:$H$460,0)), "Isi Spesifikasi")</f>
        <v>A.1.1.1.8</v>
      </c>
      <c r="I8" s="232" t="s">
        <v>91</v>
      </c>
      <c r="J8" s="233">
        <f>VLOOKUP(F8,RekapVolume,3,FALSE)</f>
        <v>200</v>
      </c>
      <c r="K8" s="289">
        <f>IFERROR(VLOOKUP(H8,HSP!$G$7:$J$460,4,0),"No Data")</f>
        <v>23100</v>
      </c>
      <c r="L8" s="289">
        <f>IFERROR(J8*K8, "No Data")</f>
        <v>4620000</v>
      </c>
    </row>
    <row r="9" spans="5:12" ht="15" customHeight="1">
      <c r="E9" s="231">
        <v>2</v>
      </c>
      <c r="F9" s="231" t="s">
        <v>5</v>
      </c>
      <c r="G9" s="1087" t="s">
        <v>210</v>
      </c>
      <c r="H9" s="232" t="str">
        <f>IFERROR(INDEX(HSP!$G$7:$G$460,MATCH('HITUNG RAB'!G9,HSP!$H$7:$H$460,0)), "Isi Spesifikasi")</f>
        <v>A.1.1.1.4</v>
      </c>
      <c r="I9" s="232" t="s">
        <v>97</v>
      </c>
      <c r="J9" s="233">
        <f>VLOOKUP(F9,RekapVolume,3,FALSE)</f>
        <v>48</v>
      </c>
      <c r="K9" s="289">
        <f>IFERROR(VLOOKUP(H9,HSP!$G$7:$J$460,4,0),"No Data")</f>
        <v>92990</v>
      </c>
      <c r="L9" s="289">
        <f>IFERROR(J9*K9, "No Data")</f>
        <v>4463520</v>
      </c>
    </row>
    <row r="10" spans="5:12" ht="15" customHeight="1">
      <c r="E10" s="231">
        <v>3</v>
      </c>
      <c r="F10" s="231" t="s">
        <v>6</v>
      </c>
      <c r="G10" s="1087" t="s">
        <v>2067</v>
      </c>
      <c r="H10" s="232" t="s">
        <v>2024</v>
      </c>
      <c r="I10" s="232" t="s">
        <v>2</v>
      </c>
      <c r="J10" s="233">
        <f>VLOOKUP(F10,RekapVolume,3,FALSE)</f>
        <v>1</v>
      </c>
      <c r="K10" s="289">
        <v>500000</v>
      </c>
      <c r="L10" s="289">
        <f>IFERROR(J10*K10, "No Data")</f>
        <v>500000</v>
      </c>
    </row>
    <row r="11" spans="5:12" ht="15" customHeight="1">
      <c r="E11" s="231">
        <v>4</v>
      </c>
      <c r="F11" s="231" t="s">
        <v>98</v>
      </c>
      <c r="G11" s="1087" t="s">
        <v>2067</v>
      </c>
      <c r="H11" s="232" t="s">
        <v>2024</v>
      </c>
      <c r="I11" s="232" t="s">
        <v>2</v>
      </c>
      <c r="J11" s="233">
        <f>VLOOKUP(F11,RekapVolume,3,FALSE)</f>
        <v>1</v>
      </c>
      <c r="K11" s="289">
        <v>500000</v>
      </c>
      <c r="L11" s="289">
        <f>IFERROR(J11*K11, "No Data")</f>
        <v>500000</v>
      </c>
    </row>
    <row r="12" spans="5:12" ht="15" customHeight="1">
      <c r="E12" s="231"/>
      <c r="F12" s="231"/>
      <c r="G12" s="1087"/>
      <c r="H12" s="232"/>
      <c r="I12" s="232"/>
      <c r="J12" s="233"/>
      <c r="K12" s="235"/>
      <c r="L12" s="291"/>
    </row>
    <row r="13" spans="5:12" ht="15" customHeight="1">
      <c r="E13" s="231"/>
      <c r="F13" s="231"/>
      <c r="G13" s="1087"/>
      <c r="H13" s="232"/>
      <c r="I13" s="232"/>
      <c r="J13" s="233"/>
      <c r="K13" s="1019" t="s">
        <v>142</v>
      </c>
      <c r="L13" s="1020">
        <f>SUM(L8:L11)</f>
        <v>10083520</v>
      </c>
    </row>
    <row r="14" spans="5:12" ht="15" customHeight="1">
      <c r="E14" s="496" t="s">
        <v>11</v>
      </c>
      <c r="F14" s="504" t="s">
        <v>99</v>
      </c>
      <c r="G14" s="1088"/>
      <c r="H14" s="505"/>
      <c r="I14" s="505"/>
      <c r="J14" s="506"/>
      <c r="K14" s="505"/>
      <c r="L14" s="507"/>
    </row>
    <row r="15" spans="5:12" ht="15" customHeight="1">
      <c r="E15" s="231">
        <v>1</v>
      </c>
      <c r="F15" s="231" t="s">
        <v>12</v>
      </c>
      <c r="G15" s="1087" t="s">
        <v>275</v>
      </c>
      <c r="H15" s="232" t="str">
        <f>IFERROR(INDEX(HSP!$G$7:$G$460,MATCH('HITUNG RAB'!G15,HSP!$H$7:$H$460,0)), "Isi Spesifikasi")</f>
        <v>A.1.5.1.4</v>
      </c>
      <c r="I15" s="232" t="s">
        <v>92</v>
      </c>
      <c r="J15" s="233">
        <f>VLOOKUP(F15,RekapVolume,3,FALSE)</f>
        <v>30.712500000000006</v>
      </c>
      <c r="K15" s="289">
        <f>IFERROR(VLOOKUP(H15,HSP!$G$7:$J$460,4,0),"No Data")</f>
        <v>143484</v>
      </c>
      <c r="L15" s="289">
        <f>IFERROR(J15*K15, "No Data")</f>
        <v>4406752.3500000006</v>
      </c>
    </row>
    <row r="16" spans="5:12" ht="15" customHeight="1">
      <c r="E16" s="231">
        <v>2</v>
      </c>
      <c r="F16" s="231" t="s">
        <v>13</v>
      </c>
      <c r="G16" s="1087" t="s">
        <v>285</v>
      </c>
      <c r="H16" s="232" t="str">
        <f>IFERROR(INDEX(HSP!$G$7:$G$460,MATCH('HITUNG RAB'!G16,HSP!$H$7:$H$460,0)), "Isi Spesifikasi")</f>
        <v>A.1.5.1.9</v>
      </c>
      <c r="I16" s="232" t="s">
        <v>92</v>
      </c>
      <c r="J16" s="233">
        <f>VLOOKUP(F16,RekapVolume,3,FALSE)</f>
        <v>26.878125000000004</v>
      </c>
      <c r="K16" s="289">
        <f>IFERROR(VLOOKUP(H16,HSP!$G$7:$J$460,4,0),"No Data")</f>
        <v>39050</v>
      </c>
      <c r="L16" s="289">
        <f>IFERROR(J16*K16, "No Data")</f>
        <v>1049590.7812500002</v>
      </c>
    </row>
    <row r="17" spans="1:12" ht="15" customHeight="1">
      <c r="E17" s="231">
        <v>3</v>
      </c>
      <c r="F17" s="231" t="s">
        <v>14</v>
      </c>
      <c r="G17" s="1087" t="s">
        <v>290</v>
      </c>
      <c r="H17" s="232" t="str">
        <f>IFERROR(INDEX(HSP!$G$7:$G$460,MATCH('HITUNG RAB'!G17,HSP!$H$7:$H$460,0)), "Isi Spesifikasi")</f>
        <v>A.1.5.1.11</v>
      </c>
      <c r="I17" s="232" t="s">
        <v>92</v>
      </c>
      <c r="J17" s="233">
        <f>VLOOKUP(F17,RekapVolume,3,FALSE)</f>
        <v>2.0249999999999999</v>
      </c>
      <c r="K17" s="289">
        <f>IFERROR(VLOOKUP(H17,HSP!$G$7:$J$460,4,0),"No Data")</f>
        <v>440426</v>
      </c>
      <c r="L17" s="289">
        <f>IFERROR(J17*K17, "No Data")</f>
        <v>891862.64999999991</v>
      </c>
    </row>
    <row r="18" spans="1:12" ht="15" customHeight="1">
      <c r="E18" s="231">
        <v>4</v>
      </c>
      <c r="F18" s="231" t="s">
        <v>100</v>
      </c>
      <c r="G18" s="1087" t="s">
        <v>290</v>
      </c>
      <c r="H18" s="232" t="str">
        <f>IFERROR(INDEX(HSP!$G$7:$G$460,MATCH('HITUNG RAB'!G18,HSP!$H$7:$H$460,0)), "Isi Spesifikasi")</f>
        <v>A.1.5.1.11</v>
      </c>
      <c r="I18" s="232" t="s">
        <v>92</v>
      </c>
      <c r="J18" s="233">
        <f>VLOOKUP(F18,RekapVolume,3,FALSE)</f>
        <v>4.8000000000000007</v>
      </c>
      <c r="K18" s="289">
        <f>IFERROR(VLOOKUP(H18,HSP!$G$7:$J$460,4,0),"No Data")</f>
        <v>440426</v>
      </c>
      <c r="L18" s="289">
        <f>IFERROR(J18*K18, "No Data")</f>
        <v>2114044.8000000003</v>
      </c>
    </row>
    <row r="19" spans="1:12" ht="15" customHeight="1">
      <c r="E19" s="231"/>
      <c r="F19" s="231"/>
      <c r="G19" s="1087"/>
      <c r="H19" s="232"/>
      <c r="I19" s="232"/>
      <c r="J19" s="233"/>
      <c r="K19" s="291"/>
      <c r="L19" s="291"/>
    </row>
    <row r="20" spans="1:12" ht="15" customHeight="1">
      <c r="E20" s="231"/>
      <c r="F20" s="231"/>
      <c r="G20" s="1087"/>
      <c r="H20" s="232"/>
      <c r="I20" s="232"/>
      <c r="J20" s="233"/>
      <c r="K20" s="1019" t="s">
        <v>143</v>
      </c>
      <c r="L20" s="1020">
        <f>SUM(L15:L18)</f>
        <v>8462250.5812500007</v>
      </c>
    </row>
    <row r="21" spans="1:12" ht="15" customHeight="1">
      <c r="A21" s="1096" t="s">
        <v>2381</v>
      </c>
      <c r="B21" s="1096"/>
      <c r="C21" s="1096"/>
      <c r="E21" s="496" t="s">
        <v>16</v>
      </c>
      <c r="F21" s="504" t="s">
        <v>101</v>
      </c>
      <c r="G21" s="1088"/>
      <c r="H21" s="505"/>
      <c r="I21" s="505"/>
      <c r="J21" s="506"/>
      <c r="K21" s="505"/>
      <c r="L21" s="507"/>
    </row>
    <row r="22" spans="1:12" ht="15" customHeight="1">
      <c r="E22" s="231">
        <v>1</v>
      </c>
      <c r="F22" s="231" t="s">
        <v>102</v>
      </c>
      <c r="G22" s="1087" t="s">
        <v>324</v>
      </c>
      <c r="H22" s="232" t="str">
        <f>IFERROR(INDEX(HSP!$G$7:$G$460,MATCH('HITUNG RAB'!G22,HSP!$H$7:$H$460,0)), "Isi Spesifikasi")</f>
        <v>A.3.1.1.9</v>
      </c>
      <c r="I22" s="232" t="s">
        <v>92</v>
      </c>
      <c r="J22" s="233">
        <f>VLOOKUP(F22,RekapVolume,3,FALSE)</f>
        <v>6.0750000000000002</v>
      </c>
      <c r="K22" s="289">
        <f>IFERROR(VLOOKUP(H22,HSP!$G$7:$J$460,4,0),"No Data")</f>
        <v>885381</v>
      </c>
      <c r="L22" s="289">
        <f>IFERROR(J22*K22, "No Data")</f>
        <v>5378689.5750000002</v>
      </c>
    </row>
    <row r="23" spans="1:12" ht="15" customHeight="1">
      <c r="E23" s="231">
        <v>2</v>
      </c>
      <c r="F23" s="231" t="s">
        <v>18</v>
      </c>
      <c r="G23" s="1087" t="s">
        <v>307</v>
      </c>
      <c r="H23" s="232" t="str">
        <f>IFERROR(INDEX(HSP!$G$7:$G$460,MATCH('HITUNG RAB'!G23,HSP!$H$7:$H$460,0)), "Isi Spesifikasi")</f>
        <v>A.3.1.1.1</v>
      </c>
      <c r="I23" s="232" t="s">
        <v>92</v>
      </c>
      <c r="J23" s="233">
        <f>VLOOKUP(F23,RekapVolume,3,FALSE)</f>
        <v>18</v>
      </c>
      <c r="K23" s="289">
        <f>IFERROR(VLOOKUP(H23,HSP!$G$7:$J$460,4,0),"No Data")</f>
        <v>1467001</v>
      </c>
      <c r="L23" s="289">
        <f>IFERROR(J23*K23, "No Data")</f>
        <v>26406018</v>
      </c>
    </row>
    <row r="24" spans="1:12" ht="15" customHeight="1">
      <c r="E24" s="231">
        <v>3</v>
      </c>
      <c r="F24" s="231" t="s">
        <v>21</v>
      </c>
      <c r="G24" s="1087" t="s">
        <v>634</v>
      </c>
      <c r="H24" s="232" t="str">
        <f>IFERROR(INDEX(HSP!$G$7:$G$460,MATCH('HITUNG RAB'!G24,HSP!$H$7:$H$460,0)), "Isi Spesifikasi")</f>
        <v>A.4.4.1.9</v>
      </c>
      <c r="I24" s="232" t="s">
        <v>91</v>
      </c>
      <c r="J24" s="233">
        <f>VLOOKUP(F24,RekapVolume,3,FALSE)</f>
        <v>72.100000000000009</v>
      </c>
      <c r="K24" s="289">
        <f>IFERROR(VLOOKUP(H24,HSP!$G$7:$J$460,4,0),"No Data")</f>
        <v>178223</v>
      </c>
      <c r="L24" s="289">
        <f>IFERROR(J24*K24, "No Data")</f>
        <v>12849878.300000001</v>
      </c>
    </row>
    <row r="25" spans="1:12" ht="15" customHeight="1">
      <c r="E25" s="231">
        <v>4</v>
      </c>
      <c r="F25" s="231" t="s">
        <v>154</v>
      </c>
      <c r="G25" s="1087" t="s">
        <v>690</v>
      </c>
      <c r="H25" s="232" t="str">
        <f>IFERROR(INDEX(HSP!$G$7:$G$460,MATCH('HITUNG RAB'!G25,HSP!$H$7:$H$460,0)), "Isi Spesifikasi")</f>
        <v>A.4.4.2.5</v>
      </c>
      <c r="I25" s="232" t="s">
        <v>91</v>
      </c>
      <c r="J25" s="233">
        <f>VLOOKUP(F25,RekapVolume,3,FALSE)</f>
        <v>135.23000000000002</v>
      </c>
      <c r="K25" s="289">
        <f>IFERROR(VLOOKUP(H25,HSP!$G$7:$J$460,4,0),"No Data")</f>
        <v>89498</v>
      </c>
      <c r="L25" s="289">
        <f>IFERROR(J25*K25, "No Data")</f>
        <v>12102814.540000001</v>
      </c>
    </row>
    <row r="26" spans="1:12" ht="15" customHeight="1">
      <c r="E26" s="231">
        <v>5</v>
      </c>
      <c r="F26" s="231" t="s">
        <v>155</v>
      </c>
      <c r="G26" s="1087" t="s">
        <v>737</v>
      </c>
      <c r="H26" s="232" t="str">
        <f>IFERROR(INDEX(HSP!$G$7:$G$460,MATCH('HITUNG RAB'!G26,HSP!$H$7:$H$460,0)), "Isi Spesifikasi")</f>
        <v>A.4.4.2.27</v>
      </c>
      <c r="I26" s="232" t="s">
        <v>91</v>
      </c>
      <c r="J26" s="233">
        <f>VLOOKUP(F26,RekapVolume,3,FALSE)</f>
        <v>135.23000000000002</v>
      </c>
      <c r="K26" s="289">
        <f>IFERROR(VLOOKUP(H26,HSP!$G$7:$J$460,4,0),"No Data")</f>
        <v>54406</v>
      </c>
      <c r="L26" s="289">
        <f>IFERROR(J26*K26, "No Data")</f>
        <v>7357323.3800000008</v>
      </c>
    </row>
    <row r="27" spans="1:12" ht="15" customHeight="1">
      <c r="E27" s="231"/>
      <c r="F27" s="231"/>
      <c r="G27" s="1087"/>
      <c r="H27" s="232"/>
      <c r="I27" s="232"/>
      <c r="J27" s="233"/>
      <c r="K27" s="291"/>
      <c r="L27" s="291"/>
    </row>
    <row r="28" spans="1:12" ht="15" customHeight="1">
      <c r="E28" s="231"/>
      <c r="F28" s="231"/>
      <c r="G28" s="1087"/>
      <c r="H28" s="232"/>
      <c r="I28" s="232"/>
      <c r="J28" s="233"/>
      <c r="K28" s="1019" t="s">
        <v>144</v>
      </c>
      <c r="L28" s="1020">
        <f>SUM(L22:L26)</f>
        <v>64094723.795000002</v>
      </c>
    </row>
    <row r="29" spans="1:12" ht="15" customHeight="1">
      <c r="E29" s="496" t="s">
        <v>27</v>
      </c>
      <c r="F29" s="504" t="s">
        <v>28</v>
      </c>
      <c r="G29" s="1088"/>
      <c r="H29" s="508"/>
      <c r="I29" s="505"/>
      <c r="J29" s="506"/>
      <c r="K29" s="505"/>
      <c r="L29" s="507"/>
    </row>
    <row r="30" spans="1:12" ht="15" customHeight="1">
      <c r="E30" s="231">
        <v>1</v>
      </c>
      <c r="F30" s="231" t="s">
        <v>1663</v>
      </c>
      <c r="G30" s="1087"/>
      <c r="H30" s="232"/>
      <c r="I30" s="232"/>
      <c r="J30" s="233"/>
      <c r="K30" s="232"/>
      <c r="L30" s="232"/>
    </row>
    <row r="31" spans="1:12" ht="15" customHeight="1">
      <c r="E31" s="231"/>
      <c r="F31" s="231" t="s">
        <v>1664</v>
      </c>
      <c r="G31" s="1087" t="s">
        <v>378</v>
      </c>
      <c r="H31" s="232" t="str">
        <f>IFERROR(INDEX(HSP!$G$7:$G$460,MATCH('HITUNG RAB'!G31,HSP!$H$7:$H$460,0)), "Isi Spesifikasi")</f>
        <v>A.4.1.1.18</v>
      </c>
      <c r="I31" s="232" t="s">
        <v>45</v>
      </c>
      <c r="J31" s="233">
        <f>'REKAP VOLUME'!H27</f>
        <v>189.58125000000001</v>
      </c>
      <c r="K31" s="289">
        <f>VLOOKUP(H31,HSP!$G$7:$J$460,4,0)/10</f>
        <v>17691.7</v>
      </c>
      <c r="L31" s="289">
        <f>IFERROR(J31*K31, "No Data")</f>
        <v>3354014.6006250004</v>
      </c>
    </row>
    <row r="32" spans="1:12" ht="15" customHeight="1">
      <c r="E32" s="231"/>
      <c r="F32" s="231" t="s">
        <v>1665</v>
      </c>
      <c r="G32" s="1087" t="s">
        <v>392</v>
      </c>
      <c r="H32" s="232" t="str">
        <f>IFERROR(INDEX(HSP!$G$7:$G$460,MATCH('HITUNG RAB'!G32,HSP!$H$7:$H$460,0)), "Isi Spesifikasi")</f>
        <v>A.4.1.1.22</v>
      </c>
      <c r="I32" s="232" t="s">
        <v>91</v>
      </c>
      <c r="J32" s="233">
        <f>'REKAP VOLUME'!H28</f>
        <v>22.5</v>
      </c>
      <c r="K32" s="289">
        <f>IFERROR(VLOOKUP(H32,HSP!$G$7:$J$460,4,0),"No Data")</f>
        <v>356765</v>
      </c>
      <c r="L32" s="289">
        <f>IFERROR(J32*K32, "No Data")</f>
        <v>8027212.5</v>
      </c>
    </row>
    <row r="33" spans="5:12" ht="15" customHeight="1">
      <c r="E33" s="231"/>
      <c r="F33" s="231" t="s">
        <v>1666</v>
      </c>
      <c r="G33" s="1087" t="s">
        <v>351</v>
      </c>
      <c r="H33" s="232" t="str">
        <f>IFERROR(INDEX(HSP!$G$7:$G$460,MATCH('HITUNG RAB'!G33,HSP!$H$7:$H$460,0)), "Isi Spesifikasi")</f>
        <v>A.4.1.1.8</v>
      </c>
      <c r="I33" s="232" t="s">
        <v>92</v>
      </c>
      <c r="J33" s="233">
        <f>'REKAP VOLUME'!H29</f>
        <v>2.25</v>
      </c>
      <c r="K33" s="289">
        <f>IFERROR(VLOOKUP(H33,HSP!$G$7:$J$460,4,0),"No Data")</f>
        <v>1802958</v>
      </c>
      <c r="L33" s="289">
        <f>IFERROR(J33*K33, "No Data")</f>
        <v>4056655.5</v>
      </c>
    </row>
    <row r="34" spans="5:12" ht="15" customHeight="1">
      <c r="E34" s="231">
        <v>2</v>
      </c>
      <c r="F34" s="231" t="s">
        <v>1667</v>
      </c>
      <c r="G34" s="1087"/>
      <c r="H34" s="232"/>
      <c r="I34" s="232"/>
      <c r="J34" s="233"/>
      <c r="K34" s="232"/>
      <c r="L34" s="289"/>
    </row>
    <row r="35" spans="5:12" ht="15" customHeight="1">
      <c r="E35" s="231"/>
      <c r="F35" s="231" t="s">
        <v>1664</v>
      </c>
      <c r="G35" s="1087" t="s">
        <v>378</v>
      </c>
      <c r="H35" s="232" t="str">
        <f>IFERROR(INDEX(HSP!$G$7:$G$460,MATCH('HITUNG RAB'!G35,HSP!$H$7:$H$460,0)), "Isi Spesifikasi")</f>
        <v>A.4.1.1.18</v>
      </c>
      <c r="I35" s="232" t="s">
        <v>45</v>
      </c>
      <c r="J35" s="233">
        <f>'REKAP VOLUME'!H31</f>
        <v>156.42833333333334</v>
      </c>
      <c r="K35" s="289">
        <f>VLOOKUP(H35,HSP!$G$7:$J$460,4,0)/10</f>
        <v>17691.7</v>
      </c>
      <c r="L35" s="289">
        <f>IFERROR(J35*K35, "No Data")</f>
        <v>2767483.1448333338</v>
      </c>
    </row>
    <row r="36" spans="5:12" ht="15" customHeight="1">
      <c r="E36" s="231"/>
      <c r="F36" s="231" t="s">
        <v>1665</v>
      </c>
      <c r="G36" s="1087" t="s">
        <v>394</v>
      </c>
      <c r="H36" s="232" t="str">
        <f>IFERROR(INDEX(HSP!$G$7:$G$460,MATCH('HITUNG RAB'!G36,HSP!$H$7:$H$460,0)), "Isi Spesifikasi")</f>
        <v>A.4.1.1.23</v>
      </c>
      <c r="I36" s="232" t="s">
        <v>91</v>
      </c>
      <c r="J36" s="233">
        <f>'REKAP VOLUME'!H32</f>
        <v>20.399999999999999</v>
      </c>
      <c r="K36" s="289">
        <f>IFERROR(VLOOKUP(H36,HSP!$G$7:$J$460,4,0),"No Data")</f>
        <v>562765</v>
      </c>
      <c r="L36" s="289">
        <f>IFERROR(J36*K36, "No Data")</f>
        <v>11480406</v>
      </c>
    </row>
    <row r="37" spans="5:12" ht="15" customHeight="1">
      <c r="E37" s="231"/>
      <c r="F37" s="231" t="s">
        <v>1666</v>
      </c>
      <c r="G37" s="1087" t="s">
        <v>351</v>
      </c>
      <c r="H37" s="232" t="str">
        <f>IFERROR(INDEX(HSP!$G$7:$G$460,MATCH('HITUNG RAB'!G37,HSP!$H$7:$H$460,0)), "Isi Spesifikasi")</f>
        <v>A.4.1.1.8</v>
      </c>
      <c r="I37" s="232" t="s">
        <v>92</v>
      </c>
      <c r="J37" s="233">
        <f>'REKAP VOLUME'!H33</f>
        <v>1.53</v>
      </c>
      <c r="K37" s="289">
        <f>IFERROR(VLOOKUP(H37,HSP!$G$7:$J$460,4,0),"No Data")</f>
        <v>1802958</v>
      </c>
      <c r="L37" s="289">
        <f>IFERROR(J37*K37, "No Data")</f>
        <v>2758525.74</v>
      </c>
    </row>
    <row r="38" spans="5:12" ht="15" customHeight="1">
      <c r="E38" s="231">
        <v>3</v>
      </c>
      <c r="F38" s="231" t="s">
        <v>1668</v>
      </c>
      <c r="G38" s="1087"/>
      <c r="H38" s="232"/>
      <c r="I38" s="232"/>
      <c r="J38" s="233"/>
      <c r="K38" s="232"/>
      <c r="L38" s="289"/>
    </row>
    <row r="39" spans="5:12" ht="15" customHeight="1">
      <c r="E39" s="231"/>
      <c r="F39" s="231" t="s">
        <v>1664</v>
      </c>
      <c r="G39" s="1087" t="s">
        <v>378</v>
      </c>
      <c r="H39" s="232" t="str">
        <f>IFERROR(INDEX(HSP!$G$7:$G$460,MATCH('HITUNG RAB'!G39,HSP!$H$7:$H$460,0)), "Isi Spesifikasi")</f>
        <v>A.4.1.1.18</v>
      </c>
      <c r="I39" s="232" t="s">
        <v>45</v>
      </c>
      <c r="J39" s="233">
        <f>'REKAP VOLUME'!H35</f>
        <v>103.51875000000001</v>
      </c>
      <c r="K39" s="289">
        <f>VLOOKUP(H39,HSP!$G$7:$J$460,4,0)/10</f>
        <v>17691.7</v>
      </c>
      <c r="L39" s="289">
        <f>IFERROR(J39*K39, "No Data")</f>
        <v>1831422.6693750003</v>
      </c>
    </row>
    <row r="40" spans="5:12" ht="15" customHeight="1">
      <c r="E40" s="231"/>
      <c r="F40" s="231" t="s">
        <v>1665</v>
      </c>
      <c r="G40" s="1087" t="s">
        <v>399</v>
      </c>
      <c r="H40" s="232" t="str">
        <f>IFERROR(INDEX(HSP!$G$7:$G$460,MATCH('HITUNG RAB'!G40,HSP!$H$7:$H$460,0)), "Isi Spesifikasi")</f>
        <v>A.4.1.1.24</v>
      </c>
      <c r="I40" s="232" t="s">
        <v>91</v>
      </c>
      <c r="J40" s="233">
        <f>'REKAP VOLUME'!H36</f>
        <v>13.5</v>
      </c>
      <c r="K40" s="289">
        <f>IFERROR(VLOOKUP(H40,HSP!$G$7:$J$460,4,0),"No Data")</f>
        <v>577318</v>
      </c>
      <c r="L40" s="289">
        <f>IFERROR(J40*K40, "No Data")</f>
        <v>7793793</v>
      </c>
    </row>
    <row r="41" spans="5:12" ht="15" customHeight="1">
      <c r="E41" s="231"/>
      <c r="F41" s="231" t="s">
        <v>1666</v>
      </c>
      <c r="G41" s="1087" t="s">
        <v>351</v>
      </c>
      <c r="H41" s="232" t="str">
        <f>IFERROR(INDEX(HSP!$G$7:$G$460,MATCH('HITUNG RAB'!G41,HSP!$H$7:$H$460,0)), "Isi Spesifikasi")</f>
        <v>A.4.1.1.8</v>
      </c>
      <c r="I41" s="232" t="s">
        <v>92</v>
      </c>
      <c r="J41" s="233">
        <f>'REKAP VOLUME'!H37</f>
        <v>1.0125</v>
      </c>
      <c r="K41" s="289">
        <f>IFERROR(VLOOKUP(H41,HSP!$G$7:$J$460,4,0),"No Data")</f>
        <v>1802958</v>
      </c>
      <c r="L41" s="289">
        <f>IFERROR(J41*K41, "No Data")</f>
        <v>1825494.9749999999</v>
      </c>
    </row>
    <row r="42" spans="5:12" ht="15" customHeight="1">
      <c r="E42" s="231">
        <v>4</v>
      </c>
      <c r="F42" s="231" t="s">
        <v>48</v>
      </c>
      <c r="G42" s="1087"/>
      <c r="H42" s="232"/>
      <c r="I42" s="232"/>
      <c r="J42" s="233"/>
      <c r="K42" s="232"/>
      <c r="L42" s="289"/>
    </row>
    <row r="43" spans="5:12" ht="15" customHeight="1">
      <c r="E43" s="231"/>
      <c r="F43" s="231" t="s">
        <v>1664</v>
      </c>
      <c r="G43" s="1087" t="s">
        <v>378</v>
      </c>
      <c r="H43" s="232" t="str">
        <f>IFERROR(INDEX(HSP!$G$7:$G$460,MATCH('HITUNG RAB'!G43,HSP!$H$7:$H$460,0)), "Isi Spesifikasi")</f>
        <v>A.4.1.1.18</v>
      </c>
      <c r="I43" s="232" t="s">
        <v>45</v>
      </c>
      <c r="J43" s="233">
        <f>'REKAP VOLUME'!H39</f>
        <v>37</v>
      </c>
      <c r="K43" s="289">
        <f>VLOOKUP(H43,HSP!$G$7:$J$460,4,0)/10</f>
        <v>17691.7</v>
      </c>
      <c r="L43" s="289">
        <f>IFERROR(J43*K43, "No Data")</f>
        <v>654592.9</v>
      </c>
    </row>
    <row r="44" spans="5:12" ht="15" customHeight="1">
      <c r="E44" s="231"/>
      <c r="F44" s="231" t="s">
        <v>1665</v>
      </c>
      <c r="G44" s="1087" t="s">
        <v>401</v>
      </c>
      <c r="H44" s="232" t="str">
        <f>IFERROR(INDEX(HSP!$G$7:$G$460,MATCH('HITUNG RAB'!G44,HSP!$H$7:$H$460,0)), "Isi Spesifikasi")</f>
        <v>A.4.1.1.25</v>
      </c>
      <c r="I44" s="232" t="s">
        <v>91</v>
      </c>
      <c r="J44" s="233">
        <f>'REKAP VOLUME'!H40</f>
        <v>3</v>
      </c>
      <c r="K44" s="289">
        <f>IFERROR(VLOOKUP(H44,HSP!$G$7:$J$460,4,0),"No Data")</f>
        <v>700265</v>
      </c>
      <c r="L44" s="289">
        <f>IFERROR(J44*K44, "No Data")</f>
        <v>2100795</v>
      </c>
    </row>
    <row r="45" spans="5:12" ht="15" customHeight="1">
      <c r="E45" s="231"/>
      <c r="F45" s="231" t="s">
        <v>1666</v>
      </c>
      <c r="G45" s="1087" t="s">
        <v>351</v>
      </c>
      <c r="H45" s="232" t="str">
        <f>IFERROR(INDEX(HSP!$G$7:$G$460,MATCH('HITUNG RAB'!G45,HSP!$H$7:$H$460,0)), "Isi Spesifikasi")</f>
        <v>A.4.1.1.8</v>
      </c>
      <c r="I45" s="232" t="s">
        <v>92</v>
      </c>
      <c r="J45" s="233">
        <f>'REKAP VOLUME'!H41</f>
        <v>0.36</v>
      </c>
      <c r="K45" s="289">
        <f>IFERROR(VLOOKUP(H45,HSP!$G$7:$J$460,4,0),"No Data")</f>
        <v>1802958</v>
      </c>
      <c r="L45" s="289">
        <f>IFERROR(J45*K45, "No Data")</f>
        <v>649064.88</v>
      </c>
    </row>
    <row r="46" spans="5:12" ht="15" customHeight="1">
      <c r="E46" s="231">
        <v>5</v>
      </c>
      <c r="F46" s="231" t="s">
        <v>49</v>
      </c>
      <c r="G46" s="1087"/>
      <c r="H46" s="232"/>
      <c r="I46" s="232"/>
      <c r="J46" s="233"/>
      <c r="K46" s="232"/>
      <c r="L46" s="289"/>
    </row>
    <row r="47" spans="5:12" ht="15" customHeight="1">
      <c r="E47" s="231"/>
      <c r="F47" s="231" t="s">
        <v>1664</v>
      </c>
      <c r="G47" s="1087" t="s">
        <v>378</v>
      </c>
      <c r="H47" s="232" t="str">
        <f>IFERROR(INDEX(HSP!$G$7:$G$460,MATCH('HITUNG RAB'!G47,HSP!$H$7:$H$460,0)), "Isi Spesifikasi")</f>
        <v>A.4.1.1.18</v>
      </c>
      <c r="I47" s="232" t="s">
        <v>45</v>
      </c>
      <c r="J47" s="233">
        <f>'REKAP VOLUME'!H43</f>
        <v>34.533333333333339</v>
      </c>
      <c r="K47" s="289">
        <f>VLOOKUP(H47,HSP!$G$7:$J$460,4,0)/10</f>
        <v>17691.7</v>
      </c>
      <c r="L47" s="289">
        <f>IFERROR(J47*K47, "No Data")</f>
        <v>610953.37333333341</v>
      </c>
    </row>
    <row r="48" spans="5:12" ht="15" customHeight="1">
      <c r="E48" s="231"/>
      <c r="F48" s="231" t="s">
        <v>1665</v>
      </c>
      <c r="G48" s="1087" t="s">
        <v>401</v>
      </c>
      <c r="H48" s="232" t="str">
        <f>IFERROR(INDEX(HSP!$G$7:$G$460,MATCH('HITUNG RAB'!G48,HSP!$H$7:$H$460,0)), "Isi Spesifikasi")</f>
        <v>A.4.1.1.25</v>
      </c>
      <c r="I48" s="232" t="s">
        <v>91</v>
      </c>
      <c r="J48" s="233">
        <f>'REKAP VOLUME'!H44</f>
        <v>2.8</v>
      </c>
      <c r="K48" s="289">
        <f>IFERROR(VLOOKUP(H48,HSP!$G$7:$J$460,4,0),"No Data")</f>
        <v>700265</v>
      </c>
      <c r="L48" s="289">
        <f>IFERROR(J48*K48, "No Data")</f>
        <v>1960741.9999999998</v>
      </c>
    </row>
    <row r="49" spans="5:12" ht="15" customHeight="1">
      <c r="E49" s="231"/>
      <c r="F49" s="231" t="s">
        <v>1666</v>
      </c>
      <c r="G49" s="1087" t="s">
        <v>351</v>
      </c>
      <c r="H49" s="232" t="str">
        <f>IFERROR(INDEX(HSP!$G$7:$G$460,MATCH('HITUNG RAB'!G49,HSP!$H$7:$H$460,0)), "Isi Spesifikasi")</f>
        <v>A.4.1.1.8</v>
      </c>
      <c r="I49" s="232" t="s">
        <v>92</v>
      </c>
      <c r="J49" s="233">
        <f>'REKAP VOLUME'!H45</f>
        <v>0.33599999999999997</v>
      </c>
      <c r="K49" s="289">
        <f>IFERROR(VLOOKUP(H49,HSP!$G$7:$J$460,4,0),"No Data")</f>
        <v>1802958</v>
      </c>
      <c r="L49" s="289">
        <f>IFERROR(J49*K49, "No Data")</f>
        <v>605793.88799999992</v>
      </c>
    </row>
    <row r="50" spans="5:12" ht="15" customHeight="1">
      <c r="E50" s="231"/>
      <c r="F50" s="231"/>
      <c r="G50" s="1087"/>
      <c r="H50" s="232"/>
      <c r="I50" s="232"/>
      <c r="J50" s="233"/>
      <c r="K50" s="291"/>
      <c r="L50" s="291"/>
    </row>
    <row r="51" spans="5:12" ht="15" customHeight="1">
      <c r="E51" s="231"/>
      <c r="F51" s="231"/>
      <c r="G51" s="1087"/>
      <c r="H51" s="232"/>
      <c r="I51" s="232"/>
      <c r="J51" s="233"/>
      <c r="K51" s="1019" t="s">
        <v>145</v>
      </c>
      <c r="L51" s="1020">
        <f>SUM(L31:L49)</f>
        <v>50476950.171166673</v>
      </c>
    </row>
    <row r="52" spans="5:12" ht="15" customHeight="1">
      <c r="E52" s="496" t="s">
        <v>50</v>
      </c>
      <c r="F52" s="504" t="s">
        <v>2087</v>
      </c>
      <c r="G52" s="1088"/>
      <c r="H52" s="508"/>
      <c r="I52" s="505"/>
      <c r="J52" s="506"/>
      <c r="K52" s="505"/>
      <c r="L52" s="507"/>
    </row>
    <row r="53" spans="5:12" ht="15" customHeight="1">
      <c r="E53" s="231">
        <v>1</v>
      </c>
      <c r="F53" s="231" t="s">
        <v>1669</v>
      </c>
      <c r="G53" s="1087" t="s">
        <v>607</v>
      </c>
      <c r="H53" s="232" t="str">
        <f>IFERROR(INDEX(HSP!$G$7:$G$460,MATCH('HITUNG RAB'!G53,HSP!$H$7:$H$460,0)), "Isi Spesifikasi")</f>
        <v>A.4.2.1.24</v>
      </c>
      <c r="I53" s="232" t="s">
        <v>92</v>
      </c>
      <c r="J53" s="233">
        <f t="shared" ref="J53:J58" si="0">VLOOKUP(F53,RekapVolume,3,FALSE)</f>
        <v>97.680097680097688</v>
      </c>
      <c r="K53" s="289">
        <f>IFERROR(VLOOKUP(H53,HSP!$G$7:$J$460,4,0),"No Data")</f>
        <v>396201</v>
      </c>
      <c r="L53" s="289">
        <f t="shared" ref="L53:L58" si="1">IFERROR(J53*K53, "No Data")</f>
        <v>38700952.380952381</v>
      </c>
    </row>
    <row r="54" spans="5:12" ht="15" customHeight="1">
      <c r="E54" s="231">
        <v>2</v>
      </c>
      <c r="F54" s="231" t="s">
        <v>104</v>
      </c>
      <c r="G54" s="1087" t="s">
        <v>1153</v>
      </c>
      <c r="H54" s="232" t="str">
        <f>IFERROR(INDEX(HSP!$G$7:$G$460,MATCH('HITUNG RAB'!G54,HSP!$H$7:$H$460,0)), "Isi Spesifikasi")</f>
        <v>A.4.6.1.21</v>
      </c>
      <c r="I54" s="232" t="s">
        <v>92</v>
      </c>
      <c r="J54" s="233">
        <f t="shared" si="0"/>
        <v>39.536019536019538</v>
      </c>
      <c r="K54" s="289">
        <f>IFERROR(VLOOKUP(H54,HSP!$G$7:$J$460,4,0),"No Data")</f>
        <v>107851</v>
      </c>
      <c r="L54" s="289">
        <f t="shared" si="1"/>
        <v>4263999.2429792434</v>
      </c>
    </row>
    <row r="55" spans="5:12" ht="15" customHeight="1">
      <c r="E55" s="231">
        <v>3</v>
      </c>
      <c r="F55" s="231" t="s">
        <v>1679</v>
      </c>
      <c r="G55" s="1087" t="s">
        <v>1069</v>
      </c>
      <c r="H55" s="232" t="str">
        <f>IFERROR(INDEX(HSP!$G$7:$G$460,MATCH('HITUNG RAB'!G55,HSP!$H$7:$H$460,0)), "Isi Spesifikasi")</f>
        <v>A.4.5.2.32</v>
      </c>
      <c r="I55" s="232" t="s">
        <v>92</v>
      </c>
      <c r="J55" s="233">
        <f t="shared" si="0"/>
        <v>97.680097680097688</v>
      </c>
      <c r="K55" s="289">
        <f>IFERROR(VLOOKUP(H55,HSP!$G$7:$J$460,4,0),"No Data")</f>
        <v>114665</v>
      </c>
      <c r="L55" s="289">
        <f t="shared" si="1"/>
        <v>11200488.400488401</v>
      </c>
    </row>
    <row r="56" spans="5:12" ht="15" customHeight="1">
      <c r="E56" s="231">
        <v>4</v>
      </c>
      <c r="F56" s="231" t="s">
        <v>1680</v>
      </c>
      <c r="G56" s="1087" t="s">
        <v>599</v>
      </c>
      <c r="H56" s="232" t="str">
        <f>IFERROR(INDEX(HSP!$G$7:$G$460,MATCH('HITUNG RAB'!G56,HSP!$H$7:$H$460,0)), "Isi Spesifikasi")</f>
        <v>A.4.2.1.21</v>
      </c>
      <c r="I56" s="232" t="s">
        <v>92</v>
      </c>
      <c r="J56" s="233">
        <f t="shared" si="0"/>
        <v>80</v>
      </c>
      <c r="K56" s="289">
        <f>IFERROR(VLOOKUP(H56,HSP!$G$7:$J$460,4,0),"No Data")</f>
        <v>423593</v>
      </c>
      <c r="L56" s="289">
        <f t="shared" si="1"/>
        <v>33887440</v>
      </c>
    </row>
    <row r="57" spans="5:12" ht="15" customHeight="1">
      <c r="E57" s="231">
        <v>5</v>
      </c>
      <c r="F57" s="231" t="s">
        <v>1681</v>
      </c>
      <c r="G57" s="1087" t="s">
        <v>979</v>
      </c>
      <c r="H57" s="232" t="str">
        <f>IFERROR(INDEX(HSP!$G$7:$G$460,MATCH('HITUNG RAB'!G57,HSP!$H$7:$H$460,0)), "Isi Spesifikasi")</f>
        <v>A.4.5.1.7</v>
      </c>
      <c r="I57" s="232" t="s">
        <v>93</v>
      </c>
      <c r="J57" s="233">
        <f t="shared" si="0"/>
        <v>80</v>
      </c>
      <c r="K57" s="289">
        <f>IFERROR(VLOOKUP(H57,HSP!$G$7:$J$460,4,0),"No Data")</f>
        <v>64700</v>
      </c>
      <c r="L57" s="289">
        <f t="shared" si="1"/>
        <v>5176000</v>
      </c>
    </row>
    <row r="58" spans="5:12" ht="15" customHeight="1">
      <c r="E58" s="231">
        <v>6</v>
      </c>
      <c r="F58" s="231" t="s">
        <v>105</v>
      </c>
      <c r="G58" s="1087" t="s">
        <v>1670</v>
      </c>
      <c r="H58" s="232" t="str">
        <f>IFERROR(INDEX(HSP!$G$7:$G$460,MATCH('HITUNG RAB'!G58,HSP!$H$7:$H$460,0)), "Isi Spesifikasi")</f>
        <v>A.4.5.1.8</v>
      </c>
      <c r="I58" s="232" t="s">
        <v>91</v>
      </c>
      <c r="J58" s="233">
        <f t="shared" si="0"/>
        <v>36</v>
      </c>
      <c r="K58" s="289">
        <f>IFERROR(VLOOKUP(H58,HSP!$G$7:$J$460,4,0),"No Data")</f>
        <v>41910</v>
      </c>
      <c r="L58" s="289">
        <f t="shared" si="1"/>
        <v>1508760</v>
      </c>
    </row>
    <row r="59" spans="5:12" ht="15" customHeight="1">
      <c r="E59" s="231"/>
      <c r="F59" s="231"/>
      <c r="G59" s="1087"/>
      <c r="H59" s="232"/>
      <c r="I59" s="232"/>
      <c r="J59" s="233"/>
      <c r="K59" s="291"/>
      <c r="L59" s="291"/>
    </row>
    <row r="60" spans="5:12" ht="15" customHeight="1">
      <c r="E60" s="231"/>
      <c r="F60" s="231"/>
      <c r="G60" s="1087"/>
      <c r="H60" s="232"/>
      <c r="I60" s="232"/>
      <c r="J60" s="233"/>
      <c r="K60" s="1019" t="s">
        <v>146</v>
      </c>
      <c r="L60" s="1020">
        <f>SUM(L53:L58)</f>
        <v>94737640.024420023</v>
      </c>
    </row>
    <row r="61" spans="5:12" ht="15" customHeight="1">
      <c r="E61" s="496" t="s">
        <v>55</v>
      </c>
      <c r="F61" s="504" t="s">
        <v>106</v>
      </c>
      <c r="G61" s="1088"/>
      <c r="H61" s="508"/>
      <c r="I61" s="505"/>
      <c r="J61" s="506"/>
      <c r="K61" s="505"/>
      <c r="L61" s="507"/>
    </row>
    <row r="62" spans="5:12" ht="15" customHeight="1">
      <c r="E62" s="231">
        <v>1</v>
      </c>
      <c r="F62" s="231" t="s">
        <v>1687</v>
      </c>
      <c r="G62" s="1087" t="s">
        <v>1108</v>
      </c>
      <c r="H62" s="232" t="str">
        <f>IFERROR(INDEX(HSP!$G$7:$G$460,MATCH('HITUNG RAB'!G62,HSP!$H$7:$H$460,0)), "Isi Spesifikasi")</f>
        <v>A.4.6.1.2</v>
      </c>
      <c r="I62" s="232" t="s">
        <v>92</v>
      </c>
      <c r="J62" s="233">
        <f>VLOOKUP(F62,RekapVolume,3,FALSE)</f>
        <v>0.35040000000000004</v>
      </c>
      <c r="K62" s="289">
        <f>IFERROR(VLOOKUP(H62,HSP!$G$7:$J$460,4,0),"No Data")</f>
        <v>10054189</v>
      </c>
      <c r="L62" s="289">
        <f>IFERROR(J62*K62, "No Data")</f>
        <v>3522987.8256000006</v>
      </c>
    </row>
    <row r="63" spans="5:12" ht="15" customHeight="1">
      <c r="E63" s="231">
        <v>2</v>
      </c>
      <c r="F63" s="231" t="s">
        <v>1688</v>
      </c>
      <c r="G63" s="1087" t="s">
        <v>1115</v>
      </c>
      <c r="H63" s="232" t="str">
        <f>IFERROR(INDEX(HSP!$G$7:$G$460,MATCH('HITUNG RAB'!G63,HSP!$H$7:$H$460,0)), "Isi Spesifikasi")</f>
        <v>A.4.6.1.5</v>
      </c>
      <c r="I63" s="232" t="s">
        <v>91</v>
      </c>
      <c r="J63" s="233">
        <f>VLOOKUP(F63,RekapVolume,3,FALSE)</f>
        <v>6.5280000000000005</v>
      </c>
      <c r="K63" s="289">
        <f>IFERROR(VLOOKUP(H63,HSP!$G$7:$J$460,4,0),"No Data")</f>
        <v>902665</v>
      </c>
      <c r="L63" s="289">
        <f>IFERROR(J63*K63, "No Data")</f>
        <v>5892597.1200000001</v>
      </c>
    </row>
    <row r="64" spans="5:12" ht="15" customHeight="1">
      <c r="E64" s="231">
        <v>3</v>
      </c>
      <c r="F64" s="231" t="s">
        <v>61</v>
      </c>
      <c r="G64" s="1087" t="s">
        <v>1128</v>
      </c>
      <c r="H64" s="232" t="str">
        <f>IFERROR(INDEX(HSP!$G$7:$G$460,MATCH('HITUNG RAB'!G64,HSP!$H$7:$H$460,0)), "Isi Spesifikasi")</f>
        <v>A.4.6.1.11</v>
      </c>
      <c r="I64" s="232" t="s">
        <v>91</v>
      </c>
      <c r="J64" s="233">
        <f>VLOOKUP(F64,RekapVolume,3,FALSE)</f>
        <v>1.4279999999999999</v>
      </c>
      <c r="K64" s="289">
        <f>IFERROR(VLOOKUP(H64,HSP!$G$7:$J$460,4,0),"No Data")</f>
        <v>767120</v>
      </c>
      <c r="L64" s="289">
        <f>IFERROR(J64*K64, "No Data")</f>
        <v>1095447.3599999999</v>
      </c>
    </row>
    <row r="65" spans="5:12" ht="15" customHeight="1">
      <c r="E65" s="231">
        <v>4</v>
      </c>
      <c r="F65" s="231" t="s">
        <v>107</v>
      </c>
      <c r="G65" s="1087" t="s">
        <v>1117</v>
      </c>
      <c r="H65" s="232" t="str">
        <f>IFERROR(INDEX(HSP!$G$7:$G$460,MATCH('HITUNG RAB'!G65,HSP!$H$7:$H$460,0)), "Isi Spesifikasi")</f>
        <v>A.4.6.1.6</v>
      </c>
      <c r="I65" s="232" t="s">
        <v>91</v>
      </c>
      <c r="J65" s="233">
        <f>VLOOKUP(F65,RekapVolume,3,FALSE)</f>
        <v>1.4419999999999999</v>
      </c>
      <c r="K65" s="289">
        <f>IFERROR(VLOOKUP(H65,HSP!$G$7:$J$460,4,0),"No Data")</f>
        <v>680859</v>
      </c>
      <c r="L65" s="289">
        <f>IFERROR(J65*K65, "No Data")</f>
        <v>981798.67799999996</v>
      </c>
    </row>
    <row r="66" spans="5:12" ht="15" customHeight="1">
      <c r="E66" s="231">
        <v>5</v>
      </c>
      <c r="F66" s="231" t="s">
        <v>108</v>
      </c>
      <c r="G66" s="1087" t="s">
        <v>1125</v>
      </c>
      <c r="H66" s="232" t="str">
        <f>IFERROR(INDEX(HSP!$G$7:$G$460,MATCH('HITUNG RAB'!G66,HSP!$H$7:$H$460,0)), "Isi Spesifikasi")</f>
        <v>A.4.6.1.10</v>
      </c>
      <c r="I66" s="232" t="s">
        <v>91</v>
      </c>
      <c r="J66" s="233">
        <f>VLOOKUP(F66,RekapVolume,3,FALSE)</f>
        <v>2.3040000000000003</v>
      </c>
      <c r="K66" s="289">
        <f>IFERROR(VLOOKUP(H66,HSP!$G$7:$J$460,4,0),"No Data")</f>
        <v>822685</v>
      </c>
      <c r="L66" s="289">
        <f>IFERROR(J66*K66, "No Data")</f>
        <v>1895466.2400000002</v>
      </c>
    </row>
    <row r="67" spans="5:12" ht="15" customHeight="1">
      <c r="E67" s="231"/>
      <c r="F67" s="231"/>
      <c r="G67" s="1087"/>
      <c r="H67" s="232"/>
      <c r="I67" s="232"/>
      <c r="J67" s="233"/>
      <c r="K67" s="291"/>
      <c r="L67" s="291"/>
    </row>
    <row r="68" spans="5:12" ht="15" customHeight="1">
      <c r="E68" s="231"/>
      <c r="F68" s="231"/>
      <c r="G68" s="1087"/>
      <c r="H68" s="232"/>
      <c r="I68" s="232"/>
      <c r="J68" s="233"/>
      <c r="K68" s="1019" t="s">
        <v>147</v>
      </c>
      <c r="L68" s="1020">
        <f>SUM(L62:L66)</f>
        <v>13388297.2236</v>
      </c>
    </row>
    <row r="69" spans="5:12" ht="15" customHeight="1">
      <c r="E69" s="496" t="s">
        <v>62</v>
      </c>
      <c r="F69" s="504" t="s">
        <v>109</v>
      </c>
      <c r="G69" s="1088"/>
      <c r="H69" s="508"/>
      <c r="I69" s="505"/>
      <c r="J69" s="506"/>
      <c r="K69" s="505"/>
      <c r="L69" s="507"/>
    </row>
    <row r="70" spans="5:12" ht="15" customHeight="1">
      <c r="E70" s="231">
        <v>1</v>
      </c>
      <c r="F70" s="231" t="s">
        <v>110</v>
      </c>
      <c r="G70" s="1087" t="s">
        <v>851</v>
      </c>
      <c r="H70" s="232" t="str">
        <f>IFERROR(INDEX(HSP!$G$7:$G$460,MATCH('HITUNG RAB'!G70,HSP!$H$7:$H$460,0)), "Isi Spesifikasi")</f>
        <v>A.4.4.3.35</v>
      </c>
      <c r="I70" s="232" t="s">
        <v>91</v>
      </c>
      <c r="J70" s="233">
        <f>VLOOKUP(F70,RekapVolume,3,FALSE)</f>
        <v>44.37</v>
      </c>
      <c r="K70" s="289">
        <f>IFERROR(VLOOKUP(H70,HSP!$G$7:$J$460,4,0),"No Data")</f>
        <v>302112</v>
      </c>
      <c r="L70" s="289">
        <f>IFERROR(J70*K70, "No Data")</f>
        <v>13404709.439999999</v>
      </c>
    </row>
    <row r="71" spans="5:12" ht="15" customHeight="1">
      <c r="E71" s="231">
        <v>2</v>
      </c>
      <c r="F71" s="231" t="s">
        <v>111</v>
      </c>
      <c r="G71" s="1087" t="s">
        <v>854</v>
      </c>
      <c r="H71" s="232" t="str">
        <f>IFERROR(INDEX(HSP!$G$7:$G$460,MATCH('HITUNG RAB'!G71,HSP!$H$7:$H$460,0)), "Isi Spesifikasi")</f>
        <v>A.4.4.3.36</v>
      </c>
      <c r="I71" s="232" t="s">
        <v>91</v>
      </c>
      <c r="J71" s="233">
        <f>VLOOKUP(F71,RekapVolume,3,FALSE)</f>
        <v>2.8800000000000003</v>
      </c>
      <c r="K71" s="289">
        <f>IFERROR(VLOOKUP(H71,HSP!$G$7:$J$460,4,0),"No Data")</f>
        <v>351087</v>
      </c>
      <c r="L71" s="289">
        <f>IFERROR(J71*K71, "No Data")</f>
        <v>1011130.5600000002</v>
      </c>
    </row>
    <row r="72" spans="5:12" ht="15" customHeight="1">
      <c r="E72" s="231"/>
      <c r="F72" s="231"/>
      <c r="G72" s="1087"/>
      <c r="H72" s="232"/>
      <c r="I72" s="232"/>
      <c r="J72" s="233"/>
      <c r="K72" s="291"/>
      <c r="L72" s="291"/>
    </row>
    <row r="73" spans="5:12" ht="15" customHeight="1">
      <c r="E73" s="231"/>
      <c r="F73" s="231"/>
      <c r="G73" s="1087"/>
      <c r="H73" s="232"/>
      <c r="I73" s="232"/>
      <c r="J73" s="233"/>
      <c r="K73" s="1019" t="s">
        <v>148</v>
      </c>
      <c r="L73" s="1020">
        <f>SUM(L70:L71)</f>
        <v>14415840</v>
      </c>
    </row>
    <row r="74" spans="5:12" ht="15" customHeight="1">
      <c r="E74" s="496" t="s">
        <v>94</v>
      </c>
      <c r="F74" s="497" t="s">
        <v>112</v>
      </c>
      <c r="G74" s="1089"/>
      <c r="H74" s="496"/>
      <c r="I74" s="498"/>
      <c r="J74" s="499"/>
      <c r="K74" s="498"/>
      <c r="L74" s="498"/>
    </row>
    <row r="75" spans="5:12" ht="15" customHeight="1">
      <c r="E75" s="231">
        <v>1</v>
      </c>
      <c r="F75" s="231" t="s">
        <v>1689</v>
      </c>
      <c r="G75" s="1087" t="s">
        <v>1178</v>
      </c>
      <c r="H75" s="232" t="str">
        <f>IFERROR(INDEX(HSP!$G$7:$G$460,MATCH('HITUNG RAB'!G75,HSP!$H$7:$H$460,0)), "Isi Spesifikasi")</f>
        <v>A.4.6.2.2</v>
      </c>
      <c r="I75" s="232" t="s">
        <v>95</v>
      </c>
      <c r="J75" s="233">
        <f t="shared" ref="J75:J81" si="2">VLOOKUP(F75,RekapVolume,3,FALSE)</f>
        <v>4</v>
      </c>
      <c r="K75" s="289">
        <f>IFERROR(VLOOKUP(H75,HSP!$G$7:$J$460,4,0),"No Data")</f>
        <v>269775</v>
      </c>
      <c r="L75" s="289">
        <f t="shared" ref="L75:L81" si="3">IFERROR(J75*K75, "No Data")</f>
        <v>1079100</v>
      </c>
    </row>
    <row r="76" spans="5:12" ht="15" customHeight="1">
      <c r="E76" s="231">
        <v>2</v>
      </c>
      <c r="F76" s="231" t="s">
        <v>64</v>
      </c>
      <c r="G76" s="1087" t="s">
        <v>1181</v>
      </c>
      <c r="H76" s="232" t="str">
        <f>IFERROR(INDEX(HSP!$G$7:$G$460,MATCH('HITUNG RAB'!G76,HSP!$H$7:$H$460,0)), "Isi Spesifikasi")</f>
        <v>A.4.6.2.3</v>
      </c>
      <c r="I76" s="232" t="s">
        <v>95</v>
      </c>
      <c r="J76" s="233">
        <f t="shared" si="2"/>
        <v>1</v>
      </c>
      <c r="K76" s="289">
        <f>IFERROR(VLOOKUP(H76,HSP!$G$7:$J$460,4,0),"No Data")</f>
        <v>157173</v>
      </c>
      <c r="L76" s="289">
        <f t="shared" si="3"/>
        <v>157173</v>
      </c>
    </row>
    <row r="77" spans="5:12" ht="15" customHeight="1">
      <c r="E77" s="231">
        <v>3</v>
      </c>
      <c r="F77" s="231" t="s">
        <v>1690</v>
      </c>
      <c r="G77" s="1087" t="s">
        <v>1206</v>
      </c>
      <c r="H77" s="232" t="str">
        <f>IFERROR(INDEX(HSP!$G$7:$G$460,MATCH('HITUNG RAB'!G77,HSP!$H$7:$H$460,0)), "Isi Spesifikasi")</f>
        <v>A.4.6.2.11</v>
      </c>
      <c r="I77" s="232" t="s">
        <v>95</v>
      </c>
      <c r="J77" s="233">
        <f t="shared" si="2"/>
        <v>5</v>
      </c>
      <c r="K77" s="289">
        <f>IFERROR(VLOOKUP(H77,HSP!$G$7:$J$460,4,0),"No Data")</f>
        <v>108317</v>
      </c>
      <c r="L77" s="289">
        <f t="shared" si="3"/>
        <v>541585</v>
      </c>
    </row>
    <row r="78" spans="5:12" ht="15" customHeight="1">
      <c r="E78" s="231">
        <v>4</v>
      </c>
      <c r="F78" s="231" t="s">
        <v>1691</v>
      </c>
      <c r="G78" s="1087" t="s">
        <v>1206</v>
      </c>
      <c r="H78" s="232" t="str">
        <f>IFERROR(INDEX(HSP!$G$7:$G$460,MATCH('HITUNG RAB'!G78,HSP!$H$7:$H$460,0)), "Isi Spesifikasi")</f>
        <v>A.4.6.2.11</v>
      </c>
      <c r="I78" s="232" t="s">
        <v>95</v>
      </c>
      <c r="J78" s="233">
        <f t="shared" si="2"/>
        <v>4</v>
      </c>
      <c r="K78" s="289">
        <f>IFERROR(VLOOKUP(H78,HSP!$G$7:$J$460,4,0),"No Data")</f>
        <v>108317</v>
      </c>
      <c r="L78" s="289">
        <f t="shared" si="3"/>
        <v>433268</v>
      </c>
    </row>
    <row r="79" spans="5:12" ht="15" customHeight="1">
      <c r="E79" s="231">
        <v>5</v>
      </c>
      <c r="F79" s="231" t="s">
        <v>65</v>
      </c>
      <c r="G79" s="1087" t="s">
        <v>1187</v>
      </c>
      <c r="H79" s="232" t="str">
        <f>IFERROR(INDEX(HSP!$G$7:$G$460,MATCH('HITUNG RAB'!G79,HSP!$H$7:$H$460,0)), "Isi Spesifikasi")</f>
        <v>A.4.6.2.5</v>
      </c>
      <c r="I79" s="232" t="s">
        <v>95</v>
      </c>
      <c r="J79" s="233">
        <f t="shared" si="2"/>
        <v>15</v>
      </c>
      <c r="K79" s="289">
        <f>IFERROR(VLOOKUP(H79,HSP!$G$7:$J$460,4,0),"No Data")</f>
        <v>53246</v>
      </c>
      <c r="L79" s="289">
        <f t="shared" si="3"/>
        <v>798690</v>
      </c>
    </row>
    <row r="80" spans="5:12" ht="15" customHeight="1">
      <c r="E80" s="231">
        <v>6</v>
      </c>
      <c r="F80" s="231" t="s">
        <v>66</v>
      </c>
      <c r="G80" s="1087" t="s">
        <v>1190</v>
      </c>
      <c r="H80" s="232" t="str">
        <f>IFERROR(INDEX(HSP!$G$7:$G$460,MATCH('HITUNG RAB'!G80,HSP!$H$7:$H$460,0)), "Isi Spesifikasi")</f>
        <v>A.4.6.2.6</v>
      </c>
      <c r="I80" s="232" t="s">
        <v>95</v>
      </c>
      <c r="J80" s="233">
        <f t="shared" si="2"/>
        <v>8</v>
      </c>
      <c r="K80" s="289">
        <f>IFERROR(VLOOKUP(H80,HSP!$G$7:$J$460,4,0),"No Data")</f>
        <v>44863</v>
      </c>
      <c r="L80" s="289">
        <f t="shared" si="3"/>
        <v>358904</v>
      </c>
    </row>
    <row r="81" spans="5:12" ht="15" customHeight="1">
      <c r="E81" s="231">
        <v>7</v>
      </c>
      <c r="F81" s="231" t="s">
        <v>67</v>
      </c>
      <c r="G81" s="1087" t="s">
        <v>1199</v>
      </c>
      <c r="H81" s="232" t="str">
        <f>IFERROR(INDEX(HSP!$G$7:$G$460,MATCH('HITUNG RAB'!G81,HSP!$H$7:$H$460,0)), "Isi Spesifikasi")</f>
        <v>A.4.6.2.9</v>
      </c>
      <c r="I81" s="232" t="s">
        <v>95</v>
      </c>
      <c r="J81" s="233">
        <f t="shared" si="2"/>
        <v>8</v>
      </c>
      <c r="K81" s="289">
        <f>IFERROR(VLOOKUP(H81,HSP!$G$7:$J$460,4,0),"No Data")</f>
        <v>38291</v>
      </c>
      <c r="L81" s="289">
        <f t="shared" si="3"/>
        <v>306328</v>
      </c>
    </row>
    <row r="82" spans="5:12" ht="15" customHeight="1">
      <c r="E82" s="231"/>
      <c r="F82" s="231"/>
      <c r="G82" s="1087"/>
      <c r="H82" s="232"/>
      <c r="I82" s="232"/>
      <c r="J82" s="233"/>
      <c r="K82" s="291"/>
      <c r="L82" s="291"/>
    </row>
    <row r="83" spans="5:12" ht="15" customHeight="1">
      <c r="E83" s="231"/>
      <c r="F83" s="231"/>
      <c r="G83" s="1087"/>
      <c r="H83" s="232"/>
      <c r="I83" s="232"/>
      <c r="J83" s="233"/>
      <c r="K83" s="1019" t="s">
        <v>149</v>
      </c>
      <c r="L83" s="1020">
        <f>SUM(L75:L81)</f>
        <v>3675048</v>
      </c>
    </row>
    <row r="84" spans="5:12" ht="15" customHeight="1">
      <c r="E84" s="496" t="s">
        <v>69</v>
      </c>
      <c r="F84" s="497" t="s">
        <v>113</v>
      </c>
      <c r="G84" s="1089"/>
      <c r="H84" s="496"/>
      <c r="I84" s="498"/>
      <c r="J84" s="499"/>
      <c r="K84" s="498"/>
      <c r="L84" s="498"/>
    </row>
    <row r="85" spans="5:12" ht="15" customHeight="1">
      <c r="E85" s="231">
        <v>1</v>
      </c>
      <c r="F85" s="231" t="s">
        <v>114</v>
      </c>
      <c r="G85" s="1087" t="s">
        <v>1709</v>
      </c>
      <c r="H85" s="232" t="str">
        <f>IFERROR(INDEX(HSP!$G$7:$G$460,MATCH('HITUNG RAB'!G85,HSP!$H$7:$H$460,0)), "Isi Spesifikasi")</f>
        <v>A.8.4.6.2</v>
      </c>
      <c r="I85" s="232" t="s">
        <v>95</v>
      </c>
      <c r="J85" s="233">
        <f t="shared" ref="J85:J96" si="4">VLOOKUP(F85,RekapVolume,3,FALSE)</f>
        <v>2</v>
      </c>
      <c r="K85" s="289">
        <f>IFERROR(VLOOKUP(H85,HSP!$G$7:$J$460,4,0),"No Data")</f>
        <v>306611</v>
      </c>
      <c r="L85" s="289">
        <f t="shared" ref="L85:L96" si="5">IFERROR(J85*K85, "No Data")</f>
        <v>613222</v>
      </c>
    </row>
    <row r="86" spans="5:12" ht="15" customHeight="1">
      <c r="E86" s="231">
        <v>2</v>
      </c>
      <c r="F86" s="231" t="s">
        <v>115</v>
      </c>
      <c r="G86" s="1087" t="s">
        <v>1709</v>
      </c>
      <c r="H86" s="232" t="str">
        <f>IFERROR(INDEX(HSP!$G$7:$G$460,MATCH('HITUNG RAB'!G86,HSP!$H$7:$H$460,0)), "Isi Spesifikasi")</f>
        <v>A.8.4.6.2</v>
      </c>
      <c r="I86" s="232" t="s">
        <v>95</v>
      </c>
      <c r="J86" s="233">
        <f t="shared" si="4"/>
        <v>5</v>
      </c>
      <c r="K86" s="289">
        <f>IFERROR(VLOOKUP(H86,HSP!$G$7:$J$460,4,0),"No Data")</f>
        <v>306611</v>
      </c>
      <c r="L86" s="289">
        <f t="shared" si="5"/>
        <v>1533055</v>
      </c>
    </row>
    <row r="87" spans="5:12" ht="15" customHeight="1">
      <c r="E87" s="231">
        <v>3</v>
      </c>
      <c r="F87" s="231" t="s">
        <v>116</v>
      </c>
      <c r="G87" s="1087" t="s">
        <v>1709</v>
      </c>
      <c r="H87" s="232" t="str">
        <f>IFERROR(INDEX(HSP!$G$7:$G$460,MATCH('HITUNG RAB'!G87,HSP!$H$7:$H$460,0)), "Isi Spesifikasi")</f>
        <v>A.8.4.6.2</v>
      </c>
      <c r="I87" s="232" t="s">
        <v>95</v>
      </c>
      <c r="J87" s="233">
        <f t="shared" si="4"/>
        <v>1</v>
      </c>
      <c r="K87" s="289">
        <f>IFERROR(VLOOKUP(H87,HSP!$G$7:$J$460,4,0),"No Data")</f>
        <v>306611</v>
      </c>
      <c r="L87" s="289">
        <f t="shared" si="5"/>
        <v>306611</v>
      </c>
    </row>
    <row r="88" spans="5:12" ht="15" customHeight="1">
      <c r="E88" s="231">
        <v>4</v>
      </c>
      <c r="F88" s="231" t="s">
        <v>70</v>
      </c>
      <c r="G88" s="1087" t="s">
        <v>1710</v>
      </c>
      <c r="H88" s="232" t="str">
        <f>IFERROR(INDEX(HSP!$G$7:$G$460,MATCH('HITUNG RAB'!G88,HSP!$H$7:$H$460,0)), "Isi Spesifikasi")</f>
        <v>A.8.4.6.3</v>
      </c>
      <c r="I88" s="232" t="s">
        <v>95</v>
      </c>
      <c r="J88" s="233">
        <f t="shared" si="4"/>
        <v>2</v>
      </c>
      <c r="K88" s="289">
        <f>IFERROR(VLOOKUP(H88,HSP!$G$7:$J$460,4,0),"No Data")</f>
        <v>84535</v>
      </c>
      <c r="L88" s="289">
        <f t="shared" si="5"/>
        <v>169070</v>
      </c>
    </row>
    <row r="89" spans="5:12" ht="15" customHeight="1">
      <c r="E89" s="231">
        <v>5</v>
      </c>
      <c r="F89" s="231" t="s">
        <v>71</v>
      </c>
      <c r="G89" s="1087" t="s">
        <v>1711</v>
      </c>
      <c r="H89" s="232" t="str">
        <f>IFERROR(INDEX(HSP!$G$7:$G$460,MATCH('HITUNG RAB'!G89,HSP!$H$7:$H$460,0)), "Isi Spesifikasi")</f>
        <v>A.8.4.6.4</v>
      </c>
      <c r="I89" s="232" t="s">
        <v>95</v>
      </c>
      <c r="J89" s="233">
        <f t="shared" si="4"/>
        <v>4</v>
      </c>
      <c r="K89" s="289">
        <f>IFERROR(VLOOKUP(H89,HSP!$G$7:$J$460,4,0),"No Data")</f>
        <v>77935</v>
      </c>
      <c r="L89" s="289">
        <f t="shared" si="5"/>
        <v>311740</v>
      </c>
    </row>
    <row r="90" spans="5:12" ht="15" customHeight="1">
      <c r="E90" s="231">
        <v>6</v>
      </c>
      <c r="F90" s="231" t="s">
        <v>72</v>
      </c>
      <c r="G90" s="1087" t="s">
        <v>1712</v>
      </c>
      <c r="H90" s="232" t="str">
        <f>IFERROR(INDEX(HSP!$G$7:$G$460,MATCH('HITUNG RAB'!G90,HSP!$H$7:$H$460,0)), "Isi Spesifikasi")</f>
        <v>A.8.4.6.5</v>
      </c>
      <c r="I90" s="232" t="s">
        <v>95</v>
      </c>
      <c r="J90" s="233">
        <f t="shared" si="4"/>
        <v>4</v>
      </c>
      <c r="K90" s="289">
        <f>IFERROR(VLOOKUP(H90,HSP!$G$7:$J$460,4,0),"No Data")</f>
        <v>70697</v>
      </c>
      <c r="L90" s="289">
        <f t="shared" si="5"/>
        <v>282788</v>
      </c>
    </row>
    <row r="91" spans="5:12" ht="15" customHeight="1">
      <c r="E91" s="231">
        <v>7</v>
      </c>
      <c r="F91" s="231" t="s">
        <v>73</v>
      </c>
      <c r="G91" s="1087" t="s">
        <v>1713</v>
      </c>
      <c r="H91" s="232" t="str">
        <f>IFERROR(INDEX(HSP!$G$7:$G$460,MATCH('HITUNG RAB'!G91,HSP!$H$7:$H$460,0)), "Isi Spesifikasi")</f>
        <v>A.8.4.6.6</v>
      </c>
      <c r="I91" s="232" t="s">
        <v>95</v>
      </c>
      <c r="J91" s="233">
        <f t="shared" si="4"/>
        <v>1</v>
      </c>
      <c r="K91" s="289">
        <f>IFERROR(VLOOKUP(H91,HSP!$G$7:$J$460,4,0),"No Data")</f>
        <v>496870</v>
      </c>
      <c r="L91" s="289">
        <f t="shared" si="5"/>
        <v>496870</v>
      </c>
    </row>
    <row r="92" spans="5:12" ht="15" customHeight="1">
      <c r="E92" s="231">
        <v>8</v>
      </c>
      <c r="F92" s="231" t="s">
        <v>74</v>
      </c>
      <c r="G92" s="1087" t="s">
        <v>1327</v>
      </c>
      <c r="H92" s="232" t="str">
        <f>IFERROR(INDEX(HSP!$G$7:$G$460,MATCH('HITUNG RAB'!G92,HSP!$H$7:$H$460,0)), "Isi Spesifikasi")</f>
        <v>A.5.1.1.1</v>
      </c>
      <c r="I92" s="232" t="s">
        <v>95</v>
      </c>
      <c r="J92" s="233">
        <f t="shared" si="4"/>
        <v>1</v>
      </c>
      <c r="K92" s="289">
        <f>IFERROR(VLOOKUP(H92,HSP!$G$7:$J$460,4,0),"No Data")</f>
        <v>2407185</v>
      </c>
      <c r="L92" s="289">
        <f t="shared" si="5"/>
        <v>2407185</v>
      </c>
    </row>
    <row r="93" spans="5:12" ht="15" customHeight="1">
      <c r="E93" s="231">
        <v>9</v>
      </c>
      <c r="F93" s="231" t="s">
        <v>75</v>
      </c>
      <c r="G93" s="1087" t="s">
        <v>1354</v>
      </c>
      <c r="H93" s="232" t="str">
        <f>IFERROR(INDEX(HSP!$G$7:$G$460,MATCH('HITUNG RAB'!G93,HSP!$H$7:$H$460,0)), "Isi Spesifikasi")</f>
        <v>A.5.1.1.10</v>
      </c>
      <c r="I93" s="232" t="s">
        <v>95</v>
      </c>
      <c r="J93" s="233">
        <f t="shared" si="4"/>
        <v>1</v>
      </c>
      <c r="K93" s="289">
        <f>IFERROR(VLOOKUP(H93,HSP!$G$7:$J$460,4,0),"No Data")</f>
        <v>611387</v>
      </c>
      <c r="L93" s="289">
        <f t="shared" si="5"/>
        <v>611387</v>
      </c>
    </row>
    <row r="94" spans="5:12" ht="15" customHeight="1">
      <c r="E94" s="231">
        <v>10</v>
      </c>
      <c r="F94" s="231" t="s">
        <v>76</v>
      </c>
      <c r="G94" s="1087" t="s">
        <v>1380</v>
      </c>
      <c r="H94" s="232" t="str">
        <f>IFERROR(INDEX(HSP!$G$7:$G$460,MATCH('HITUNG RAB'!G94,HSP!$H$7:$H$460,0)), "Isi Spesifikasi")</f>
        <v>A.5.1.1.19</v>
      </c>
      <c r="I94" s="232" t="s">
        <v>95</v>
      </c>
      <c r="J94" s="233">
        <f t="shared" si="4"/>
        <v>4</v>
      </c>
      <c r="K94" s="289">
        <f>IFERROR(VLOOKUP(H94,HSP!$G$7:$J$460,4,0),"No Data")</f>
        <v>110331</v>
      </c>
      <c r="L94" s="289">
        <f t="shared" si="5"/>
        <v>441324</v>
      </c>
    </row>
    <row r="95" spans="5:12" ht="15" customHeight="1">
      <c r="E95" s="231">
        <v>11</v>
      </c>
      <c r="F95" s="231" t="s">
        <v>77</v>
      </c>
      <c r="G95" s="1087" t="s">
        <v>1368</v>
      </c>
      <c r="H95" s="232" t="str">
        <f>IFERROR(INDEX(HSP!$G$7:$G$460,MATCH('HITUNG RAB'!G95,HSP!$H$7:$H$460,0)), "Isi Spesifikasi")</f>
        <v>A.5.1.1.14</v>
      </c>
      <c r="I95" s="232" t="s">
        <v>95</v>
      </c>
      <c r="J95" s="233">
        <f t="shared" si="4"/>
        <v>1</v>
      </c>
      <c r="K95" s="289">
        <f>IFERROR(VLOOKUP(H95,HSP!$G$7:$J$460,4,0),"No Data")</f>
        <v>328625</v>
      </c>
      <c r="L95" s="289">
        <f t="shared" si="5"/>
        <v>328625</v>
      </c>
    </row>
    <row r="96" spans="5:12" ht="15" customHeight="1">
      <c r="E96" s="231">
        <v>12</v>
      </c>
      <c r="F96" s="231" t="s">
        <v>78</v>
      </c>
      <c r="G96" s="1087" t="s">
        <v>1362</v>
      </c>
      <c r="H96" s="232" t="str">
        <f>IFERROR(INDEX(HSP!$G$7:$G$460,MATCH('HITUNG RAB'!G96,HSP!$H$7:$H$460,0)), "Isi Spesifikasi")</f>
        <v>A.5.1.1.12</v>
      </c>
      <c r="I96" s="232" t="s">
        <v>95</v>
      </c>
      <c r="J96" s="233">
        <f t="shared" si="4"/>
        <v>1</v>
      </c>
      <c r="K96" s="289">
        <f>IFERROR(VLOOKUP(H96,HSP!$G$7:$J$460,4,0),"No Data")</f>
        <v>678315</v>
      </c>
      <c r="L96" s="289">
        <f t="shared" si="5"/>
        <v>678315</v>
      </c>
    </row>
    <row r="97" spans="5:12" ht="15" customHeight="1">
      <c r="E97" s="231"/>
      <c r="F97" s="231"/>
      <c r="G97" s="1087"/>
      <c r="H97" s="232"/>
      <c r="I97" s="232"/>
      <c r="J97" s="233"/>
      <c r="K97" s="291"/>
      <c r="L97" s="291"/>
    </row>
    <row r="98" spans="5:12" ht="15" customHeight="1">
      <c r="E98" s="231"/>
      <c r="F98" s="231"/>
      <c r="G98" s="1087"/>
      <c r="H98" s="232"/>
      <c r="I98" s="232"/>
      <c r="J98" s="233"/>
      <c r="K98" s="1019" t="s">
        <v>150</v>
      </c>
      <c r="L98" s="1020">
        <f>SUM(L85:L96)</f>
        <v>8180192</v>
      </c>
    </row>
    <row r="99" spans="5:12" ht="15" customHeight="1">
      <c r="E99" s="496" t="s">
        <v>8</v>
      </c>
      <c r="F99" s="497" t="s">
        <v>82</v>
      </c>
      <c r="G99" s="1089"/>
      <c r="H99" s="496"/>
      <c r="I99" s="498"/>
      <c r="J99" s="499"/>
      <c r="K99" s="498"/>
      <c r="L99" s="498"/>
    </row>
    <row r="100" spans="5:12" ht="15" customHeight="1">
      <c r="E100" s="231">
        <v>1</v>
      </c>
      <c r="F100" s="231" t="s">
        <v>117</v>
      </c>
      <c r="G100" s="1087" t="s">
        <v>1284</v>
      </c>
      <c r="H100" s="232" t="str">
        <f>IFERROR(INDEX(HSP!$G$7:$G$460,MATCH('HITUNG RAB'!G100,HSP!$H$7:$H$460,0)), "Isi Spesifikasi")</f>
        <v>A.4.7.1.10</v>
      </c>
      <c r="I100" s="232" t="s">
        <v>91</v>
      </c>
      <c r="J100" s="233">
        <f>VLOOKUP(F100,RekapVolume,3,FALSE)</f>
        <v>135.23000000000002</v>
      </c>
      <c r="K100" s="289">
        <f>IFERROR(VLOOKUP(H100,HSP!$G$7:$J$460,4,0),"No Data")</f>
        <v>37532</v>
      </c>
      <c r="L100" s="289">
        <f>IFERROR(J100*K100, "No Data")</f>
        <v>5075452.3600000003</v>
      </c>
    </row>
    <row r="101" spans="5:12" ht="15" customHeight="1">
      <c r="E101" s="231">
        <v>2</v>
      </c>
      <c r="F101" s="231" t="s">
        <v>118</v>
      </c>
      <c r="G101" s="1087" t="s">
        <v>1284</v>
      </c>
      <c r="H101" s="232" t="str">
        <f>IFERROR(INDEX(HSP!$G$7:$G$460,MATCH('HITUNG RAB'!G101,HSP!$H$7:$H$460,0)), "Isi Spesifikasi")</f>
        <v>A.4.7.1.10</v>
      </c>
      <c r="I101" s="232" t="s">
        <v>91</v>
      </c>
      <c r="J101" s="233">
        <f>VLOOKUP(F101,RekapVolume,3,FALSE)</f>
        <v>80</v>
      </c>
      <c r="K101" s="289">
        <f>IFERROR(VLOOKUP(H101,HSP!$G$7:$J$460,4,0),"No Data")</f>
        <v>37532</v>
      </c>
      <c r="L101" s="289">
        <f>IFERROR(J101*K101, "No Data")</f>
        <v>3002560</v>
      </c>
    </row>
    <row r="102" spans="5:12" ht="15" customHeight="1">
      <c r="E102" s="231">
        <v>3</v>
      </c>
      <c r="F102" s="231" t="s">
        <v>119</v>
      </c>
      <c r="G102" s="1087" t="s">
        <v>1303</v>
      </c>
      <c r="H102" s="232" t="str">
        <f>IFERROR(INDEX(HSP!$G$7:$G$460,MATCH('HITUNG RAB'!G102,HSP!$H$7:$H$460,0)), "Isi Spesifikasi")</f>
        <v>A.4.7.1.16</v>
      </c>
      <c r="I102" s="232" t="s">
        <v>91</v>
      </c>
      <c r="J102" s="233">
        <f>VLOOKUP(F102,RekapVolume,3,FALSE)</f>
        <v>13.966003907203907</v>
      </c>
      <c r="K102" s="289">
        <f>IFERROR(VLOOKUP(H102,HSP!$G$7:$J$460,4,0),"No Data")</f>
        <v>43847</v>
      </c>
      <c r="L102" s="289">
        <f>IFERROR(J102*K102, "No Data")</f>
        <v>612367.37331916974</v>
      </c>
    </row>
    <row r="103" spans="5:12" ht="15" customHeight="1">
      <c r="E103" s="231">
        <v>4</v>
      </c>
      <c r="F103" s="231" t="s">
        <v>120</v>
      </c>
      <c r="G103" s="1087" t="s">
        <v>1257</v>
      </c>
      <c r="H103" s="232" t="str">
        <f>IFERROR(INDEX(HSP!$G$7:$G$460,MATCH('HITUNG RAB'!G103,HSP!$H$7:$H$460,0)), "Isi Spesifikasi")</f>
        <v>A.4.7.1.4</v>
      </c>
      <c r="I103" s="232" t="s">
        <v>91</v>
      </c>
      <c r="J103" s="233">
        <f>VLOOKUP(F103,RekapVolume,3,FALSE)</f>
        <v>13.966003907203907</v>
      </c>
      <c r="K103" s="289">
        <f>IFERROR(VLOOKUP(H103,HSP!$G$7:$J$460,4,0),"No Data")</f>
        <v>52538</v>
      </c>
      <c r="L103" s="289">
        <f>IFERROR(J103*K103, "No Data")</f>
        <v>733745.91327667888</v>
      </c>
    </row>
    <row r="104" spans="5:12" ht="15" customHeight="1">
      <c r="E104" s="231"/>
      <c r="F104" s="231"/>
      <c r="G104" s="1087"/>
      <c r="H104" s="232"/>
      <c r="I104" s="232"/>
      <c r="J104" s="233"/>
      <c r="K104" s="291"/>
      <c r="L104" s="291"/>
    </row>
    <row r="105" spans="5:12" ht="15" customHeight="1">
      <c r="E105" s="231"/>
      <c r="F105" s="231"/>
      <c r="G105" s="1087"/>
      <c r="H105" s="232"/>
      <c r="I105" s="232"/>
      <c r="J105" s="233"/>
      <c r="K105" s="1019" t="s">
        <v>151</v>
      </c>
      <c r="L105" s="1020">
        <f>SUM(L100:L103)</f>
        <v>9424125.6465958506</v>
      </c>
    </row>
    <row r="106" spans="5:12" ht="15" customHeight="1">
      <c r="E106" s="496" t="s">
        <v>84</v>
      </c>
      <c r="F106" s="497" t="s">
        <v>85</v>
      </c>
      <c r="G106" s="1089"/>
      <c r="H106" s="496"/>
      <c r="I106" s="498"/>
      <c r="J106" s="499"/>
      <c r="K106" s="498"/>
      <c r="L106" s="498"/>
    </row>
    <row r="107" spans="5:12" ht="15" customHeight="1">
      <c r="E107" s="231">
        <v>1</v>
      </c>
      <c r="F107" s="231" t="s">
        <v>86</v>
      </c>
      <c r="G107" s="1087" t="s">
        <v>269</v>
      </c>
      <c r="H107" s="232" t="str">
        <f>IFERROR(INDEX(HSP!$G$7:$G$460,MATCH('HITUNG RAB'!G107,HSP!$H$7:$H$460,0)), "Isi Spesifikasi")</f>
        <v>A.1.5.1.1</v>
      </c>
      <c r="I107" s="232" t="s">
        <v>92</v>
      </c>
      <c r="J107" s="233">
        <f t="shared" ref="J107:J122" si="6">VLOOKUP(F107,RekapVolume,3,FALSE)</f>
        <v>12.774000000000001</v>
      </c>
      <c r="K107" s="289">
        <f>IFERROR(VLOOKUP(H107,HSP!$G$7:$J$460,4,0),"No Data")</f>
        <v>107800</v>
      </c>
      <c r="L107" s="289">
        <f t="shared" ref="L107:L122" si="7">IFERROR(J107*K107, "No Data")</f>
        <v>1377037.2000000002</v>
      </c>
    </row>
    <row r="108" spans="5:12" ht="15" customHeight="1">
      <c r="E108" s="231">
        <v>2</v>
      </c>
      <c r="F108" s="231" t="s">
        <v>89</v>
      </c>
      <c r="G108" s="1087" t="s">
        <v>682</v>
      </c>
      <c r="H108" s="232" t="str">
        <f>IFERROR(INDEX(HSP!$G$7:$G$460,MATCH('HITUNG RAB'!G108,HSP!$H$7:$H$460,0)), "Isi Spesifikasi")</f>
        <v>A.4.4.2.1</v>
      </c>
      <c r="I108" s="232" t="s">
        <v>91</v>
      </c>
      <c r="J108" s="233">
        <f t="shared" si="6"/>
        <v>24.959999999999997</v>
      </c>
      <c r="K108" s="289">
        <f>IFERROR(VLOOKUP(H108,HSP!$G$7:$J$460,4,0),"No Data")</f>
        <v>108051</v>
      </c>
      <c r="L108" s="289">
        <f t="shared" si="7"/>
        <v>2696952.9599999995</v>
      </c>
    </row>
    <row r="109" spans="5:12" ht="15" customHeight="1">
      <c r="E109" s="231">
        <v>3</v>
      </c>
      <c r="F109" s="231" t="s">
        <v>121</v>
      </c>
      <c r="G109" s="1087" t="s">
        <v>324</v>
      </c>
      <c r="H109" s="232" t="str">
        <f>IFERROR(INDEX(HSP!$G$7:$G$460,MATCH('HITUNG RAB'!G109,HSP!$H$7:$H$460,0)), "Isi Spesifikasi")</f>
        <v>A.3.1.1.9</v>
      </c>
      <c r="I109" s="232" t="s">
        <v>92</v>
      </c>
      <c r="J109" s="233">
        <f t="shared" si="6"/>
        <v>0.432</v>
      </c>
      <c r="K109" s="289">
        <f>IFERROR(VLOOKUP(H109,HSP!$G$7:$J$460,4,0),"No Data")</f>
        <v>885381</v>
      </c>
      <c r="L109" s="289">
        <f t="shared" si="7"/>
        <v>382484.592</v>
      </c>
    </row>
    <row r="110" spans="5:12" ht="15" customHeight="1">
      <c r="E110" s="231">
        <v>4</v>
      </c>
      <c r="F110" s="231" t="s">
        <v>1683</v>
      </c>
      <c r="G110" s="1087" t="s">
        <v>290</v>
      </c>
      <c r="H110" s="232" t="str">
        <f>IFERROR(INDEX(HSP!$G$7:$G$460,MATCH('HITUNG RAB'!G110,HSP!$H$7:$H$460,0)), "Isi Spesifikasi")</f>
        <v>A.1.5.1.11</v>
      </c>
      <c r="I110" s="232" t="s">
        <v>92</v>
      </c>
      <c r="J110" s="233">
        <f t="shared" si="6"/>
        <v>0.42750000000000005</v>
      </c>
      <c r="K110" s="289">
        <f>IFERROR(VLOOKUP(H110,HSP!$G$7:$J$460,4,0),"No Data")</f>
        <v>440426</v>
      </c>
      <c r="L110" s="289">
        <f t="shared" si="7"/>
        <v>188282.11500000002</v>
      </c>
    </row>
    <row r="111" spans="5:12" ht="15" customHeight="1">
      <c r="E111" s="231">
        <v>5</v>
      </c>
      <c r="F111" s="231" t="s">
        <v>122</v>
      </c>
      <c r="G111" s="1087" t="s">
        <v>302</v>
      </c>
      <c r="H111" s="232" t="str">
        <f>IFERROR(INDEX(HSP!$G$7:$G$460,MATCH('HITUNG RAB'!G111,HSP!$H$7:$H$460,0)), "Isi Spesifikasi")</f>
        <v>A.1.5.1.14</v>
      </c>
      <c r="I111" s="232" t="s">
        <v>92</v>
      </c>
      <c r="J111" s="233">
        <f t="shared" si="6"/>
        <v>0.432</v>
      </c>
      <c r="K111" s="289">
        <f>IFERROR(VLOOKUP(H111,HSP!$G$7:$J$460,4,0),"No Data")</f>
        <v>401852</v>
      </c>
      <c r="L111" s="289">
        <f t="shared" si="7"/>
        <v>173600.06399999998</v>
      </c>
    </row>
    <row r="112" spans="5:12" ht="15" customHeight="1">
      <c r="E112" s="231">
        <v>6</v>
      </c>
      <c r="F112" s="231" t="s">
        <v>1684</v>
      </c>
      <c r="G112" s="1087" t="s">
        <v>302</v>
      </c>
      <c r="H112" s="232" t="str">
        <f>IFERROR(INDEX(HSP!$G$7:$G$460,MATCH('HITUNG RAB'!G112,HSP!$H$7:$H$460,0)), "Isi Spesifikasi")</f>
        <v>A.1.5.1.14</v>
      </c>
      <c r="I112" s="232" t="s">
        <v>92</v>
      </c>
      <c r="J112" s="233">
        <f t="shared" si="6"/>
        <v>0.432</v>
      </c>
      <c r="K112" s="289">
        <f>IFERROR(VLOOKUP(H112,HSP!$G$7:$J$460,4,0),"No Data")</f>
        <v>401852</v>
      </c>
      <c r="L112" s="289">
        <f t="shared" si="7"/>
        <v>173600.06399999998</v>
      </c>
    </row>
    <row r="113" spans="5:12" ht="15" customHeight="1">
      <c r="E113" s="231">
        <v>7</v>
      </c>
      <c r="F113" s="231" t="s">
        <v>123</v>
      </c>
      <c r="G113" s="1087" t="s">
        <v>299</v>
      </c>
      <c r="H113" s="232" t="str">
        <f>IFERROR(INDEX(HSP!$G$7:$G$460,MATCH('HITUNG RAB'!G113,HSP!$H$7:$H$460,0)), "Isi Spesifikasi")</f>
        <v>A.1.5.1.13</v>
      </c>
      <c r="I113" s="232" t="s">
        <v>91</v>
      </c>
      <c r="J113" s="233">
        <f t="shared" si="6"/>
        <v>5.1199999999999992</v>
      </c>
      <c r="K113" s="289">
        <f>IFERROR(VLOOKUP(H113,HSP!$G$7:$J$460,4,0)/2,"No Data")</f>
        <v>808665</v>
      </c>
      <c r="L113" s="289">
        <f t="shared" si="7"/>
        <v>4140364.7999999993</v>
      </c>
    </row>
    <row r="114" spans="5:12" ht="15" customHeight="1">
      <c r="E114" s="231">
        <v>8</v>
      </c>
      <c r="F114" s="231" t="s">
        <v>124</v>
      </c>
      <c r="G114" s="1087" t="s">
        <v>417</v>
      </c>
      <c r="H114" s="232" t="str">
        <f>IFERROR(INDEX(HSP!$G$7:$G$460,MATCH('HITUNG RAB'!G114,HSP!$H$7:$H$460,0)), "Isi Spesifikasi")</f>
        <v>A.4.1.1.30</v>
      </c>
      <c r="I114" s="232" t="s">
        <v>92</v>
      </c>
      <c r="J114" s="233">
        <f t="shared" si="6"/>
        <v>0.28350000000000009</v>
      </c>
      <c r="K114" s="289">
        <f>IFERROR(VLOOKUP(H114,HSP!$G$7:$J$460,4,0),"No Data")</f>
        <v>7336880</v>
      </c>
      <c r="L114" s="289">
        <f t="shared" si="7"/>
        <v>2080005.4800000007</v>
      </c>
    </row>
    <row r="115" spans="5:12" ht="15" customHeight="1">
      <c r="E115" s="231">
        <v>9</v>
      </c>
      <c r="F115" s="231" t="s">
        <v>125</v>
      </c>
      <c r="G115" s="1087" t="s">
        <v>425</v>
      </c>
      <c r="H115" s="232" t="str">
        <f>IFERROR(INDEX(HSP!$G$7:$G$460,MATCH('HITUNG RAB'!G115,HSP!$H$7:$H$460,0)), "Isi Spesifikasi")</f>
        <v>A.4.1.1.33</v>
      </c>
      <c r="I115" s="232" t="s">
        <v>92</v>
      </c>
      <c r="J115" s="233">
        <f t="shared" si="6"/>
        <v>0.20249999999999996</v>
      </c>
      <c r="K115" s="289">
        <f>IFERROR(VLOOKUP(H115,HSP!$G$7:$J$460,4,0),"No Data")</f>
        <v>8939854</v>
      </c>
      <c r="L115" s="289">
        <f t="shared" si="7"/>
        <v>1810320.4349999996</v>
      </c>
    </row>
    <row r="116" spans="5:12" ht="15" customHeight="1">
      <c r="E116" s="231">
        <v>10</v>
      </c>
      <c r="F116" s="231" t="s">
        <v>126</v>
      </c>
      <c r="G116" s="1087" t="s">
        <v>425</v>
      </c>
      <c r="H116" s="232" t="str">
        <f>IFERROR(INDEX(HSP!$G$7:$G$460,MATCH('HITUNG RAB'!G116,HSP!$H$7:$H$460,0)), "Isi Spesifikasi")</f>
        <v>A.4.1.1.33</v>
      </c>
      <c r="I116" s="232" t="s">
        <v>92</v>
      </c>
      <c r="J116" s="233">
        <f t="shared" si="6"/>
        <v>0.11199999999999999</v>
      </c>
      <c r="K116" s="289">
        <f>IFERROR(VLOOKUP(H116,HSP!$G$7:$J$460,4,0),"No Data")</f>
        <v>8939854</v>
      </c>
      <c r="L116" s="289">
        <f t="shared" si="7"/>
        <v>1001263.6479999999</v>
      </c>
    </row>
    <row r="117" spans="5:12" ht="15" customHeight="1">
      <c r="E117" s="231">
        <v>11</v>
      </c>
      <c r="F117" s="231" t="s">
        <v>127</v>
      </c>
      <c r="G117" s="1087" t="s">
        <v>417</v>
      </c>
      <c r="H117" s="232" t="str">
        <f>IFERROR(INDEX(HSP!$G$7:$G$460,MATCH('HITUNG RAB'!G117,HSP!$H$7:$H$460,0)), "Isi Spesifikasi")</f>
        <v>A.4.1.1.30</v>
      </c>
      <c r="I117" s="232" t="s">
        <v>92</v>
      </c>
      <c r="J117" s="233">
        <f t="shared" si="6"/>
        <v>0.24975000000000003</v>
      </c>
      <c r="K117" s="289">
        <f>IFERROR(VLOOKUP(H117,HSP!$G$7:$J$460,4,0),"No Data")</f>
        <v>7336880</v>
      </c>
      <c r="L117" s="289">
        <f t="shared" si="7"/>
        <v>1832385.7800000003</v>
      </c>
    </row>
    <row r="118" spans="5:12" ht="15" customHeight="1">
      <c r="E118" s="231">
        <v>12</v>
      </c>
      <c r="F118" s="231" t="s">
        <v>128</v>
      </c>
      <c r="G118" s="1087" t="s">
        <v>417</v>
      </c>
      <c r="H118" s="232" t="str">
        <f>IFERROR(INDEX(HSP!$G$7:$G$460,MATCH('HITUNG RAB'!G118,HSP!$H$7:$H$460,0)), "Isi Spesifikasi")</f>
        <v>A.4.1.1.30</v>
      </c>
      <c r="I118" s="232" t="s">
        <v>92</v>
      </c>
      <c r="J118" s="233">
        <f t="shared" si="6"/>
        <v>0.16800000000000001</v>
      </c>
      <c r="K118" s="289">
        <f>IFERROR(VLOOKUP(H118,HSP!$G$7:$J$460,4,0),"No Data")</f>
        <v>7336880</v>
      </c>
      <c r="L118" s="289">
        <f t="shared" si="7"/>
        <v>1232595.8400000001</v>
      </c>
    </row>
    <row r="119" spans="5:12" ht="15" customHeight="1">
      <c r="E119" s="231">
        <v>13</v>
      </c>
      <c r="F119" s="231" t="s">
        <v>129</v>
      </c>
      <c r="G119" s="1087" t="s">
        <v>425</v>
      </c>
      <c r="H119" s="232" t="str">
        <f>IFERROR(INDEX(HSP!$G$7:$G$460,MATCH('HITUNG RAB'!G119,HSP!$H$7:$H$460,0)), "Isi Spesifikasi")</f>
        <v>A.4.1.1.33</v>
      </c>
      <c r="I119" s="232" t="s">
        <v>92</v>
      </c>
      <c r="J119" s="233">
        <f t="shared" si="6"/>
        <v>0.59075</v>
      </c>
      <c r="K119" s="289">
        <f>IFERROR(VLOOKUP(H119,HSP!$G$7:$J$460,4,0),"No Data")</f>
        <v>8939854</v>
      </c>
      <c r="L119" s="289">
        <f t="shared" si="7"/>
        <v>5281218.7505000001</v>
      </c>
    </row>
    <row r="120" spans="5:12" ht="15" customHeight="1">
      <c r="E120" s="231">
        <v>14</v>
      </c>
      <c r="F120" s="231" t="s">
        <v>130</v>
      </c>
      <c r="G120" s="1087" t="s">
        <v>1420</v>
      </c>
      <c r="H120" s="232" t="str">
        <f>IFERROR(INDEX(HSP!$G$7:$G$460,MATCH('HITUNG RAB'!G120,HSP!$H$7:$H$460,0)), "Isi Spesifikasi")</f>
        <v>A.5.1.1.32</v>
      </c>
      <c r="I120" s="232" t="s">
        <v>93</v>
      </c>
      <c r="J120" s="233">
        <f t="shared" si="6"/>
        <v>3</v>
      </c>
      <c r="K120" s="289">
        <f>IFERROR(VLOOKUP(H120,HSP!$G$7:$J$460,4,0),"No Data")</f>
        <v>154222</v>
      </c>
      <c r="L120" s="289">
        <f t="shared" si="7"/>
        <v>462666</v>
      </c>
    </row>
    <row r="121" spans="5:12" ht="15" customHeight="1">
      <c r="E121" s="231">
        <v>15</v>
      </c>
      <c r="F121" s="231" t="s">
        <v>131</v>
      </c>
      <c r="G121" s="1087" t="s">
        <v>2067</v>
      </c>
      <c r="H121" s="232" t="s">
        <v>2024</v>
      </c>
      <c r="I121" s="232" t="s">
        <v>95</v>
      </c>
      <c r="J121" s="233">
        <f t="shared" si="6"/>
        <v>1</v>
      </c>
      <c r="K121" s="292">
        <v>100000</v>
      </c>
      <c r="L121" s="289">
        <f t="shared" si="7"/>
        <v>100000</v>
      </c>
    </row>
    <row r="122" spans="5:12" ht="15" customHeight="1">
      <c r="E122" s="231">
        <v>16</v>
      </c>
      <c r="F122" s="231" t="s">
        <v>132</v>
      </c>
      <c r="G122" s="1087" t="s">
        <v>634</v>
      </c>
      <c r="H122" s="232" t="str">
        <f>IFERROR(INDEX(HSP!$G$7:$G$460,MATCH('HITUNG RAB'!G122,HSP!$H$7:$H$460,0)), "Isi Spesifikasi")</f>
        <v>A.4.4.1.9</v>
      </c>
      <c r="I122" s="232" t="s">
        <v>92</v>
      </c>
      <c r="J122" s="233">
        <f t="shared" si="6"/>
        <v>34.14</v>
      </c>
      <c r="K122" s="289">
        <f>IFERROR(VLOOKUP(H122,HSP!$G$7:$J$460,4,0),"No Data")</f>
        <v>178223</v>
      </c>
      <c r="L122" s="289">
        <f t="shared" si="7"/>
        <v>6084533.2199999997</v>
      </c>
    </row>
    <row r="123" spans="5:12" ht="15" customHeight="1">
      <c r="E123" s="231"/>
      <c r="F123" s="231"/>
      <c r="G123" s="1087"/>
      <c r="H123" s="232"/>
      <c r="I123" s="232"/>
      <c r="J123" s="233"/>
      <c r="K123" s="291"/>
      <c r="L123" s="291"/>
    </row>
    <row r="124" spans="5:12" ht="15" customHeight="1">
      <c r="E124" s="231"/>
      <c r="F124" s="231"/>
      <c r="G124" s="1087"/>
      <c r="H124" s="232"/>
      <c r="I124" s="232"/>
      <c r="J124" s="233"/>
      <c r="K124" s="1019" t="s">
        <v>152</v>
      </c>
      <c r="L124" s="1020">
        <f>SUM(L107:L122)</f>
        <v>29017310.9485</v>
      </c>
    </row>
    <row r="125" spans="5:12" ht="15" customHeight="1">
      <c r="E125" s="496" t="s">
        <v>133</v>
      </c>
      <c r="F125" s="497" t="s">
        <v>134</v>
      </c>
      <c r="G125" s="1089"/>
      <c r="H125" s="496"/>
      <c r="I125" s="498"/>
      <c r="J125" s="499"/>
      <c r="K125" s="498"/>
      <c r="L125" s="498"/>
    </row>
    <row r="126" spans="5:12" ht="15" customHeight="1">
      <c r="E126" s="231">
        <v>1</v>
      </c>
      <c r="F126" s="231" t="s">
        <v>135</v>
      </c>
      <c r="G126" s="1087" t="s">
        <v>234</v>
      </c>
      <c r="H126" s="232" t="str">
        <f>IFERROR(INDEX(HSP!$G$7:$G$460,MATCH('HITUNG RAB'!G126,HSP!$H$7:$H$460,0)), "Isi Spesifikasi")</f>
        <v>A.1.1.1.8</v>
      </c>
      <c r="I126" s="232" t="s">
        <v>614</v>
      </c>
      <c r="J126" s="233">
        <f>J8</f>
        <v>200</v>
      </c>
      <c r="K126" s="289">
        <f>IFERROR(VLOOKUP(H126,HSP!$G$7:$J$460,4,0)/3,"No Data")</f>
        <v>7700</v>
      </c>
      <c r="L126" s="290">
        <f>IFERROR(J126*K126, "No Data")</f>
        <v>1540000</v>
      </c>
    </row>
    <row r="127" spans="5:12" ht="15" customHeight="1">
      <c r="E127" s="231"/>
      <c r="F127" s="231"/>
      <c r="G127" s="1087"/>
      <c r="H127" s="232"/>
      <c r="I127" s="232"/>
      <c r="J127" s="233"/>
      <c r="K127" s="291"/>
      <c r="L127" s="291"/>
    </row>
    <row r="128" spans="5:12" ht="15" customHeight="1">
      <c r="E128" s="231"/>
      <c r="F128" s="231"/>
      <c r="G128" s="1087"/>
      <c r="H128" s="232"/>
      <c r="I128" s="232"/>
      <c r="J128" s="231"/>
      <c r="K128" s="1019" t="s">
        <v>153</v>
      </c>
      <c r="L128" s="1020">
        <f>SUM(L126)</f>
        <v>1540000</v>
      </c>
    </row>
    <row r="129" spans="5:12" ht="15" customHeight="1">
      <c r="E129" s="234"/>
      <c r="F129" s="234"/>
      <c r="G129" s="1090"/>
      <c r="H129" s="237"/>
      <c r="I129" s="237"/>
      <c r="J129" s="234"/>
      <c r="K129" s="237"/>
      <c r="L129" s="237"/>
    </row>
    <row r="130" spans="5:12" ht="15" customHeight="1">
      <c r="E130" s="1129" t="s">
        <v>2524</v>
      </c>
      <c r="F130" s="1130"/>
      <c r="G130" s="1130"/>
      <c r="H130" s="1130"/>
      <c r="I130" s="1130"/>
      <c r="J130" s="1130"/>
      <c r="K130" s="1131"/>
      <c r="L130" s="1021">
        <f>L13+L20+L28+L51+L60+L68+L73+L83+L98+L105+L124+L128</f>
        <v>307495898.39053255</v>
      </c>
    </row>
  </sheetData>
  <mergeCells count="9">
    <mergeCell ref="A21:C21"/>
    <mergeCell ref="E130:K130"/>
    <mergeCell ref="E4:E5"/>
    <mergeCell ref="F4:F5"/>
    <mergeCell ref="I4:I5"/>
    <mergeCell ref="J4:J5"/>
    <mergeCell ref="K4:L4"/>
    <mergeCell ref="G4:G5"/>
    <mergeCell ref="H4:H5"/>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C0783651-BCFA-4AC6-8828-EED6CF7C37B2}">
          <x14:formula1>
            <xm:f>HSP!$H$25:$H$38</xm:f>
          </x14:formula1>
          <xm:sqref>G15:G19 G110:G113 G107</xm:sqref>
        </x14:dataValidation>
        <x14:dataValidation type="list" allowBlank="1" showInputMessage="1" showErrorMessage="1" xr:uid="{29B02CBB-F763-498A-A89A-E1784293536B}">
          <x14:formula1>
            <xm:f>HSP!$H$41:$H$51</xm:f>
          </x14:formula1>
          <xm:sqref>G22:G23 G109</xm:sqref>
        </x14:dataValidation>
        <x14:dataValidation type="list" allowBlank="1" showInputMessage="1" showErrorMessage="1" xr:uid="{6D24187F-CA23-40FB-8891-D3D4A373382C}">
          <x14:formula1>
            <xm:f>HSP!$H$146:$H$171</xm:f>
          </x14:formula1>
          <xm:sqref>G24 G122:G123</xm:sqref>
        </x14:dataValidation>
        <x14:dataValidation type="list" allowBlank="1" showInputMessage="1" showErrorMessage="1" xr:uid="{9711F09A-D48E-46C1-93CA-15108CB403F6}">
          <x14:formula1>
            <xm:f>HSP!$H$174:$H$202</xm:f>
          </x14:formula1>
          <xm:sqref>G25:G27 G108</xm:sqref>
        </x14:dataValidation>
        <x14:dataValidation type="list" allowBlank="1" showInputMessage="1" showErrorMessage="1" xr:uid="{2A259B73-1D5E-49B7-8541-F7F5FCC5B31C}">
          <x14:formula1>
            <xm:f>HSP!$H$54:$H$90</xm:f>
          </x14:formula1>
          <xm:sqref>G31:G33 G114:G119 G47:G50 G43:G45 G39:G41 G35:G37</xm:sqref>
        </x14:dataValidation>
        <x14:dataValidation type="list" allowBlank="1" showInputMessage="1" showErrorMessage="1" xr:uid="{CC4E38D7-1FAA-4135-A377-17C26E0A1A0A}">
          <x14:formula1>
            <xm:f>HSP!$H$119:$H$143</xm:f>
          </x14:formula1>
          <xm:sqref>G53</xm:sqref>
        </x14:dataValidation>
        <x14:dataValidation type="list" allowBlank="1" showInputMessage="1" showErrorMessage="1" xr:uid="{625E5737-77C6-4AA2-9479-A1DE5299C875}">
          <x14:formula1>
            <xm:f>HSP!$H$335:$H$362</xm:f>
          </x14:formula1>
          <xm:sqref>G54 G62:G67</xm:sqref>
        </x14:dataValidation>
        <x14:dataValidation type="list" allowBlank="1" showInputMessage="1" showErrorMessage="1" xr:uid="{542DC23E-CC35-484F-BBDD-7A6193EB2734}">
          <x14:formula1>
            <xm:f>HSP!$H$290:$H$332</xm:f>
          </x14:formula1>
          <xm:sqref>G55</xm:sqref>
        </x14:dataValidation>
        <x14:dataValidation type="list" allowBlank="1" showInputMessage="1" showErrorMessage="1" xr:uid="{AB5F7112-AB9E-4164-B24D-01BC58D8DEDC}">
          <x14:formula1>
            <xm:f>HSP!$H$275:$H$287</xm:f>
          </x14:formula1>
          <xm:sqref>G56:G59</xm:sqref>
        </x14:dataValidation>
        <x14:dataValidation type="list" allowBlank="1" showInputMessage="1" showErrorMessage="1" xr:uid="{95369E15-37A4-4893-A4AE-444D1FF12831}">
          <x14:formula1>
            <xm:f>HSP!$H$205:$H$272</xm:f>
          </x14:formula1>
          <xm:sqref>G70:G72</xm:sqref>
        </x14:dataValidation>
        <x14:dataValidation type="list" allowBlank="1" showInputMessage="1" showErrorMessage="1" xr:uid="{458DE926-DD58-43A2-8986-DD131A399893}">
          <x14:formula1>
            <xm:f>HSP!$H$365:$H$387</xm:f>
          </x14:formula1>
          <xm:sqref>G75:G82</xm:sqref>
        </x14:dataValidation>
        <x14:dataValidation type="list" allowBlank="1" showInputMessage="1" showErrorMessage="1" xr:uid="{2D11517E-35B0-4FA5-AA9F-7529B0C169CF}">
          <x14:formula1>
            <xm:f>HSP!$H$453:$H$458</xm:f>
          </x14:formula1>
          <xm:sqref>G85:G91</xm:sqref>
        </x14:dataValidation>
        <x14:dataValidation type="list" allowBlank="1" showInputMessage="1" showErrorMessage="1" xr:uid="{837F4050-7113-4C91-BAD2-D7AF2D7AE9EF}">
          <x14:formula1>
            <xm:f>HSP!$H$414:$H$449</xm:f>
          </x14:formula1>
          <xm:sqref>G92:G97 G120</xm:sqref>
        </x14:dataValidation>
        <x14:dataValidation type="list" allowBlank="1" showInputMessage="1" showErrorMessage="1" xr:uid="{9A4C3769-7BFB-4308-ADB1-C4ED3E25DF0F}">
          <x14:formula1>
            <xm:f>HSP!$H$390:$H$411</xm:f>
          </x14:formula1>
          <xm:sqref>G100:G104</xm:sqref>
        </x14:dataValidation>
        <x14:dataValidation type="list" allowBlank="1" showInputMessage="1" showErrorMessage="1" xr:uid="{09060EF7-D810-473D-982C-CBF4F4DE7C24}">
          <x14:formula1>
            <xm:f>HSP!$H$7:$H$22</xm:f>
          </x14:formula1>
          <xm:sqref>G8:G9 G126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1E4A-26C2-452B-86BB-3495F6E47235}">
  <sheetPr codeName="Sheet21">
    <tabColor rgb="FF1F4E78"/>
  </sheetPr>
  <dimension ref="A1:E36"/>
  <sheetViews>
    <sheetView showGridLines="0" showRowColHeaders="0" zoomScale="75" zoomScaleNormal="75" workbookViewId="0">
      <pane xSplit="3" ySplit="3" topLeftCell="D4" activePane="bottomRight" state="frozen"/>
      <selection pane="topRight" activeCell="D1" sqref="D1"/>
      <selection pane="bottomLeft" activeCell="A4" sqref="A4"/>
      <selection pane="bottomRight" activeCell="C5" sqref="C5"/>
    </sheetView>
  </sheetViews>
  <sheetFormatPr defaultRowHeight="14.4"/>
  <cols>
    <col min="1" max="3" width="10.77734375" style="612" customWidth="1"/>
    <col min="4" max="4" width="3.6640625" customWidth="1"/>
  </cols>
  <sheetData>
    <row r="1" spans="5:5" s="612" customFormat="1"/>
    <row r="2" spans="5:5" s="612" customFormat="1" ht="17.399999999999999">
      <c r="E2" s="937" t="s">
        <v>2388</v>
      </c>
    </row>
    <row r="3" spans="5:5" s="612" customFormat="1"/>
    <row r="35" spans="1:3">
      <c r="A35" s="1096"/>
      <c r="B35" s="1096"/>
      <c r="C35" s="1096"/>
    </row>
    <row r="36" spans="1:3">
      <c r="A36" s="1096" t="s">
        <v>2381</v>
      </c>
      <c r="B36" s="1096"/>
      <c r="C36" s="1096"/>
    </row>
  </sheetData>
  <mergeCells count="2">
    <mergeCell ref="A35:C35"/>
    <mergeCell ref="A36:C3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E6F6-0EAC-4D17-916C-E8385860B4E8}">
  <sheetPr codeName="Sheet111">
    <tabColor rgb="FF1F4E78"/>
  </sheetPr>
  <dimension ref="A1:I117"/>
  <sheetViews>
    <sheetView showGridLines="0" showRowColHeaders="0" zoomScale="75" zoomScaleNormal="75" workbookViewId="0">
      <pane ySplit="4" topLeftCell="A5" activePane="bottomLeft" state="frozen"/>
      <selection pane="bottomLeft" activeCell="A35" sqref="A35:C35"/>
    </sheetView>
  </sheetViews>
  <sheetFormatPr defaultColWidth="9.21875" defaultRowHeight="15" customHeight="1"/>
  <cols>
    <col min="1" max="3" width="10.77734375" style="639" customWidth="1"/>
    <col min="4" max="4" width="3.77734375" style="468" customWidth="1"/>
    <col min="5" max="5" width="5.44140625" style="101" customWidth="1"/>
    <col min="6" max="6" width="46.77734375" style="101" customWidth="1"/>
    <col min="7" max="7" width="8.21875" style="102" customWidth="1"/>
    <col min="8" max="8" width="11.44140625" style="105" customWidth="1"/>
    <col min="9" max="16384" width="9.21875" style="101"/>
  </cols>
  <sheetData>
    <row r="1" spans="1:8" s="639" customFormat="1" ht="15" customHeight="1">
      <c r="E1" s="641"/>
      <c r="F1" s="641"/>
      <c r="G1" s="641"/>
      <c r="H1" s="641"/>
    </row>
    <row r="2" spans="1:8" s="639" customFormat="1" ht="15" customHeight="1">
      <c r="E2" s="937" t="s">
        <v>2088</v>
      </c>
      <c r="F2" s="641"/>
      <c r="G2" s="641"/>
      <c r="H2" s="641"/>
    </row>
    <row r="3" spans="1:8" s="639" customFormat="1" ht="15" customHeight="1">
      <c r="E3" s="642"/>
      <c r="F3" s="642"/>
      <c r="G3" s="642"/>
      <c r="H3" s="642"/>
    </row>
    <row r="4" spans="1:8" ht="15" customHeight="1">
      <c r="E4" s="871" t="s">
        <v>136</v>
      </c>
      <c r="F4" s="871" t="s">
        <v>137</v>
      </c>
      <c r="G4" s="871" t="s">
        <v>138</v>
      </c>
      <c r="H4" s="872" t="s">
        <v>58</v>
      </c>
    </row>
    <row r="5" spans="1:8" s="104" customFormat="1" ht="15" customHeight="1">
      <c r="A5" s="640"/>
      <c r="B5" s="640"/>
      <c r="C5" s="640"/>
      <c r="D5" s="670"/>
      <c r="E5" s="41">
        <v>1</v>
      </c>
      <c r="F5" s="41">
        <v>2</v>
      </c>
      <c r="G5" s="41">
        <v>3</v>
      </c>
      <c r="H5" s="41">
        <v>4</v>
      </c>
    </row>
    <row r="6" spans="1:8" ht="15" customHeight="1">
      <c r="E6" s="873" t="s">
        <v>3</v>
      </c>
      <c r="F6" s="874" t="s">
        <v>4</v>
      </c>
      <c r="G6" s="875"/>
      <c r="H6" s="876"/>
    </row>
    <row r="7" spans="1:8" ht="15" customHeight="1">
      <c r="E7" s="20">
        <v>1</v>
      </c>
      <c r="F7" s="20" t="s">
        <v>96</v>
      </c>
      <c r="G7" s="36" t="s">
        <v>91</v>
      </c>
      <c r="H7" s="37">
        <f>'HITUNG VOLUME'!Y8</f>
        <v>200</v>
      </c>
    </row>
    <row r="8" spans="1:8" ht="15" customHeight="1">
      <c r="E8" s="20">
        <v>2</v>
      </c>
      <c r="F8" s="20" t="s">
        <v>5</v>
      </c>
      <c r="G8" s="36" t="s">
        <v>97</v>
      </c>
      <c r="H8" s="37">
        <f>'HITUNG VOLUME'!Y11</f>
        <v>48</v>
      </c>
    </row>
    <row r="9" spans="1:8" ht="15" customHeight="1">
      <c r="E9" s="20">
        <v>3</v>
      </c>
      <c r="F9" s="20" t="s">
        <v>6</v>
      </c>
      <c r="G9" s="36" t="s">
        <v>2</v>
      </c>
      <c r="H9" s="37">
        <f>'HITUNG VOLUME'!Y14</f>
        <v>1</v>
      </c>
    </row>
    <row r="10" spans="1:8" ht="15" customHeight="1">
      <c r="E10" s="20">
        <v>4</v>
      </c>
      <c r="F10" s="20" t="s">
        <v>98</v>
      </c>
      <c r="G10" s="36" t="s">
        <v>2</v>
      </c>
      <c r="H10" s="37">
        <f>'HITUNG VOLUME'!Y17</f>
        <v>1</v>
      </c>
    </row>
    <row r="11" spans="1:8" ht="15" customHeight="1">
      <c r="E11" s="20"/>
      <c r="F11" s="20"/>
      <c r="G11" s="36"/>
      <c r="H11" s="37"/>
    </row>
    <row r="12" spans="1:8" ht="15" customHeight="1">
      <c r="E12" s="877" t="s">
        <v>11</v>
      </c>
      <c r="F12" s="878" t="s">
        <v>99</v>
      </c>
      <c r="G12" s="879"/>
      <c r="H12" s="880"/>
    </row>
    <row r="13" spans="1:8" ht="15" customHeight="1">
      <c r="E13" s="20">
        <v>1</v>
      </c>
      <c r="F13" s="20" t="s">
        <v>12</v>
      </c>
      <c r="G13" s="36" t="s">
        <v>92</v>
      </c>
      <c r="H13" s="37">
        <f>'HITUNG VOLUME'!Y31</f>
        <v>30.712500000000006</v>
      </c>
    </row>
    <row r="14" spans="1:8" ht="15" customHeight="1">
      <c r="E14" s="20">
        <v>2</v>
      </c>
      <c r="F14" s="20" t="s">
        <v>13</v>
      </c>
      <c r="G14" s="36" t="s">
        <v>92</v>
      </c>
      <c r="H14" s="37">
        <f>'HITUNG VOLUME'!Y49</f>
        <v>26.878125000000004</v>
      </c>
    </row>
    <row r="15" spans="1:8" ht="15" customHeight="1">
      <c r="E15" s="20">
        <v>3</v>
      </c>
      <c r="F15" s="20" t="s">
        <v>14</v>
      </c>
      <c r="G15" s="36" t="s">
        <v>92</v>
      </c>
      <c r="H15" s="37">
        <f>'HITUNG VOLUME'!Y55</f>
        <v>2.0249999999999999</v>
      </c>
    </row>
    <row r="16" spans="1:8" ht="15" customHeight="1">
      <c r="E16" s="20">
        <v>4</v>
      </c>
      <c r="F16" s="20" t="s">
        <v>100</v>
      </c>
      <c r="G16" s="36" t="s">
        <v>92</v>
      </c>
      <c r="H16" s="37">
        <f>'HITUNG VOLUME'!Y63</f>
        <v>4.8000000000000007</v>
      </c>
    </row>
    <row r="17" spans="5:9" ht="15" customHeight="1">
      <c r="E17" s="20"/>
      <c r="F17" s="20"/>
      <c r="G17" s="36"/>
      <c r="H17" s="37"/>
    </row>
    <row r="18" spans="5:9" ht="15" customHeight="1">
      <c r="E18" s="877" t="s">
        <v>16</v>
      </c>
      <c r="F18" s="878" t="s">
        <v>17</v>
      </c>
      <c r="G18" s="879"/>
      <c r="H18" s="880"/>
      <c r="I18" s="468"/>
    </row>
    <row r="19" spans="5:9" ht="15" customHeight="1">
      <c r="E19" s="20">
        <v>1</v>
      </c>
      <c r="F19" s="20" t="s">
        <v>102</v>
      </c>
      <c r="G19" s="36" t="s">
        <v>92</v>
      </c>
      <c r="H19" s="37">
        <f>'HITUNG VOLUME'!Y70</f>
        <v>6.0750000000000002</v>
      </c>
    </row>
    <row r="20" spans="5:9" ht="15" customHeight="1">
      <c r="E20" s="20">
        <v>2</v>
      </c>
      <c r="F20" s="20" t="s">
        <v>18</v>
      </c>
      <c r="G20" s="36" t="s">
        <v>92</v>
      </c>
      <c r="H20" s="37">
        <f>'HITUNG VOLUME'!Y78</f>
        <v>18</v>
      </c>
    </row>
    <row r="21" spans="5:9" ht="15" customHeight="1">
      <c r="E21" s="20">
        <v>3</v>
      </c>
      <c r="F21" s="20" t="s">
        <v>21</v>
      </c>
      <c r="G21" s="36" t="s">
        <v>91</v>
      </c>
      <c r="H21" s="945">
        <f>'HITUNG VOLUME'!Y101</f>
        <v>72.100000000000009</v>
      </c>
    </row>
    <row r="22" spans="5:9" ht="15" customHeight="1">
      <c r="E22" s="20">
        <v>4</v>
      </c>
      <c r="F22" s="20" t="s">
        <v>154</v>
      </c>
      <c r="G22" s="36" t="s">
        <v>91</v>
      </c>
      <c r="H22" s="945">
        <f>'HITUNG VOLUME'!Y106</f>
        <v>135.23000000000002</v>
      </c>
    </row>
    <row r="23" spans="5:9" ht="15" customHeight="1">
      <c r="E23" s="20">
        <v>5</v>
      </c>
      <c r="F23" s="20" t="s">
        <v>155</v>
      </c>
      <c r="G23" s="36" t="s">
        <v>91</v>
      </c>
      <c r="H23" s="945">
        <f>'HITUNG VOLUME'!Y111</f>
        <v>135.23000000000002</v>
      </c>
    </row>
    <row r="24" spans="5:9" ht="15" customHeight="1">
      <c r="E24" s="20"/>
      <c r="F24" s="20"/>
      <c r="G24" s="36"/>
      <c r="H24" s="37"/>
    </row>
    <row r="25" spans="5:9" ht="15" customHeight="1">
      <c r="E25" s="877" t="s">
        <v>27</v>
      </c>
      <c r="F25" s="878" t="s">
        <v>28</v>
      </c>
      <c r="G25" s="879"/>
      <c r="H25" s="880"/>
    </row>
    <row r="26" spans="5:9" ht="15" customHeight="1">
      <c r="E26" s="20">
        <v>1</v>
      </c>
      <c r="F26" s="20" t="s">
        <v>1663</v>
      </c>
      <c r="G26" s="36"/>
      <c r="H26" s="37"/>
    </row>
    <row r="27" spans="5:9" ht="15" customHeight="1">
      <c r="E27" s="20"/>
      <c r="F27" s="20" t="s">
        <v>1664</v>
      </c>
      <c r="G27" s="36" t="s">
        <v>45</v>
      </c>
      <c r="H27" s="37">
        <f>'HITUNG VOLUME'!Y138</f>
        <v>189.58125000000001</v>
      </c>
    </row>
    <row r="28" spans="5:9" ht="15" customHeight="1">
      <c r="E28" s="20"/>
      <c r="F28" s="20" t="s">
        <v>1665</v>
      </c>
      <c r="G28" s="36" t="s">
        <v>91</v>
      </c>
      <c r="H28" s="37">
        <f>'HITUNG VOLUME'!Y141</f>
        <v>22.5</v>
      </c>
    </row>
    <row r="29" spans="5:9" ht="15" customHeight="1">
      <c r="E29" s="20"/>
      <c r="F29" s="20" t="s">
        <v>1666</v>
      </c>
      <c r="G29" s="36" t="s">
        <v>92</v>
      </c>
      <c r="H29" s="37">
        <f>'HITUNG VOLUME'!Y144</f>
        <v>2.25</v>
      </c>
    </row>
    <row r="30" spans="5:9" ht="15" customHeight="1">
      <c r="E30" s="20">
        <v>2</v>
      </c>
      <c r="F30" s="20" t="s">
        <v>1667</v>
      </c>
      <c r="G30" s="36"/>
      <c r="H30" s="37"/>
    </row>
    <row r="31" spans="5:9" ht="15" customHeight="1">
      <c r="E31" s="20"/>
      <c r="F31" s="20" t="s">
        <v>1664</v>
      </c>
      <c r="G31" s="36" t="s">
        <v>45</v>
      </c>
      <c r="H31" s="37">
        <f>'HITUNG VOLUME'!Y162</f>
        <v>156.42833333333334</v>
      </c>
    </row>
    <row r="32" spans="5:9" ht="15" customHeight="1">
      <c r="E32" s="20"/>
      <c r="F32" s="20" t="s">
        <v>1665</v>
      </c>
      <c r="G32" s="36" t="s">
        <v>91</v>
      </c>
      <c r="H32" s="37">
        <f>'HITUNG VOLUME'!Y165</f>
        <v>20.399999999999999</v>
      </c>
    </row>
    <row r="33" spans="1:8" ht="15" customHeight="1">
      <c r="E33" s="20"/>
      <c r="F33" s="20" t="s">
        <v>1666</v>
      </c>
      <c r="G33" s="36" t="s">
        <v>92</v>
      </c>
      <c r="H33" s="37">
        <f>'HITUNG VOLUME'!Y168</f>
        <v>1.53</v>
      </c>
    </row>
    <row r="34" spans="1:8" ht="15" customHeight="1">
      <c r="E34" s="20">
        <v>3</v>
      </c>
      <c r="F34" s="20" t="s">
        <v>1668</v>
      </c>
      <c r="G34" s="36"/>
      <c r="H34" s="37"/>
    </row>
    <row r="35" spans="1:8" ht="15" customHeight="1">
      <c r="A35" s="1096" t="s">
        <v>2381</v>
      </c>
      <c r="B35" s="1096"/>
      <c r="C35" s="1096"/>
      <c r="E35" s="20"/>
      <c r="F35" s="20" t="s">
        <v>1664</v>
      </c>
      <c r="G35" s="36" t="s">
        <v>45</v>
      </c>
      <c r="H35" s="37">
        <f>'HITUNG VOLUME'!Y186</f>
        <v>103.51875000000001</v>
      </c>
    </row>
    <row r="36" spans="1:8" ht="15" customHeight="1">
      <c r="E36" s="20"/>
      <c r="F36" s="20" t="s">
        <v>1665</v>
      </c>
      <c r="G36" s="36" t="s">
        <v>91</v>
      </c>
      <c r="H36" s="37">
        <f>'HITUNG VOLUME'!Y189</f>
        <v>13.5</v>
      </c>
    </row>
    <row r="37" spans="1:8" ht="15" customHeight="1">
      <c r="E37" s="20"/>
      <c r="F37" s="20" t="s">
        <v>1666</v>
      </c>
      <c r="G37" s="36" t="s">
        <v>92</v>
      </c>
      <c r="H37" s="37">
        <f>'HITUNG VOLUME'!Y192</f>
        <v>1.0125</v>
      </c>
    </row>
    <row r="38" spans="1:8" ht="15" customHeight="1">
      <c r="E38" s="20">
        <v>4</v>
      </c>
      <c r="F38" s="20" t="s">
        <v>48</v>
      </c>
      <c r="G38" s="36"/>
      <c r="H38" s="37"/>
    </row>
    <row r="39" spans="1:8" ht="15" customHeight="1">
      <c r="E39" s="20"/>
      <c r="F39" s="20" t="s">
        <v>1664</v>
      </c>
      <c r="G39" s="36" t="s">
        <v>45</v>
      </c>
      <c r="H39" s="37">
        <f>'HITUNG VOLUME'!Y203</f>
        <v>37</v>
      </c>
    </row>
    <row r="40" spans="1:8" ht="15" customHeight="1">
      <c r="E40" s="20"/>
      <c r="F40" s="20" t="s">
        <v>1665</v>
      </c>
      <c r="G40" s="36" t="s">
        <v>91</v>
      </c>
      <c r="H40" s="37">
        <f>'HITUNG VOLUME'!Y206</f>
        <v>3</v>
      </c>
    </row>
    <row r="41" spans="1:8" ht="15" customHeight="1">
      <c r="E41" s="20"/>
      <c r="F41" s="20" t="s">
        <v>1666</v>
      </c>
      <c r="G41" s="36" t="s">
        <v>92</v>
      </c>
      <c r="H41" s="37">
        <f>'HITUNG VOLUME'!Y209</f>
        <v>0.36</v>
      </c>
    </row>
    <row r="42" spans="1:8" ht="15" customHeight="1">
      <c r="E42" s="20">
        <v>5</v>
      </c>
      <c r="F42" s="20" t="s">
        <v>49</v>
      </c>
      <c r="G42" s="36"/>
      <c r="H42" s="37"/>
    </row>
    <row r="43" spans="1:8" ht="15" customHeight="1">
      <c r="E43" s="20"/>
      <c r="F43" s="20" t="s">
        <v>1664</v>
      </c>
      <c r="G43" s="36" t="s">
        <v>45</v>
      </c>
      <c r="H43" s="37">
        <f>'HITUNG VOLUME'!Y225</f>
        <v>34.533333333333339</v>
      </c>
    </row>
    <row r="44" spans="1:8" ht="15" customHeight="1">
      <c r="E44" s="20"/>
      <c r="F44" s="20" t="s">
        <v>1665</v>
      </c>
      <c r="G44" s="36" t="s">
        <v>91</v>
      </c>
      <c r="H44" s="37">
        <f>'HITUNG VOLUME'!Y228</f>
        <v>2.8</v>
      </c>
    </row>
    <row r="45" spans="1:8" ht="15" customHeight="1">
      <c r="E45" s="20"/>
      <c r="F45" s="20" t="s">
        <v>1666</v>
      </c>
      <c r="G45" s="36" t="s">
        <v>92</v>
      </c>
      <c r="H45" s="37">
        <f>'HITUNG VOLUME'!Y231</f>
        <v>0.33599999999999997</v>
      </c>
    </row>
    <row r="46" spans="1:8" ht="15" customHeight="1">
      <c r="E46" s="20"/>
      <c r="F46" s="20"/>
      <c r="G46" s="36"/>
      <c r="H46" s="37"/>
    </row>
    <row r="47" spans="1:8" ht="15" customHeight="1">
      <c r="E47" s="877" t="s">
        <v>50</v>
      </c>
      <c r="F47" s="878" t="s">
        <v>2087</v>
      </c>
      <c r="G47" s="879"/>
      <c r="H47" s="880"/>
    </row>
    <row r="48" spans="1:8" ht="15" customHeight="1">
      <c r="E48" s="20">
        <v>1</v>
      </c>
      <c r="F48" s="20" t="s">
        <v>1669</v>
      </c>
      <c r="G48" s="36" t="s">
        <v>91</v>
      </c>
      <c r="H48" s="37">
        <f>'HITUNG VOLUME'!Y242</f>
        <v>97.680097680097688</v>
      </c>
    </row>
    <row r="49" spans="5:8" ht="15" customHeight="1">
      <c r="E49" s="20">
        <v>2</v>
      </c>
      <c r="F49" s="20" t="s">
        <v>104</v>
      </c>
      <c r="G49" s="36" t="s">
        <v>93</v>
      </c>
      <c r="H49" s="37">
        <f>'HITUNG VOLUME'!Y245</f>
        <v>39.536019536019538</v>
      </c>
    </row>
    <row r="50" spans="5:8" ht="15" customHeight="1">
      <c r="E50" s="20">
        <v>3</v>
      </c>
      <c r="F50" s="20" t="s">
        <v>1679</v>
      </c>
      <c r="G50" s="36" t="s">
        <v>91</v>
      </c>
      <c r="H50" s="37">
        <f>'HITUNG VOLUME'!Y248</f>
        <v>97.680097680097688</v>
      </c>
    </row>
    <row r="51" spans="5:8" ht="15" customHeight="1">
      <c r="E51" s="20">
        <v>4</v>
      </c>
      <c r="F51" s="20" t="s">
        <v>1680</v>
      </c>
      <c r="G51" s="36" t="s">
        <v>91</v>
      </c>
      <c r="H51" s="37">
        <f>'HITUNG VOLUME'!Y251</f>
        <v>80</v>
      </c>
    </row>
    <row r="52" spans="5:8" ht="15" customHeight="1">
      <c r="E52" s="20">
        <v>5</v>
      </c>
      <c r="F52" s="20" t="s">
        <v>1681</v>
      </c>
      <c r="G52" s="36" t="s">
        <v>91</v>
      </c>
      <c r="H52" s="37">
        <f>'HITUNG VOLUME'!Y254</f>
        <v>80</v>
      </c>
    </row>
    <row r="53" spans="5:8" ht="15" customHeight="1">
      <c r="E53" s="20">
        <v>6</v>
      </c>
      <c r="F53" s="20" t="s">
        <v>105</v>
      </c>
      <c r="G53" s="36" t="s">
        <v>93</v>
      </c>
      <c r="H53" s="37">
        <f>'HITUNG VOLUME'!Y257</f>
        <v>36</v>
      </c>
    </row>
    <row r="54" spans="5:8" ht="15" customHeight="1">
      <c r="E54" s="20"/>
      <c r="F54" s="20"/>
      <c r="G54" s="36"/>
      <c r="H54" s="37"/>
    </row>
    <row r="55" spans="5:8" ht="15" customHeight="1">
      <c r="E55" s="877" t="s">
        <v>55</v>
      </c>
      <c r="F55" s="878" t="s">
        <v>106</v>
      </c>
      <c r="G55" s="879"/>
      <c r="H55" s="880"/>
    </row>
    <row r="56" spans="5:8" ht="15" customHeight="1">
      <c r="E56" s="20">
        <v>1</v>
      </c>
      <c r="F56" s="20" t="s">
        <v>1687</v>
      </c>
      <c r="G56" s="36" t="s">
        <v>92</v>
      </c>
      <c r="H56" s="37">
        <f>'HITUNG VOLUME'!Y358</f>
        <v>0.35040000000000004</v>
      </c>
    </row>
    <row r="57" spans="5:8" ht="15" customHeight="1">
      <c r="E57" s="20">
        <v>2</v>
      </c>
      <c r="F57" s="20" t="s">
        <v>1688</v>
      </c>
      <c r="G57" s="36" t="s">
        <v>91</v>
      </c>
      <c r="H57" s="37">
        <f>'HITUNG VOLUME'!Y361</f>
        <v>6.5280000000000005</v>
      </c>
    </row>
    <row r="58" spans="5:8" ht="15" customHeight="1">
      <c r="E58" s="20">
        <v>3</v>
      </c>
      <c r="F58" s="20" t="s">
        <v>61</v>
      </c>
      <c r="G58" s="36" t="s">
        <v>91</v>
      </c>
      <c r="H58" s="37">
        <f>'HITUNG VOLUME'!Y364</f>
        <v>1.4279999999999999</v>
      </c>
    </row>
    <row r="59" spans="5:8" ht="15" customHeight="1">
      <c r="E59" s="20">
        <v>4</v>
      </c>
      <c r="F59" s="20" t="s">
        <v>107</v>
      </c>
      <c r="G59" s="36" t="s">
        <v>91</v>
      </c>
      <c r="H59" s="37">
        <f>'HITUNG VOLUME'!Y369</f>
        <v>1.4419999999999999</v>
      </c>
    </row>
    <row r="60" spans="5:8" ht="15" customHeight="1">
      <c r="E60" s="20">
        <v>5</v>
      </c>
      <c r="F60" s="20" t="s">
        <v>108</v>
      </c>
      <c r="G60" s="36" t="s">
        <v>91</v>
      </c>
      <c r="H60" s="37">
        <f>'HITUNG VOLUME'!Y372</f>
        <v>2.3040000000000003</v>
      </c>
    </row>
    <row r="61" spans="5:8" ht="15" customHeight="1">
      <c r="E61" s="20"/>
      <c r="F61" s="20"/>
      <c r="G61" s="36"/>
      <c r="H61" s="37"/>
    </row>
    <row r="62" spans="5:8" ht="15" customHeight="1">
      <c r="E62" s="877" t="s">
        <v>62</v>
      </c>
      <c r="F62" s="878" t="s">
        <v>109</v>
      </c>
      <c r="G62" s="879"/>
      <c r="H62" s="880"/>
    </row>
    <row r="63" spans="5:8" ht="15" customHeight="1">
      <c r="E63" s="20">
        <v>1</v>
      </c>
      <c r="F63" s="20" t="s">
        <v>110</v>
      </c>
      <c r="G63" s="36" t="s">
        <v>91</v>
      </c>
      <c r="H63" s="37">
        <f>'HITUNG VOLUME'!Y382</f>
        <v>44.37</v>
      </c>
    </row>
    <row r="64" spans="5:8" ht="15" customHeight="1">
      <c r="E64" s="20">
        <v>2</v>
      </c>
      <c r="F64" s="20" t="s">
        <v>111</v>
      </c>
      <c r="G64" s="36" t="s">
        <v>91</v>
      </c>
      <c r="H64" s="37">
        <f>'HITUNG VOLUME'!Y385</f>
        <v>2.8800000000000003</v>
      </c>
    </row>
    <row r="65" spans="5:8" ht="15" customHeight="1">
      <c r="E65" s="20"/>
      <c r="F65" s="20"/>
      <c r="G65" s="36"/>
      <c r="H65" s="37"/>
    </row>
    <row r="66" spans="5:8" ht="15" customHeight="1">
      <c r="E66" s="877" t="s">
        <v>94</v>
      </c>
      <c r="F66" s="878" t="s">
        <v>112</v>
      </c>
      <c r="G66" s="879"/>
      <c r="H66" s="880"/>
    </row>
    <row r="67" spans="5:8" ht="15" customHeight="1">
      <c r="E67" s="20">
        <v>1</v>
      </c>
      <c r="F67" s="20" t="s">
        <v>1689</v>
      </c>
      <c r="G67" s="36" t="s">
        <v>95</v>
      </c>
      <c r="H67" s="37">
        <f>'HITUNG VOLUME'!Y400</f>
        <v>4</v>
      </c>
    </row>
    <row r="68" spans="5:8" ht="15" customHeight="1">
      <c r="E68" s="20">
        <v>2</v>
      </c>
      <c r="F68" s="20" t="s">
        <v>64</v>
      </c>
      <c r="G68" s="36" t="s">
        <v>95</v>
      </c>
      <c r="H68" s="37">
        <f>'HITUNG VOLUME'!Y401</f>
        <v>1</v>
      </c>
    </row>
    <row r="69" spans="5:8" ht="15" customHeight="1">
      <c r="E69" s="20">
        <v>3</v>
      </c>
      <c r="F69" s="20" t="s">
        <v>1690</v>
      </c>
      <c r="G69" s="36" t="s">
        <v>95</v>
      </c>
      <c r="H69" s="37">
        <f>'HITUNG VOLUME'!Y402</f>
        <v>5</v>
      </c>
    </row>
    <row r="70" spans="5:8" ht="15" customHeight="1">
      <c r="E70" s="20">
        <v>4</v>
      </c>
      <c r="F70" s="20" t="s">
        <v>1691</v>
      </c>
      <c r="G70" s="36" t="s">
        <v>95</v>
      </c>
      <c r="H70" s="37">
        <f>'HITUNG VOLUME'!Y403</f>
        <v>4</v>
      </c>
    </row>
    <row r="71" spans="5:8" ht="15" customHeight="1">
      <c r="E71" s="20">
        <v>5</v>
      </c>
      <c r="F71" s="20" t="s">
        <v>65</v>
      </c>
      <c r="G71" s="36" t="s">
        <v>95</v>
      </c>
      <c r="H71" s="37">
        <f>'HITUNG VOLUME'!Y404</f>
        <v>15</v>
      </c>
    </row>
    <row r="72" spans="5:8" ht="15" customHeight="1">
      <c r="E72" s="20">
        <v>6</v>
      </c>
      <c r="F72" s="20" t="s">
        <v>66</v>
      </c>
      <c r="G72" s="36" t="s">
        <v>95</v>
      </c>
      <c r="H72" s="37">
        <f>'HITUNG VOLUME'!Y405</f>
        <v>8</v>
      </c>
    </row>
    <row r="73" spans="5:8" ht="15" customHeight="1">
      <c r="E73" s="20">
        <v>7</v>
      </c>
      <c r="F73" s="20" t="s">
        <v>67</v>
      </c>
      <c r="G73" s="36" t="s">
        <v>95</v>
      </c>
      <c r="H73" s="37">
        <f>'HITUNG VOLUME'!Y406</f>
        <v>8</v>
      </c>
    </row>
    <row r="74" spans="5:8" ht="15" customHeight="1">
      <c r="E74" s="20"/>
      <c r="F74" s="20"/>
      <c r="G74" s="36"/>
      <c r="H74" s="37"/>
    </row>
    <row r="75" spans="5:8" ht="15" customHeight="1">
      <c r="E75" s="877" t="s">
        <v>69</v>
      </c>
      <c r="F75" s="878" t="s">
        <v>113</v>
      </c>
      <c r="G75" s="879"/>
      <c r="H75" s="880"/>
    </row>
    <row r="76" spans="5:8" ht="15" customHeight="1">
      <c r="E76" s="20">
        <v>1</v>
      </c>
      <c r="F76" s="20" t="s">
        <v>114</v>
      </c>
      <c r="G76" s="36" t="s">
        <v>95</v>
      </c>
      <c r="H76" s="37">
        <f>'HITUNG VOLUME'!Y413</f>
        <v>2</v>
      </c>
    </row>
    <row r="77" spans="5:8" ht="15" customHeight="1">
      <c r="E77" s="20">
        <v>2</v>
      </c>
      <c r="F77" s="20" t="s">
        <v>115</v>
      </c>
      <c r="G77" s="36" t="s">
        <v>95</v>
      </c>
      <c r="H77" s="37">
        <f>'HITUNG VOLUME'!Y414</f>
        <v>5</v>
      </c>
    </row>
    <row r="78" spans="5:8" ht="15" customHeight="1">
      <c r="E78" s="20">
        <v>3</v>
      </c>
      <c r="F78" s="20" t="s">
        <v>116</v>
      </c>
      <c r="G78" s="36" t="s">
        <v>95</v>
      </c>
      <c r="H78" s="37">
        <f>'HITUNG VOLUME'!Y415</f>
        <v>1</v>
      </c>
    </row>
    <row r="79" spans="5:8" ht="15" customHeight="1">
      <c r="E79" s="20">
        <v>4</v>
      </c>
      <c r="F79" s="20" t="s">
        <v>70</v>
      </c>
      <c r="G79" s="36" t="s">
        <v>95</v>
      </c>
      <c r="H79" s="37">
        <f>'HITUNG VOLUME'!Y416</f>
        <v>2</v>
      </c>
    </row>
    <row r="80" spans="5:8" ht="15" customHeight="1">
      <c r="E80" s="20">
        <v>5</v>
      </c>
      <c r="F80" s="20" t="s">
        <v>71</v>
      </c>
      <c r="G80" s="36" t="s">
        <v>95</v>
      </c>
      <c r="H80" s="37">
        <f>'HITUNG VOLUME'!Y417</f>
        <v>4</v>
      </c>
    </row>
    <row r="81" spans="5:8" ht="15" customHeight="1">
      <c r="E81" s="20">
        <v>6</v>
      </c>
      <c r="F81" s="20" t="s">
        <v>72</v>
      </c>
      <c r="G81" s="36" t="s">
        <v>95</v>
      </c>
      <c r="H81" s="37">
        <f>'HITUNG VOLUME'!Y418</f>
        <v>4</v>
      </c>
    </row>
    <row r="82" spans="5:8" ht="15" customHeight="1">
      <c r="E82" s="20">
        <v>7</v>
      </c>
      <c r="F82" s="20" t="s">
        <v>73</v>
      </c>
      <c r="G82" s="36" t="s">
        <v>95</v>
      </c>
      <c r="H82" s="37">
        <f>'HITUNG VOLUME'!Y419</f>
        <v>1</v>
      </c>
    </row>
    <row r="83" spans="5:8" ht="15" customHeight="1">
      <c r="E83" s="20">
        <v>8</v>
      </c>
      <c r="F83" s="20" t="s">
        <v>74</v>
      </c>
      <c r="G83" s="36" t="s">
        <v>95</v>
      </c>
      <c r="H83" s="37">
        <f>'HITUNG VOLUME'!Y420</f>
        <v>1</v>
      </c>
    </row>
    <row r="84" spans="5:8" ht="15" customHeight="1">
      <c r="E84" s="20">
        <v>9</v>
      </c>
      <c r="F84" s="20" t="s">
        <v>75</v>
      </c>
      <c r="G84" s="36" t="s">
        <v>95</v>
      </c>
      <c r="H84" s="37">
        <f>'HITUNG VOLUME'!Y421</f>
        <v>1</v>
      </c>
    </row>
    <row r="85" spans="5:8" ht="15" customHeight="1">
      <c r="E85" s="20">
        <v>10</v>
      </c>
      <c r="F85" s="20" t="s">
        <v>76</v>
      </c>
      <c r="G85" s="36" t="s">
        <v>95</v>
      </c>
      <c r="H85" s="37">
        <f>'HITUNG VOLUME'!Y422</f>
        <v>4</v>
      </c>
    </row>
    <row r="86" spans="5:8" ht="15" customHeight="1">
      <c r="E86" s="20">
        <v>11</v>
      </c>
      <c r="F86" s="20" t="s">
        <v>77</v>
      </c>
      <c r="G86" s="36" t="s">
        <v>95</v>
      </c>
      <c r="H86" s="37">
        <f>'HITUNG VOLUME'!Y423</f>
        <v>1</v>
      </c>
    </row>
    <row r="87" spans="5:8" ht="15" customHeight="1">
      <c r="E87" s="20">
        <v>12</v>
      </c>
      <c r="F87" s="20" t="s">
        <v>78</v>
      </c>
      <c r="G87" s="36" t="s">
        <v>95</v>
      </c>
      <c r="H87" s="37">
        <f>'HITUNG VOLUME'!Y424</f>
        <v>1</v>
      </c>
    </row>
    <row r="88" spans="5:8" ht="15" customHeight="1">
      <c r="E88" s="20"/>
      <c r="F88" s="20"/>
      <c r="G88" s="36"/>
      <c r="H88" s="37"/>
    </row>
    <row r="89" spans="5:8" ht="15" customHeight="1">
      <c r="E89" s="877" t="s">
        <v>8</v>
      </c>
      <c r="F89" s="878" t="s">
        <v>82</v>
      </c>
      <c r="G89" s="879"/>
      <c r="H89" s="880"/>
    </row>
    <row r="90" spans="5:8" ht="15" customHeight="1">
      <c r="E90" s="20">
        <v>1</v>
      </c>
      <c r="F90" s="20" t="s">
        <v>117</v>
      </c>
      <c r="G90" s="36" t="s">
        <v>91</v>
      </c>
      <c r="H90" s="37">
        <f>'HITUNG VOLUME'!Y432</f>
        <v>135.23000000000002</v>
      </c>
    </row>
    <row r="91" spans="5:8" ht="15" customHeight="1">
      <c r="E91" s="20">
        <v>2</v>
      </c>
      <c r="F91" s="20" t="s">
        <v>118</v>
      </c>
      <c r="G91" s="36" t="s">
        <v>91</v>
      </c>
      <c r="H91" s="37">
        <f>'HITUNG VOLUME'!Y435</f>
        <v>80</v>
      </c>
    </row>
    <row r="92" spans="5:8" ht="15" customHeight="1">
      <c r="E92" s="20">
        <v>3</v>
      </c>
      <c r="F92" s="20" t="s">
        <v>119</v>
      </c>
      <c r="G92" s="36" t="s">
        <v>91</v>
      </c>
      <c r="H92" s="37">
        <f>'HITUNG VOLUME'!Y440</f>
        <v>13.966003907203907</v>
      </c>
    </row>
    <row r="93" spans="5:8" ht="15" customHeight="1">
      <c r="E93" s="20">
        <v>4</v>
      </c>
      <c r="F93" s="20" t="s">
        <v>120</v>
      </c>
      <c r="G93" s="36" t="s">
        <v>91</v>
      </c>
      <c r="H93" s="37">
        <f>'HITUNG VOLUME'!Y440</f>
        <v>13.966003907203907</v>
      </c>
    </row>
    <row r="94" spans="5:8" ht="15" customHeight="1">
      <c r="E94" s="20"/>
      <c r="F94" s="20"/>
      <c r="G94" s="36"/>
      <c r="H94" s="37"/>
    </row>
    <row r="95" spans="5:8" ht="15" customHeight="1">
      <c r="E95" s="877" t="s">
        <v>84</v>
      </c>
      <c r="F95" s="878" t="s">
        <v>85</v>
      </c>
      <c r="G95" s="879"/>
      <c r="H95" s="880"/>
    </row>
    <row r="96" spans="5:8" ht="15" customHeight="1">
      <c r="E96" s="20">
        <v>1</v>
      </c>
      <c r="F96" s="20" t="s">
        <v>86</v>
      </c>
      <c r="G96" s="36" t="s">
        <v>92</v>
      </c>
      <c r="H96" s="37">
        <f>'HITUNG VOLUME'!Y449</f>
        <v>12.774000000000001</v>
      </c>
    </row>
    <row r="97" spans="5:8" ht="15" customHeight="1">
      <c r="E97" s="20">
        <v>2</v>
      </c>
      <c r="F97" s="20" t="s">
        <v>89</v>
      </c>
      <c r="G97" s="36" t="s">
        <v>91</v>
      </c>
      <c r="H97" s="37">
        <f>'HITUNG VOLUME'!Y456</f>
        <v>24.959999999999997</v>
      </c>
    </row>
    <row r="98" spans="5:8" ht="15" customHeight="1">
      <c r="E98" s="20">
        <v>3</v>
      </c>
      <c r="F98" s="20" t="s">
        <v>121</v>
      </c>
      <c r="G98" s="36" t="s">
        <v>92</v>
      </c>
      <c r="H98" s="37">
        <f>'HITUNG VOLUME'!Y461</f>
        <v>0.432</v>
      </c>
    </row>
    <row r="99" spans="5:8" ht="15" customHeight="1">
      <c r="E99" s="20">
        <v>4</v>
      </c>
      <c r="F99" s="20" t="s">
        <v>1683</v>
      </c>
      <c r="G99" s="36" t="s">
        <v>92</v>
      </c>
      <c r="H99" s="37">
        <f>'HITUNG VOLUME'!Y464</f>
        <v>0.42750000000000005</v>
      </c>
    </row>
    <row r="100" spans="5:8" ht="15" customHeight="1">
      <c r="E100" s="20">
        <v>5</v>
      </c>
      <c r="F100" s="20" t="s">
        <v>122</v>
      </c>
      <c r="G100" s="36" t="s">
        <v>92</v>
      </c>
      <c r="H100" s="37">
        <f>'HITUNG VOLUME'!Y467</f>
        <v>0.432</v>
      </c>
    </row>
    <row r="101" spans="5:8" ht="15" customHeight="1">
      <c r="E101" s="20">
        <v>6</v>
      </c>
      <c r="F101" s="20" t="s">
        <v>1684</v>
      </c>
      <c r="G101" s="36" t="s">
        <v>92</v>
      </c>
      <c r="H101" s="37">
        <f>'HITUNG VOLUME'!Y470</f>
        <v>0.432</v>
      </c>
    </row>
    <row r="102" spans="5:8" ht="15" customHeight="1">
      <c r="E102" s="20">
        <v>7</v>
      </c>
      <c r="F102" s="20" t="s">
        <v>123</v>
      </c>
      <c r="G102" s="36" t="s">
        <v>91</v>
      </c>
      <c r="H102" s="37">
        <f>'HITUNG VOLUME'!Y475</f>
        <v>5.1199999999999992</v>
      </c>
    </row>
    <row r="103" spans="5:8" ht="15" customHeight="1">
      <c r="E103" s="20">
        <v>8</v>
      </c>
      <c r="F103" s="20" t="s">
        <v>124</v>
      </c>
      <c r="G103" s="36" t="s">
        <v>92</v>
      </c>
      <c r="H103" s="37">
        <f>'HITUNG VOLUME'!Y480</f>
        <v>0.28350000000000009</v>
      </c>
    </row>
    <row r="104" spans="5:8" ht="15" customHeight="1">
      <c r="E104" s="20">
        <v>9</v>
      </c>
      <c r="F104" s="20" t="s">
        <v>125</v>
      </c>
      <c r="G104" s="36" t="s">
        <v>92</v>
      </c>
      <c r="H104" s="37">
        <f>'HITUNG VOLUME'!Y488</f>
        <v>0.20249999999999996</v>
      </c>
    </row>
    <row r="105" spans="5:8" ht="15" customHeight="1">
      <c r="E105" s="20">
        <v>10</v>
      </c>
      <c r="F105" s="20" t="s">
        <v>126</v>
      </c>
      <c r="G105" s="36" t="s">
        <v>92</v>
      </c>
      <c r="H105" s="37">
        <f>'HITUNG VOLUME'!Y495</f>
        <v>0.11199999999999999</v>
      </c>
    </row>
    <row r="106" spans="5:8" ht="15" customHeight="1">
      <c r="E106" s="20">
        <v>11</v>
      </c>
      <c r="F106" s="20" t="s">
        <v>127</v>
      </c>
      <c r="G106" s="36" t="s">
        <v>92</v>
      </c>
      <c r="H106" s="37">
        <f>'HITUNG VOLUME'!Y507</f>
        <v>0.24975000000000003</v>
      </c>
    </row>
    <row r="107" spans="5:8" ht="15" customHeight="1">
      <c r="E107" s="20">
        <v>12</v>
      </c>
      <c r="F107" s="20" t="s">
        <v>128</v>
      </c>
      <c r="G107" s="36" t="s">
        <v>92</v>
      </c>
      <c r="H107" s="37">
        <f>'HITUNG VOLUME'!Y514</f>
        <v>0.16800000000000001</v>
      </c>
    </row>
    <row r="108" spans="5:8" ht="15" customHeight="1">
      <c r="E108" s="20">
        <v>13</v>
      </c>
      <c r="F108" s="20" t="s">
        <v>129</v>
      </c>
      <c r="G108" s="36" t="s">
        <v>92</v>
      </c>
      <c r="H108" s="37">
        <f>'HITUNG VOLUME'!Y525</f>
        <v>0.59075</v>
      </c>
    </row>
    <row r="109" spans="5:8" ht="15" customHeight="1">
      <c r="E109" s="20">
        <v>14</v>
      </c>
      <c r="F109" s="20" t="s">
        <v>130</v>
      </c>
      <c r="G109" s="36" t="s">
        <v>93</v>
      </c>
      <c r="H109" s="37">
        <f>'HITUNG VOLUME'!Y528</f>
        <v>3</v>
      </c>
    </row>
    <row r="110" spans="5:8" ht="15" customHeight="1">
      <c r="E110" s="20">
        <v>15</v>
      </c>
      <c r="F110" s="20" t="s">
        <v>131</v>
      </c>
      <c r="G110" s="36" t="s">
        <v>95</v>
      </c>
      <c r="H110" s="37">
        <f>'HITUNG VOLUME'!Y531</f>
        <v>1</v>
      </c>
    </row>
    <row r="111" spans="5:8" ht="15" customHeight="1">
      <c r="E111" s="20">
        <v>16</v>
      </c>
      <c r="F111" s="20" t="s">
        <v>132</v>
      </c>
      <c r="G111" s="36" t="s">
        <v>91</v>
      </c>
      <c r="H111" s="37">
        <f>'HITUNG VOLUME'!Y536</f>
        <v>34.14</v>
      </c>
    </row>
    <row r="112" spans="5:8" ht="15" customHeight="1">
      <c r="E112" s="20"/>
      <c r="F112" s="20"/>
      <c r="G112" s="36"/>
      <c r="H112" s="37"/>
    </row>
    <row r="113" spans="5:8" ht="15" customHeight="1">
      <c r="E113" s="877" t="s">
        <v>133</v>
      </c>
      <c r="F113" s="878" t="s">
        <v>134</v>
      </c>
      <c r="G113" s="879"/>
      <c r="H113" s="880"/>
    </row>
    <row r="114" spans="5:8" ht="15" customHeight="1">
      <c r="E114" s="20">
        <v>1</v>
      </c>
      <c r="F114" s="20" t="s">
        <v>135</v>
      </c>
      <c r="G114" s="36" t="s">
        <v>2</v>
      </c>
      <c r="H114" s="37">
        <v>1</v>
      </c>
    </row>
    <row r="115" spans="5:8" ht="15" customHeight="1">
      <c r="E115" s="20"/>
      <c r="F115" s="20"/>
      <c r="G115" s="36"/>
      <c r="H115" s="37"/>
    </row>
    <row r="116" spans="5:8" ht="15" customHeight="1">
      <c r="E116" s="20"/>
      <c r="F116" s="20"/>
      <c r="G116" s="36"/>
      <c r="H116" s="37"/>
    </row>
    <row r="117" spans="5:8" ht="15" customHeight="1">
      <c r="E117" s="38"/>
      <c r="F117" s="38"/>
      <c r="G117" s="39"/>
      <c r="H117" s="40"/>
    </row>
  </sheetData>
  <mergeCells count="1">
    <mergeCell ref="A35:C35"/>
  </mergeCells>
  <pageMargins left="0.7" right="0.7" top="0.75" bottom="0.75" header="0.3" footer="0.3"/>
  <pageSetup paperSize="9"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D718F-3E1F-4958-946A-5C8A3767F184}">
  <sheetPr codeName="Sheet16"/>
  <dimension ref="A1:N31"/>
  <sheetViews>
    <sheetView showRowColHeaders="0" zoomScale="75" zoomScaleNormal="75" workbookViewId="0">
      <selection activeCell="M14" sqref="M14"/>
    </sheetView>
  </sheetViews>
  <sheetFormatPr defaultColWidth="9.21875" defaultRowHeight="15" customHeight="1"/>
  <cols>
    <col min="1" max="3" width="10.77734375" style="623" customWidth="1"/>
    <col min="4" max="4" width="4.77734375" style="2" customWidth="1"/>
    <col min="5" max="5" width="5.44140625" style="2" customWidth="1"/>
    <col min="6" max="6" width="45.77734375" style="2" customWidth="1"/>
    <col min="7" max="7" width="8.21875" style="1" customWidth="1"/>
    <col min="8" max="8" width="11.44140625" style="2" customWidth="1"/>
    <col min="9" max="9" width="17.77734375" style="2" customWidth="1"/>
    <col min="10" max="10" width="18.77734375" style="2" bestFit="1" customWidth="1"/>
    <col min="11" max="13" width="9.21875" style="2"/>
    <col min="14" max="14" width="12.77734375" style="2" bestFit="1" customWidth="1"/>
    <col min="15" max="15" width="10" style="2" bestFit="1" customWidth="1"/>
    <col min="16" max="16384" width="9.21875" style="2"/>
  </cols>
  <sheetData>
    <row r="1" spans="1:14" s="623" customFormat="1" ht="15" customHeight="1">
      <c r="G1" s="628"/>
    </row>
    <row r="2" spans="1:14" s="623" customFormat="1" ht="15" customHeight="1">
      <c r="E2" s="937" t="s">
        <v>2383</v>
      </c>
      <c r="F2" s="644"/>
      <c r="G2" s="644"/>
      <c r="H2" s="644"/>
      <c r="I2" s="644"/>
      <c r="J2" s="644"/>
    </row>
    <row r="3" spans="1:14" s="623" customFormat="1" ht="15" customHeight="1">
      <c r="E3" s="644"/>
      <c r="F3" s="644"/>
      <c r="G3" s="644"/>
      <c r="H3" s="644"/>
      <c r="I3" s="644"/>
      <c r="J3" s="644"/>
    </row>
    <row r="4" spans="1:14" ht="15" customHeight="1">
      <c r="E4" s="1148" t="s">
        <v>136</v>
      </c>
      <c r="F4" s="1137" t="s">
        <v>137</v>
      </c>
      <c r="G4" s="1138"/>
      <c r="H4" s="1138"/>
      <c r="I4" s="1139"/>
      <c r="J4" s="1146" t="s">
        <v>141</v>
      </c>
    </row>
    <row r="5" spans="1:14" ht="15" customHeight="1">
      <c r="E5" s="1148"/>
      <c r="F5" s="1140"/>
      <c r="G5" s="1141"/>
      <c r="H5" s="1141"/>
      <c r="I5" s="1142"/>
      <c r="J5" s="1147"/>
    </row>
    <row r="6" spans="1:14" s="208" customFormat="1" ht="15" customHeight="1" thickBot="1">
      <c r="A6" s="643"/>
      <c r="B6" s="643"/>
      <c r="C6" s="643"/>
      <c r="E6" s="882">
        <v>1</v>
      </c>
      <c r="F6" s="1143">
        <v>2</v>
      </c>
      <c r="G6" s="1144"/>
      <c r="H6" s="1144"/>
      <c r="I6" s="1145"/>
      <c r="J6" s="882">
        <v>3</v>
      </c>
    </row>
    <row r="7" spans="1:14" ht="20.100000000000001" customHeight="1" thickTop="1">
      <c r="E7" s="44" t="s">
        <v>3</v>
      </c>
      <c r="F7" s="1022" t="s">
        <v>4</v>
      </c>
      <c r="G7" s="1023"/>
      <c r="H7" s="1023"/>
      <c r="I7" s="1024"/>
      <c r="J7" s="1025">
        <f>'HITUNG RAB'!L13</f>
        <v>10083520</v>
      </c>
    </row>
    <row r="8" spans="1:14" ht="20.100000000000001" customHeight="1">
      <c r="E8" s="45" t="s">
        <v>11</v>
      </c>
      <c r="F8" s="1026" t="s">
        <v>99</v>
      </c>
      <c r="G8" s="1027"/>
      <c r="H8" s="1027"/>
      <c r="I8" s="1028"/>
      <c r="J8" s="1029">
        <f>'HITUNG RAB'!L20</f>
        <v>8462250.5812500007</v>
      </c>
    </row>
    <row r="9" spans="1:14" ht="20.100000000000001" customHeight="1">
      <c r="E9" s="45" t="s">
        <v>16</v>
      </c>
      <c r="F9" s="1026" t="s">
        <v>101</v>
      </c>
      <c r="G9" s="1027"/>
      <c r="H9" s="1027"/>
      <c r="I9" s="1028"/>
      <c r="J9" s="1029">
        <f>'HITUNG RAB'!L28</f>
        <v>64094723.795000002</v>
      </c>
    </row>
    <row r="10" spans="1:14" ht="20.100000000000001" customHeight="1">
      <c r="E10" s="45" t="s">
        <v>27</v>
      </c>
      <c r="F10" s="1026" t="s">
        <v>28</v>
      </c>
      <c r="G10" s="1027"/>
      <c r="H10" s="1027"/>
      <c r="I10" s="1028"/>
      <c r="J10" s="1029">
        <f>'HITUNG RAB'!L51</f>
        <v>50476950.171166673</v>
      </c>
    </row>
    <row r="11" spans="1:14" ht="20.100000000000001" customHeight="1">
      <c r="E11" s="45" t="s">
        <v>50</v>
      </c>
      <c r="F11" s="1026" t="s">
        <v>2087</v>
      </c>
      <c r="G11" s="1027"/>
      <c r="H11" s="1027"/>
      <c r="I11" s="1028"/>
      <c r="J11" s="1029">
        <f>'HITUNG RAB'!L60</f>
        <v>94737640.024420023</v>
      </c>
      <c r="N11" s="91"/>
    </row>
    <row r="12" spans="1:14" ht="20.100000000000001" customHeight="1">
      <c r="E12" s="45" t="s">
        <v>55</v>
      </c>
      <c r="F12" s="1026" t="s">
        <v>106</v>
      </c>
      <c r="G12" s="1027"/>
      <c r="H12" s="1027"/>
      <c r="I12" s="1028"/>
      <c r="J12" s="1029">
        <f>'HITUNG RAB'!L68</f>
        <v>13388297.2236</v>
      </c>
    </row>
    <row r="13" spans="1:14" ht="20.100000000000001" customHeight="1">
      <c r="E13" s="45" t="s">
        <v>62</v>
      </c>
      <c r="F13" s="1026" t="s">
        <v>109</v>
      </c>
      <c r="G13" s="1027"/>
      <c r="H13" s="1027"/>
      <c r="I13" s="1028"/>
      <c r="J13" s="1029">
        <f>'HITUNG RAB'!L73</f>
        <v>14415840</v>
      </c>
    </row>
    <row r="14" spans="1:14" ht="20.100000000000001" customHeight="1">
      <c r="E14" s="45" t="s">
        <v>94</v>
      </c>
      <c r="F14" s="1026" t="s">
        <v>112</v>
      </c>
      <c r="G14" s="1027"/>
      <c r="H14" s="1027"/>
      <c r="I14" s="1028"/>
      <c r="J14" s="1029">
        <f>'HITUNG RAB'!L83</f>
        <v>3675048</v>
      </c>
    </row>
    <row r="15" spans="1:14" ht="20.100000000000001" customHeight="1">
      <c r="E15" s="45" t="s">
        <v>69</v>
      </c>
      <c r="F15" s="1026" t="s">
        <v>113</v>
      </c>
      <c r="G15" s="1027"/>
      <c r="H15" s="1027"/>
      <c r="I15" s="1028"/>
      <c r="J15" s="1029">
        <f>'HITUNG RAB'!L98</f>
        <v>8180192</v>
      </c>
    </row>
    <row r="16" spans="1:14" ht="20.100000000000001" customHeight="1">
      <c r="E16" s="45" t="s">
        <v>8</v>
      </c>
      <c r="F16" s="1026" t="s">
        <v>82</v>
      </c>
      <c r="G16" s="1027"/>
      <c r="H16" s="1027"/>
      <c r="I16" s="1028"/>
      <c r="J16" s="1029">
        <f>'HITUNG RAB'!L105</f>
        <v>9424125.6465958506</v>
      </c>
    </row>
    <row r="17" spans="1:10" ht="20.100000000000001" customHeight="1">
      <c r="E17" s="45" t="s">
        <v>84</v>
      </c>
      <c r="F17" s="1026" t="s">
        <v>85</v>
      </c>
      <c r="G17" s="1027"/>
      <c r="H17" s="1027"/>
      <c r="I17" s="1028"/>
      <c r="J17" s="1029">
        <f>'HITUNG RAB'!L124</f>
        <v>29017310.9485</v>
      </c>
    </row>
    <row r="18" spans="1:10" ht="20.100000000000001" customHeight="1">
      <c r="E18" s="46" t="s">
        <v>133</v>
      </c>
      <c r="F18" s="1030" t="s">
        <v>134</v>
      </c>
      <c r="G18" s="1031"/>
      <c r="H18" s="1031"/>
      <c r="I18" s="1032"/>
      <c r="J18" s="1033">
        <f>'HITUNG RAB'!L128</f>
        <v>1540000</v>
      </c>
    </row>
    <row r="19" spans="1:10" ht="15" customHeight="1">
      <c r="E19" s="47"/>
      <c r="F19" s="48"/>
      <c r="G19" s="49"/>
      <c r="H19" s="48"/>
      <c r="I19" s="50" t="s">
        <v>56</v>
      </c>
      <c r="J19" s="51">
        <f>SUM(J7:J18)</f>
        <v>307495898.39053255</v>
      </c>
    </row>
    <row r="20" spans="1:10" ht="15" customHeight="1">
      <c r="E20" s="52"/>
      <c r="F20" s="53"/>
      <c r="G20" s="54"/>
      <c r="H20" s="53"/>
      <c r="I20" s="53"/>
      <c r="J20" s="55"/>
    </row>
    <row r="23" spans="1:10" ht="15" customHeight="1">
      <c r="J23" s="91"/>
    </row>
    <row r="31" spans="1:10" ht="15" customHeight="1">
      <c r="A31" s="1096" t="s">
        <v>2381</v>
      </c>
      <c r="B31" s="1096"/>
      <c r="C31" s="1096"/>
    </row>
  </sheetData>
  <mergeCells count="5">
    <mergeCell ref="F4:I5"/>
    <mergeCell ref="F6:I6"/>
    <mergeCell ref="J4:J5"/>
    <mergeCell ref="E4:E5"/>
    <mergeCell ref="A31:C31"/>
  </mergeCells>
  <pageMargins left="0.7" right="0.7" top="0.75" bottom="0.75" header="0.3" footer="0.3"/>
  <pageSetup paperSize="9" orientation="portrait"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DFFBF-E3B0-4740-A698-BCC6EC46DF51}">
  <sheetPr codeName="Sheet7"/>
  <dimension ref="A1:HB591"/>
  <sheetViews>
    <sheetView showGridLines="0" showRowColHeaders="0" zoomScale="75" zoomScaleNormal="75" workbookViewId="0">
      <selection activeCell="K16" sqref="K16"/>
    </sheetView>
  </sheetViews>
  <sheetFormatPr defaultRowHeight="15" customHeight="1"/>
  <cols>
    <col min="1" max="3" width="10.77734375" style="645" customWidth="1"/>
    <col min="4" max="4" width="3.77734375" style="110" customWidth="1"/>
    <col min="5" max="5" width="4.77734375" style="110" customWidth="1"/>
    <col min="6" max="6" width="34.21875" style="110" customWidth="1"/>
    <col min="7" max="7" width="5.21875" style="113" customWidth="1"/>
    <col min="8" max="8" width="17.21875" style="111" bestFit="1" customWidth="1"/>
    <col min="9" max="9" width="20.77734375" style="112" customWidth="1"/>
    <col min="10" max="10" width="8.77734375" style="159" customWidth="1"/>
    <col min="11" max="11" width="25.77734375" style="113" customWidth="1"/>
    <col min="12" max="12" width="10.77734375" style="1059" customWidth="1"/>
    <col min="13" max="13" width="10.77734375" style="113" customWidth="1"/>
    <col min="14" max="15" width="10.77734375" style="114" customWidth="1"/>
    <col min="16" max="16" width="28.21875" style="131" bestFit="1" customWidth="1"/>
    <col min="17" max="17" width="6.5546875" style="107" bestFit="1" customWidth="1"/>
    <col min="18" max="51" width="2.44140625" style="108" customWidth="1"/>
    <col min="52" max="52" width="2.21875" style="108" customWidth="1"/>
    <col min="53" max="56" width="2.44140625" style="108" customWidth="1"/>
    <col min="57" max="57" width="2.5546875" style="108" customWidth="1"/>
    <col min="58" max="59" width="2.44140625" style="108" customWidth="1"/>
    <col min="60" max="66" width="4.77734375" style="108" bestFit="1" customWidth="1"/>
    <col min="67" max="67" width="4.21875" style="108" bestFit="1" customWidth="1"/>
    <col min="68" max="69" width="4.77734375" style="108" bestFit="1" customWidth="1"/>
    <col min="70" max="70" width="3.21875" style="108" customWidth="1"/>
    <col min="71" max="71" width="2.77734375" style="108" customWidth="1"/>
    <col min="72" max="76" width="4.77734375" style="108" bestFit="1" customWidth="1"/>
    <col min="77" max="77" width="4.21875" style="108" bestFit="1" customWidth="1"/>
    <col min="78" max="86" width="4.77734375" style="108" bestFit="1" customWidth="1"/>
    <col min="87" max="87" width="4.21875" style="108" bestFit="1" customWidth="1"/>
    <col min="88" max="90" width="4.77734375" style="108" bestFit="1" customWidth="1"/>
    <col min="91" max="96" width="4.77734375" style="109" bestFit="1" customWidth="1"/>
    <col min="97" max="97" width="4.21875" style="109" bestFit="1" customWidth="1"/>
    <col min="98" max="103" width="4.77734375" style="109" bestFit="1" customWidth="1"/>
    <col min="104" max="109" width="3.21875" style="109" bestFit="1" customWidth="1"/>
    <col min="110" max="110" width="2.77734375" style="109" bestFit="1" customWidth="1"/>
    <col min="111" max="120" width="3.21875" style="109" bestFit="1" customWidth="1"/>
    <col min="121" max="121" width="2.77734375" style="109" bestFit="1" customWidth="1"/>
    <col min="122" max="124" width="3" style="109" bestFit="1" customWidth="1"/>
    <col min="125" max="125" width="2.77734375" style="109" bestFit="1" customWidth="1"/>
    <col min="126" max="126" width="3" style="109" bestFit="1" customWidth="1"/>
    <col min="127" max="127" width="2.77734375" style="109" bestFit="1" customWidth="1"/>
    <col min="128" max="129" width="3" style="109" bestFit="1" customWidth="1"/>
    <col min="130" max="139" width="2.77734375" style="109" bestFit="1" customWidth="1"/>
    <col min="140" max="140" width="3" style="109" bestFit="1" customWidth="1"/>
    <col min="141" max="141" width="2.77734375" style="109" bestFit="1" customWidth="1"/>
    <col min="142" max="144" width="3" style="109" bestFit="1" customWidth="1"/>
    <col min="145" max="145" width="2.77734375" style="109" bestFit="1" customWidth="1"/>
    <col min="146" max="146" width="3" style="109" bestFit="1" customWidth="1"/>
    <col min="147" max="147" width="2.77734375" style="109" bestFit="1" customWidth="1"/>
    <col min="148" max="150" width="3" style="109" bestFit="1" customWidth="1"/>
    <col min="151" max="151" width="2.77734375" style="109" bestFit="1" customWidth="1"/>
    <col min="152" max="154" width="3" style="109" bestFit="1" customWidth="1"/>
    <col min="155" max="155" width="2.77734375" style="109" bestFit="1" customWidth="1"/>
    <col min="156" max="156" width="3" style="109" bestFit="1" customWidth="1"/>
    <col min="157" max="157" width="2.77734375" style="109" bestFit="1" customWidth="1"/>
    <col min="158" max="159" width="3" style="109" bestFit="1" customWidth="1"/>
    <col min="160" max="207" width="2.77734375" style="109" customWidth="1"/>
    <col min="208" max="208" width="4" style="110" customWidth="1"/>
    <col min="209" max="209" width="4.21875" style="110" customWidth="1"/>
    <col min="210" max="210" width="3.77734375" style="110" customWidth="1"/>
    <col min="211" max="261" width="9.21875" style="110"/>
    <col min="262" max="262" width="4.77734375" style="110" customWidth="1"/>
    <col min="263" max="263" width="34.21875" style="110" customWidth="1"/>
    <col min="264" max="264" width="5.21875" style="110" customWidth="1"/>
    <col min="265" max="265" width="18.5546875" style="110" customWidth="1"/>
    <col min="266" max="266" width="19.44140625" style="110" customWidth="1"/>
    <col min="267" max="267" width="8.44140625" style="110" bestFit="1" customWidth="1"/>
    <col min="268" max="268" width="22.21875" style="110" customWidth="1"/>
    <col min="269" max="269" width="9" style="110" customWidth="1"/>
    <col min="270" max="270" width="7" style="110" customWidth="1"/>
    <col min="271" max="271" width="8.44140625" style="110" bestFit="1" customWidth="1"/>
    <col min="272" max="272" width="21.77734375" style="110" customWidth="1"/>
    <col min="273" max="273" width="3.21875" style="110" customWidth="1"/>
    <col min="274" max="307" width="2.44140625" style="110" customWidth="1"/>
    <col min="308" max="308" width="2.21875" style="110" customWidth="1"/>
    <col min="309" max="312" width="2.44140625" style="110" customWidth="1"/>
    <col min="313" max="313" width="2.5546875" style="110" customWidth="1"/>
    <col min="314" max="315" width="2.44140625" style="110" customWidth="1"/>
    <col min="316" max="322" width="4.77734375" style="110" bestFit="1" customWidth="1"/>
    <col min="323" max="323" width="4.21875" style="110" bestFit="1" customWidth="1"/>
    <col min="324" max="325" width="4.77734375" style="110" bestFit="1" customWidth="1"/>
    <col min="326" max="326" width="3.21875" style="110" customWidth="1"/>
    <col min="327" max="327" width="2.77734375" style="110" customWidth="1"/>
    <col min="328" max="332" width="4.77734375" style="110" bestFit="1" customWidth="1"/>
    <col min="333" max="333" width="4.21875" style="110" bestFit="1" customWidth="1"/>
    <col min="334" max="342" width="4.77734375" style="110" bestFit="1" customWidth="1"/>
    <col min="343" max="343" width="4.21875" style="110" bestFit="1" customWidth="1"/>
    <col min="344" max="352" width="4.77734375" style="110" bestFit="1" customWidth="1"/>
    <col min="353" max="353" width="4.21875" style="110" bestFit="1" customWidth="1"/>
    <col min="354" max="359" width="4.77734375" style="110" bestFit="1" customWidth="1"/>
    <col min="360" max="365" width="3" style="110" bestFit="1" customWidth="1"/>
    <col min="366" max="366" width="2.77734375" style="110" bestFit="1" customWidth="1"/>
    <col min="367" max="376" width="3" style="110" bestFit="1" customWidth="1"/>
    <col min="377" max="377" width="2.5546875" style="110" bestFit="1" customWidth="1"/>
    <col min="378" max="385" width="2.77734375" style="110" bestFit="1" customWidth="1"/>
    <col min="386" max="395" width="2.5546875" style="110" bestFit="1" customWidth="1"/>
    <col min="396" max="396" width="2.77734375" style="110" bestFit="1" customWidth="1"/>
    <col min="397" max="397" width="2.5546875" style="110" bestFit="1" customWidth="1"/>
    <col min="398" max="406" width="2.77734375" style="110" bestFit="1" customWidth="1"/>
    <col min="407" max="407" width="2.5546875" style="110" bestFit="1" customWidth="1"/>
    <col min="408" max="415" width="2.77734375" style="110" bestFit="1" customWidth="1"/>
    <col min="416" max="463" width="2.77734375" style="110" customWidth="1"/>
    <col min="464" max="464" width="4" style="110" customWidth="1"/>
    <col min="465" max="465" width="4.21875" style="110" customWidth="1"/>
    <col min="466" max="466" width="3.77734375" style="110" customWidth="1"/>
    <col min="467" max="517" width="9.21875" style="110"/>
    <col min="518" max="518" width="4.77734375" style="110" customWidth="1"/>
    <col min="519" max="519" width="34.21875" style="110" customWidth="1"/>
    <col min="520" max="520" width="5.21875" style="110" customWidth="1"/>
    <col min="521" max="521" width="18.5546875" style="110" customWidth="1"/>
    <col min="522" max="522" width="19.44140625" style="110" customWidth="1"/>
    <col min="523" max="523" width="8.44140625" style="110" bestFit="1" customWidth="1"/>
    <col min="524" max="524" width="22.21875" style="110" customWidth="1"/>
    <col min="525" max="525" width="9" style="110" customWidth="1"/>
    <col min="526" max="526" width="7" style="110" customWidth="1"/>
    <col min="527" max="527" width="8.44140625" style="110" bestFit="1" customWidth="1"/>
    <col min="528" max="528" width="21.77734375" style="110" customWidth="1"/>
    <col min="529" max="529" width="3.21875" style="110" customWidth="1"/>
    <col min="530" max="563" width="2.44140625" style="110" customWidth="1"/>
    <col min="564" max="564" width="2.21875" style="110" customWidth="1"/>
    <col min="565" max="568" width="2.44140625" style="110" customWidth="1"/>
    <col min="569" max="569" width="2.5546875" style="110" customWidth="1"/>
    <col min="570" max="571" width="2.44140625" style="110" customWidth="1"/>
    <col min="572" max="578" width="4.77734375" style="110" bestFit="1" customWidth="1"/>
    <col min="579" max="579" width="4.21875" style="110" bestFit="1" customWidth="1"/>
    <col min="580" max="581" width="4.77734375" style="110" bestFit="1" customWidth="1"/>
    <col min="582" max="582" width="3.21875" style="110" customWidth="1"/>
    <col min="583" max="583" width="2.77734375" style="110" customWidth="1"/>
    <col min="584" max="588" width="4.77734375" style="110" bestFit="1" customWidth="1"/>
    <col min="589" max="589" width="4.21875" style="110" bestFit="1" customWidth="1"/>
    <col min="590" max="598" width="4.77734375" style="110" bestFit="1" customWidth="1"/>
    <col min="599" max="599" width="4.21875" style="110" bestFit="1" customWidth="1"/>
    <col min="600" max="608" width="4.77734375" style="110" bestFit="1" customWidth="1"/>
    <col min="609" max="609" width="4.21875" style="110" bestFit="1" customWidth="1"/>
    <col min="610" max="615" width="4.77734375" style="110" bestFit="1" customWidth="1"/>
    <col min="616" max="621" width="3" style="110" bestFit="1" customWidth="1"/>
    <col min="622" max="622" width="2.77734375" style="110" bestFit="1" customWidth="1"/>
    <col min="623" max="632" width="3" style="110" bestFit="1" customWidth="1"/>
    <col min="633" max="633" width="2.5546875" style="110" bestFit="1" customWidth="1"/>
    <col min="634" max="641" width="2.77734375" style="110" bestFit="1" customWidth="1"/>
    <col min="642" max="651" width="2.5546875" style="110" bestFit="1" customWidth="1"/>
    <col min="652" max="652" width="2.77734375" style="110" bestFit="1" customWidth="1"/>
    <col min="653" max="653" width="2.5546875" style="110" bestFit="1" customWidth="1"/>
    <col min="654" max="662" width="2.77734375" style="110" bestFit="1" customWidth="1"/>
    <col min="663" max="663" width="2.5546875" style="110" bestFit="1" customWidth="1"/>
    <col min="664" max="671" width="2.77734375" style="110" bestFit="1" customWidth="1"/>
    <col min="672" max="719" width="2.77734375" style="110" customWidth="1"/>
    <col min="720" max="720" width="4" style="110" customWidth="1"/>
    <col min="721" max="721" width="4.21875" style="110" customWidth="1"/>
    <col min="722" max="722" width="3.77734375" style="110" customWidth="1"/>
    <col min="723" max="773" width="9.21875" style="110"/>
    <col min="774" max="774" width="4.77734375" style="110" customWidth="1"/>
    <col min="775" max="775" width="34.21875" style="110" customWidth="1"/>
    <col min="776" max="776" width="5.21875" style="110" customWidth="1"/>
    <col min="777" max="777" width="18.5546875" style="110" customWidth="1"/>
    <col min="778" max="778" width="19.44140625" style="110" customWidth="1"/>
    <col min="779" max="779" width="8.44140625" style="110" bestFit="1" customWidth="1"/>
    <col min="780" max="780" width="22.21875" style="110" customWidth="1"/>
    <col min="781" max="781" width="9" style="110" customWidth="1"/>
    <col min="782" max="782" width="7" style="110" customWidth="1"/>
    <col min="783" max="783" width="8.44140625" style="110" bestFit="1" customWidth="1"/>
    <col min="784" max="784" width="21.77734375" style="110" customWidth="1"/>
    <col min="785" max="785" width="3.21875" style="110" customWidth="1"/>
    <col min="786" max="819" width="2.44140625" style="110" customWidth="1"/>
    <col min="820" max="820" width="2.21875" style="110" customWidth="1"/>
    <col min="821" max="824" width="2.44140625" style="110" customWidth="1"/>
    <col min="825" max="825" width="2.5546875" style="110" customWidth="1"/>
    <col min="826" max="827" width="2.44140625" style="110" customWidth="1"/>
    <col min="828" max="834" width="4.77734375" style="110" bestFit="1" customWidth="1"/>
    <col min="835" max="835" width="4.21875" style="110" bestFit="1" customWidth="1"/>
    <col min="836" max="837" width="4.77734375" style="110" bestFit="1" customWidth="1"/>
    <col min="838" max="838" width="3.21875" style="110" customWidth="1"/>
    <col min="839" max="839" width="2.77734375" style="110" customWidth="1"/>
    <col min="840" max="844" width="4.77734375" style="110" bestFit="1" customWidth="1"/>
    <col min="845" max="845" width="4.21875" style="110" bestFit="1" customWidth="1"/>
    <col min="846" max="854" width="4.77734375" style="110" bestFit="1" customWidth="1"/>
    <col min="855" max="855" width="4.21875" style="110" bestFit="1" customWidth="1"/>
    <col min="856" max="864" width="4.77734375" style="110" bestFit="1" customWidth="1"/>
    <col min="865" max="865" width="4.21875" style="110" bestFit="1" customWidth="1"/>
    <col min="866" max="871" width="4.77734375" style="110" bestFit="1" customWidth="1"/>
    <col min="872" max="877" width="3" style="110" bestFit="1" customWidth="1"/>
    <col min="878" max="878" width="2.77734375" style="110" bestFit="1" customWidth="1"/>
    <col min="879" max="888" width="3" style="110" bestFit="1" customWidth="1"/>
    <col min="889" max="889" width="2.5546875" style="110" bestFit="1" customWidth="1"/>
    <col min="890" max="897" width="2.77734375" style="110" bestFit="1" customWidth="1"/>
    <col min="898" max="907" width="2.5546875" style="110" bestFit="1" customWidth="1"/>
    <col min="908" max="908" width="2.77734375" style="110" bestFit="1" customWidth="1"/>
    <col min="909" max="909" width="2.5546875" style="110" bestFit="1" customWidth="1"/>
    <col min="910" max="918" width="2.77734375" style="110" bestFit="1" customWidth="1"/>
    <col min="919" max="919" width="2.5546875" style="110" bestFit="1" customWidth="1"/>
    <col min="920" max="927" width="2.77734375" style="110" bestFit="1" customWidth="1"/>
    <col min="928" max="975" width="2.77734375" style="110" customWidth="1"/>
    <col min="976" max="976" width="4" style="110" customWidth="1"/>
    <col min="977" max="977" width="4.21875" style="110" customWidth="1"/>
    <col min="978" max="978" width="3.77734375" style="110" customWidth="1"/>
    <col min="979" max="1029" width="9.21875" style="110"/>
    <col min="1030" max="1030" width="4.77734375" style="110" customWidth="1"/>
    <col min="1031" max="1031" width="34.21875" style="110" customWidth="1"/>
    <col min="1032" max="1032" width="5.21875" style="110" customWidth="1"/>
    <col min="1033" max="1033" width="18.5546875" style="110" customWidth="1"/>
    <col min="1034" max="1034" width="19.44140625" style="110" customWidth="1"/>
    <col min="1035" max="1035" width="8.44140625" style="110" bestFit="1" customWidth="1"/>
    <col min="1036" max="1036" width="22.21875" style="110" customWidth="1"/>
    <col min="1037" max="1037" width="9" style="110" customWidth="1"/>
    <col min="1038" max="1038" width="7" style="110" customWidth="1"/>
    <col min="1039" max="1039" width="8.44140625" style="110" bestFit="1" customWidth="1"/>
    <col min="1040" max="1040" width="21.77734375" style="110" customWidth="1"/>
    <col min="1041" max="1041" width="3.21875" style="110" customWidth="1"/>
    <col min="1042" max="1075" width="2.44140625" style="110" customWidth="1"/>
    <col min="1076" max="1076" width="2.21875" style="110" customWidth="1"/>
    <col min="1077" max="1080" width="2.44140625" style="110" customWidth="1"/>
    <col min="1081" max="1081" width="2.5546875" style="110" customWidth="1"/>
    <col min="1082" max="1083" width="2.44140625" style="110" customWidth="1"/>
    <col min="1084" max="1090" width="4.77734375" style="110" bestFit="1" customWidth="1"/>
    <col min="1091" max="1091" width="4.21875" style="110" bestFit="1" customWidth="1"/>
    <col min="1092" max="1093" width="4.77734375" style="110" bestFit="1" customWidth="1"/>
    <col min="1094" max="1094" width="3.21875" style="110" customWidth="1"/>
    <col min="1095" max="1095" width="2.77734375" style="110" customWidth="1"/>
    <col min="1096" max="1100" width="4.77734375" style="110" bestFit="1" customWidth="1"/>
    <col min="1101" max="1101" width="4.21875" style="110" bestFit="1" customWidth="1"/>
    <col min="1102" max="1110" width="4.77734375" style="110" bestFit="1" customWidth="1"/>
    <col min="1111" max="1111" width="4.21875" style="110" bestFit="1" customWidth="1"/>
    <col min="1112" max="1120" width="4.77734375" style="110" bestFit="1" customWidth="1"/>
    <col min="1121" max="1121" width="4.21875" style="110" bestFit="1" customWidth="1"/>
    <col min="1122" max="1127" width="4.77734375" style="110" bestFit="1" customWidth="1"/>
    <col min="1128" max="1133" width="3" style="110" bestFit="1" customWidth="1"/>
    <col min="1134" max="1134" width="2.77734375" style="110" bestFit="1" customWidth="1"/>
    <col min="1135" max="1144" width="3" style="110" bestFit="1" customWidth="1"/>
    <col min="1145" max="1145" width="2.5546875" style="110" bestFit="1" customWidth="1"/>
    <col min="1146" max="1153" width="2.77734375" style="110" bestFit="1" customWidth="1"/>
    <col min="1154" max="1163" width="2.5546875" style="110" bestFit="1" customWidth="1"/>
    <col min="1164" max="1164" width="2.77734375" style="110" bestFit="1" customWidth="1"/>
    <col min="1165" max="1165" width="2.5546875" style="110" bestFit="1" customWidth="1"/>
    <col min="1166" max="1174" width="2.77734375" style="110" bestFit="1" customWidth="1"/>
    <col min="1175" max="1175" width="2.5546875" style="110" bestFit="1" customWidth="1"/>
    <col min="1176" max="1183" width="2.77734375" style="110" bestFit="1" customWidth="1"/>
    <col min="1184" max="1231" width="2.77734375" style="110" customWidth="1"/>
    <col min="1232" max="1232" width="4" style="110" customWidth="1"/>
    <col min="1233" max="1233" width="4.21875" style="110" customWidth="1"/>
    <col min="1234" max="1234" width="3.77734375" style="110" customWidth="1"/>
    <col min="1235" max="1285" width="9.21875" style="110"/>
    <col min="1286" max="1286" width="4.77734375" style="110" customWidth="1"/>
    <col min="1287" max="1287" width="34.21875" style="110" customWidth="1"/>
    <col min="1288" max="1288" width="5.21875" style="110" customWidth="1"/>
    <col min="1289" max="1289" width="18.5546875" style="110" customWidth="1"/>
    <col min="1290" max="1290" width="19.44140625" style="110" customWidth="1"/>
    <col min="1291" max="1291" width="8.44140625" style="110" bestFit="1" customWidth="1"/>
    <col min="1292" max="1292" width="22.21875" style="110" customWidth="1"/>
    <col min="1293" max="1293" width="9" style="110" customWidth="1"/>
    <col min="1294" max="1294" width="7" style="110" customWidth="1"/>
    <col min="1295" max="1295" width="8.44140625" style="110" bestFit="1" customWidth="1"/>
    <col min="1296" max="1296" width="21.77734375" style="110" customWidth="1"/>
    <col min="1297" max="1297" width="3.21875" style="110" customWidth="1"/>
    <col min="1298" max="1331" width="2.44140625" style="110" customWidth="1"/>
    <col min="1332" max="1332" width="2.21875" style="110" customWidth="1"/>
    <col min="1333" max="1336" width="2.44140625" style="110" customWidth="1"/>
    <col min="1337" max="1337" width="2.5546875" style="110" customWidth="1"/>
    <col min="1338" max="1339" width="2.44140625" style="110" customWidth="1"/>
    <col min="1340" max="1346" width="4.77734375" style="110" bestFit="1" customWidth="1"/>
    <col min="1347" max="1347" width="4.21875" style="110" bestFit="1" customWidth="1"/>
    <col min="1348" max="1349" width="4.77734375" style="110" bestFit="1" customWidth="1"/>
    <col min="1350" max="1350" width="3.21875" style="110" customWidth="1"/>
    <col min="1351" max="1351" width="2.77734375" style="110" customWidth="1"/>
    <col min="1352" max="1356" width="4.77734375" style="110" bestFit="1" customWidth="1"/>
    <col min="1357" max="1357" width="4.21875" style="110" bestFit="1" customWidth="1"/>
    <col min="1358" max="1366" width="4.77734375" style="110" bestFit="1" customWidth="1"/>
    <col min="1367" max="1367" width="4.21875" style="110" bestFit="1" customWidth="1"/>
    <col min="1368" max="1376" width="4.77734375" style="110" bestFit="1" customWidth="1"/>
    <col min="1377" max="1377" width="4.21875" style="110" bestFit="1" customWidth="1"/>
    <col min="1378" max="1383" width="4.77734375" style="110" bestFit="1" customWidth="1"/>
    <col min="1384" max="1389" width="3" style="110" bestFit="1" customWidth="1"/>
    <col min="1390" max="1390" width="2.77734375" style="110" bestFit="1" customWidth="1"/>
    <col min="1391" max="1400" width="3" style="110" bestFit="1" customWidth="1"/>
    <col min="1401" max="1401" width="2.5546875" style="110" bestFit="1" customWidth="1"/>
    <col min="1402" max="1409" width="2.77734375" style="110" bestFit="1" customWidth="1"/>
    <col min="1410" max="1419" width="2.5546875" style="110" bestFit="1" customWidth="1"/>
    <col min="1420" max="1420" width="2.77734375" style="110" bestFit="1" customWidth="1"/>
    <col min="1421" max="1421" width="2.5546875" style="110" bestFit="1" customWidth="1"/>
    <col min="1422" max="1430" width="2.77734375" style="110" bestFit="1" customWidth="1"/>
    <col min="1431" max="1431" width="2.5546875" style="110" bestFit="1" customWidth="1"/>
    <col min="1432" max="1439" width="2.77734375" style="110" bestFit="1" customWidth="1"/>
    <col min="1440" max="1487" width="2.77734375" style="110" customWidth="1"/>
    <col min="1488" max="1488" width="4" style="110" customWidth="1"/>
    <col min="1489" max="1489" width="4.21875" style="110" customWidth="1"/>
    <col min="1490" max="1490" width="3.77734375" style="110" customWidth="1"/>
    <col min="1491" max="1541" width="9.21875" style="110"/>
    <col min="1542" max="1542" width="4.77734375" style="110" customWidth="1"/>
    <col min="1543" max="1543" width="34.21875" style="110" customWidth="1"/>
    <col min="1544" max="1544" width="5.21875" style="110" customWidth="1"/>
    <col min="1545" max="1545" width="18.5546875" style="110" customWidth="1"/>
    <col min="1546" max="1546" width="19.44140625" style="110" customWidth="1"/>
    <col min="1547" max="1547" width="8.44140625" style="110" bestFit="1" customWidth="1"/>
    <col min="1548" max="1548" width="22.21875" style="110" customWidth="1"/>
    <col min="1549" max="1549" width="9" style="110" customWidth="1"/>
    <col min="1550" max="1550" width="7" style="110" customWidth="1"/>
    <col min="1551" max="1551" width="8.44140625" style="110" bestFit="1" customWidth="1"/>
    <col min="1552" max="1552" width="21.77734375" style="110" customWidth="1"/>
    <col min="1553" max="1553" width="3.21875" style="110" customWidth="1"/>
    <col min="1554" max="1587" width="2.44140625" style="110" customWidth="1"/>
    <col min="1588" max="1588" width="2.21875" style="110" customWidth="1"/>
    <col min="1589" max="1592" width="2.44140625" style="110" customWidth="1"/>
    <col min="1593" max="1593" width="2.5546875" style="110" customWidth="1"/>
    <col min="1594" max="1595" width="2.44140625" style="110" customWidth="1"/>
    <col min="1596" max="1602" width="4.77734375" style="110" bestFit="1" customWidth="1"/>
    <col min="1603" max="1603" width="4.21875" style="110" bestFit="1" customWidth="1"/>
    <col min="1604" max="1605" width="4.77734375" style="110" bestFit="1" customWidth="1"/>
    <col min="1606" max="1606" width="3.21875" style="110" customWidth="1"/>
    <col min="1607" max="1607" width="2.77734375" style="110" customWidth="1"/>
    <col min="1608" max="1612" width="4.77734375" style="110" bestFit="1" customWidth="1"/>
    <col min="1613" max="1613" width="4.21875" style="110" bestFit="1" customWidth="1"/>
    <col min="1614" max="1622" width="4.77734375" style="110" bestFit="1" customWidth="1"/>
    <col min="1623" max="1623" width="4.21875" style="110" bestFit="1" customWidth="1"/>
    <col min="1624" max="1632" width="4.77734375" style="110" bestFit="1" customWidth="1"/>
    <col min="1633" max="1633" width="4.21875" style="110" bestFit="1" customWidth="1"/>
    <col min="1634" max="1639" width="4.77734375" style="110" bestFit="1" customWidth="1"/>
    <col min="1640" max="1645" width="3" style="110" bestFit="1" customWidth="1"/>
    <col min="1646" max="1646" width="2.77734375" style="110" bestFit="1" customWidth="1"/>
    <col min="1647" max="1656" width="3" style="110" bestFit="1" customWidth="1"/>
    <col min="1657" max="1657" width="2.5546875" style="110" bestFit="1" customWidth="1"/>
    <col min="1658" max="1665" width="2.77734375" style="110" bestFit="1" customWidth="1"/>
    <col min="1666" max="1675" width="2.5546875" style="110" bestFit="1" customWidth="1"/>
    <col min="1676" max="1676" width="2.77734375" style="110" bestFit="1" customWidth="1"/>
    <col min="1677" max="1677" width="2.5546875" style="110" bestFit="1" customWidth="1"/>
    <col min="1678" max="1686" width="2.77734375" style="110" bestFit="1" customWidth="1"/>
    <col min="1687" max="1687" width="2.5546875" style="110" bestFit="1" customWidth="1"/>
    <col min="1688" max="1695" width="2.77734375" style="110" bestFit="1" customWidth="1"/>
    <col min="1696" max="1743" width="2.77734375" style="110" customWidth="1"/>
    <col min="1744" max="1744" width="4" style="110" customWidth="1"/>
    <col min="1745" max="1745" width="4.21875" style="110" customWidth="1"/>
    <col min="1746" max="1746" width="3.77734375" style="110" customWidth="1"/>
    <col min="1747" max="1797" width="9.21875" style="110"/>
    <col min="1798" max="1798" width="4.77734375" style="110" customWidth="1"/>
    <col min="1799" max="1799" width="34.21875" style="110" customWidth="1"/>
    <col min="1800" max="1800" width="5.21875" style="110" customWidth="1"/>
    <col min="1801" max="1801" width="18.5546875" style="110" customWidth="1"/>
    <col min="1802" max="1802" width="19.44140625" style="110" customWidth="1"/>
    <col min="1803" max="1803" width="8.44140625" style="110" bestFit="1" customWidth="1"/>
    <col min="1804" max="1804" width="22.21875" style="110" customWidth="1"/>
    <col min="1805" max="1805" width="9" style="110" customWidth="1"/>
    <col min="1806" max="1806" width="7" style="110" customWidth="1"/>
    <col min="1807" max="1807" width="8.44140625" style="110" bestFit="1" customWidth="1"/>
    <col min="1808" max="1808" width="21.77734375" style="110" customWidth="1"/>
    <col min="1809" max="1809" width="3.21875" style="110" customWidth="1"/>
    <col min="1810" max="1843" width="2.44140625" style="110" customWidth="1"/>
    <col min="1844" max="1844" width="2.21875" style="110" customWidth="1"/>
    <col min="1845" max="1848" width="2.44140625" style="110" customWidth="1"/>
    <col min="1849" max="1849" width="2.5546875" style="110" customWidth="1"/>
    <col min="1850" max="1851" width="2.44140625" style="110" customWidth="1"/>
    <col min="1852" max="1858" width="4.77734375" style="110" bestFit="1" customWidth="1"/>
    <col min="1859" max="1859" width="4.21875" style="110" bestFit="1" customWidth="1"/>
    <col min="1860" max="1861" width="4.77734375" style="110" bestFit="1" customWidth="1"/>
    <col min="1862" max="1862" width="3.21875" style="110" customWidth="1"/>
    <col min="1863" max="1863" width="2.77734375" style="110" customWidth="1"/>
    <col min="1864" max="1868" width="4.77734375" style="110" bestFit="1" customWidth="1"/>
    <col min="1869" max="1869" width="4.21875" style="110" bestFit="1" customWidth="1"/>
    <col min="1870" max="1878" width="4.77734375" style="110" bestFit="1" customWidth="1"/>
    <col min="1879" max="1879" width="4.21875" style="110" bestFit="1" customWidth="1"/>
    <col min="1880" max="1888" width="4.77734375" style="110" bestFit="1" customWidth="1"/>
    <col min="1889" max="1889" width="4.21875" style="110" bestFit="1" customWidth="1"/>
    <col min="1890" max="1895" width="4.77734375" style="110" bestFit="1" customWidth="1"/>
    <col min="1896" max="1901" width="3" style="110" bestFit="1" customWidth="1"/>
    <col min="1902" max="1902" width="2.77734375" style="110" bestFit="1" customWidth="1"/>
    <col min="1903" max="1912" width="3" style="110" bestFit="1" customWidth="1"/>
    <col min="1913" max="1913" width="2.5546875" style="110" bestFit="1" customWidth="1"/>
    <col min="1914" max="1921" width="2.77734375" style="110" bestFit="1" customWidth="1"/>
    <col min="1922" max="1931" width="2.5546875" style="110" bestFit="1" customWidth="1"/>
    <col min="1932" max="1932" width="2.77734375" style="110" bestFit="1" customWidth="1"/>
    <col min="1933" max="1933" width="2.5546875" style="110" bestFit="1" customWidth="1"/>
    <col min="1934" max="1942" width="2.77734375" style="110" bestFit="1" customWidth="1"/>
    <col min="1943" max="1943" width="2.5546875" style="110" bestFit="1" customWidth="1"/>
    <col min="1944" max="1951" width="2.77734375" style="110" bestFit="1" customWidth="1"/>
    <col min="1952" max="1999" width="2.77734375" style="110" customWidth="1"/>
    <col min="2000" max="2000" width="4" style="110" customWidth="1"/>
    <col min="2001" max="2001" width="4.21875" style="110" customWidth="1"/>
    <col min="2002" max="2002" width="3.77734375" style="110" customWidth="1"/>
    <col min="2003" max="2053" width="9.21875" style="110"/>
    <col min="2054" max="2054" width="4.77734375" style="110" customWidth="1"/>
    <col min="2055" max="2055" width="34.21875" style="110" customWidth="1"/>
    <col min="2056" max="2056" width="5.21875" style="110" customWidth="1"/>
    <col min="2057" max="2057" width="18.5546875" style="110" customWidth="1"/>
    <col min="2058" max="2058" width="19.44140625" style="110" customWidth="1"/>
    <col min="2059" max="2059" width="8.44140625" style="110" bestFit="1" customWidth="1"/>
    <col min="2060" max="2060" width="22.21875" style="110" customWidth="1"/>
    <col min="2061" max="2061" width="9" style="110" customWidth="1"/>
    <col min="2062" max="2062" width="7" style="110" customWidth="1"/>
    <col min="2063" max="2063" width="8.44140625" style="110" bestFit="1" customWidth="1"/>
    <col min="2064" max="2064" width="21.77734375" style="110" customWidth="1"/>
    <col min="2065" max="2065" width="3.21875" style="110" customWidth="1"/>
    <col min="2066" max="2099" width="2.44140625" style="110" customWidth="1"/>
    <col min="2100" max="2100" width="2.21875" style="110" customWidth="1"/>
    <col min="2101" max="2104" width="2.44140625" style="110" customWidth="1"/>
    <col min="2105" max="2105" width="2.5546875" style="110" customWidth="1"/>
    <col min="2106" max="2107" width="2.44140625" style="110" customWidth="1"/>
    <col min="2108" max="2114" width="4.77734375" style="110" bestFit="1" customWidth="1"/>
    <col min="2115" max="2115" width="4.21875" style="110" bestFit="1" customWidth="1"/>
    <col min="2116" max="2117" width="4.77734375" style="110" bestFit="1" customWidth="1"/>
    <col min="2118" max="2118" width="3.21875" style="110" customWidth="1"/>
    <col min="2119" max="2119" width="2.77734375" style="110" customWidth="1"/>
    <col min="2120" max="2124" width="4.77734375" style="110" bestFit="1" customWidth="1"/>
    <col min="2125" max="2125" width="4.21875" style="110" bestFit="1" customWidth="1"/>
    <col min="2126" max="2134" width="4.77734375" style="110" bestFit="1" customWidth="1"/>
    <col min="2135" max="2135" width="4.21875" style="110" bestFit="1" customWidth="1"/>
    <col min="2136" max="2144" width="4.77734375" style="110" bestFit="1" customWidth="1"/>
    <col min="2145" max="2145" width="4.21875" style="110" bestFit="1" customWidth="1"/>
    <col min="2146" max="2151" width="4.77734375" style="110" bestFit="1" customWidth="1"/>
    <col min="2152" max="2157" width="3" style="110" bestFit="1" customWidth="1"/>
    <col min="2158" max="2158" width="2.77734375" style="110" bestFit="1" customWidth="1"/>
    <col min="2159" max="2168" width="3" style="110" bestFit="1" customWidth="1"/>
    <col min="2169" max="2169" width="2.5546875" style="110" bestFit="1" customWidth="1"/>
    <col min="2170" max="2177" width="2.77734375" style="110" bestFit="1" customWidth="1"/>
    <col min="2178" max="2187" width="2.5546875" style="110" bestFit="1" customWidth="1"/>
    <col min="2188" max="2188" width="2.77734375" style="110" bestFit="1" customWidth="1"/>
    <col min="2189" max="2189" width="2.5546875" style="110" bestFit="1" customWidth="1"/>
    <col min="2190" max="2198" width="2.77734375" style="110" bestFit="1" customWidth="1"/>
    <col min="2199" max="2199" width="2.5546875" style="110" bestFit="1" customWidth="1"/>
    <col min="2200" max="2207" width="2.77734375" style="110" bestFit="1" customWidth="1"/>
    <col min="2208" max="2255" width="2.77734375" style="110" customWidth="1"/>
    <col min="2256" max="2256" width="4" style="110" customWidth="1"/>
    <col min="2257" max="2257" width="4.21875" style="110" customWidth="1"/>
    <col min="2258" max="2258" width="3.77734375" style="110" customWidth="1"/>
    <col min="2259" max="2309" width="9.21875" style="110"/>
    <col min="2310" max="2310" width="4.77734375" style="110" customWidth="1"/>
    <col min="2311" max="2311" width="34.21875" style="110" customWidth="1"/>
    <col min="2312" max="2312" width="5.21875" style="110" customWidth="1"/>
    <col min="2313" max="2313" width="18.5546875" style="110" customWidth="1"/>
    <col min="2314" max="2314" width="19.44140625" style="110" customWidth="1"/>
    <col min="2315" max="2315" width="8.44140625" style="110" bestFit="1" customWidth="1"/>
    <col min="2316" max="2316" width="22.21875" style="110" customWidth="1"/>
    <col min="2317" max="2317" width="9" style="110" customWidth="1"/>
    <col min="2318" max="2318" width="7" style="110" customWidth="1"/>
    <col min="2319" max="2319" width="8.44140625" style="110" bestFit="1" customWidth="1"/>
    <col min="2320" max="2320" width="21.77734375" style="110" customWidth="1"/>
    <col min="2321" max="2321" width="3.21875" style="110" customWidth="1"/>
    <col min="2322" max="2355" width="2.44140625" style="110" customWidth="1"/>
    <col min="2356" max="2356" width="2.21875" style="110" customWidth="1"/>
    <col min="2357" max="2360" width="2.44140625" style="110" customWidth="1"/>
    <col min="2361" max="2361" width="2.5546875" style="110" customWidth="1"/>
    <col min="2362" max="2363" width="2.44140625" style="110" customWidth="1"/>
    <col min="2364" max="2370" width="4.77734375" style="110" bestFit="1" customWidth="1"/>
    <col min="2371" max="2371" width="4.21875" style="110" bestFit="1" customWidth="1"/>
    <col min="2372" max="2373" width="4.77734375" style="110" bestFit="1" customWidth="1"/>
    <col min="2374" max="2374" width="3.21875" style="110" customWidth="1"/>
    <col min="2375" max="2375" width="2.77734375" style="110" customWidth="1"/>
    <col min="2376" max="2380" width="4.77734375" style="110" bestFit="1" customWidth="1"/>
    <col min="2381" max="2381" width="4.21875" style="110" bestFit="1" customWidth="1"/>
    <col min="2382" max="2390" width="4.77734375" style="110" bestFit="1" customWidth="1"/>
    <col min="2391" max="2391" width="4.21875" style="110" bestFit="1" customWidth="1"/>
    <col min="2392" max="2400" width="4.77734375" style="110" bestFit="1" customWidth="1"/>
    <col min="2401" max="2401" width="4.21875" style="110" bestFit="1" customWidth="1"/>
    <col min="2402" max="2407" width="4.77734375" style="110" bestFit="1" customWidth="1"/>
    <col min="2408" max="2413" width="3" style="110" bestFit="1" customWidth="1"/>
    <col min="2414" max="2414" width="2.77734375" style="110" bestFit="1" customWidth="1"/>
    <col min="2415" max="2424" width="3" style="110" bestFit="1" customWidth="1"/>
    <col min="2425" max="2425" width="2.5546875" style="110" bestFit="1" customWidth="1"/>
    <col min="2426" max="2433" width="2.77734375" style="110" bestFit="1" customWidth="1"/>
    <col min="2434" max="2443" width="2.5546875" style="110" bestFit="1" customWidth="1"/>
    <col min="2444" max="2444" width="2.77734375" style="110" bestFit="1" customWidth="1"/>
    <col min="2445" max="2445" width="2.5546875" style="110" bestFit="1" customWidth="1"/>
    <col min="2446" max="2454" width="2.77734375" style="110" bestFit="1" customWidth="1"/>
    <col min="2455" max="2455" width="2.5546875" style="110" bestFit="1" customWidth="1"/>
    <col min="2456" max="2463" width="2.77734375" style="110" bestFit="1" customWidth="1"/>
    <col min="2464" max="2511" width="2.77734375" style="110" customWidth="1"/>
    <col min="2512" max="2512" width="4" style="110" customWidth="1"/>
    <col min="2513" max="2513" width="4.21875" style="110" customWidth="1"/>
    <col min="2514" max="2514" width="3.77734375" style="110" customWidth="1"/>
    <col min="2515" max="2565" width="9.21875" style="110"/>
    <col min="2566" max="2566" width="4.77734375" style="110" customWidth="1"/>
    <col min="2567" max="2567" width="34.21875" style="110" customWidth="1"/>
    <col min="2568" max="2568" width="5.21875" style="110" customWidth="1"/>
    <col min="2569" max="2569" width="18.5546875" style="110" customWidth="1"/>
    <col min="2570" max="2570" width="19.44140625" style="110" customWidth="1"/>
    <col min="2571" max="2571" width="8.44140625" style="110" bestFit="1" customWidth="1"/>
    <col min="2572" max="2572" width="22.21875" style="110" customWidth="1"/>
    <col min="2573" max="2573" width="9" style="110" customWidth="1"/>
    <col min="2574" max="2574" width="7" style="110" customWidth="1"/>
    <col min="2575" max="2575" width="8.44140625" style="110" bestFit="1" customWidth="1"/>
    <col min="2576" max="2576" width="21.77734375" style="110" customWidth="1"/>
    <col min="2577" max="2577" width="3.21875" style="110" customWidth="1"/>
    <col min="2578" max="2611" width="2.44140625" style="110" customWidth="1"/>
    <col min="2612" max="2612" width="2.21875" style="110" customWidth="1"/>
    <col min="2613" max="2616" width="2.44140625" style="110" customWidth="1"/>
    <col min="2617" max="2617" width="2.5546875" style="110" customWidth="1"/>
    <col min="2618" max="2619" width="2.44140625" style="110" customWidth="1"/>
    <col min="2620" max="2626" width="4.77734375" style="110" bestFit="1" customWidth="1"/>
    <col min="2627" max="2627" width="4.21875" style="110" bestFit="1" customWidth="1"/>
    <col min="2628" max="2629" width="4.77734375" style="110" bestFit="1" customWidth="1"/>
    <col min="2630" max="2630" width="3.21875" style="110" customWidth="1"/>
    <col min="2631" max="2631" width="2.77734375" style="110" customWidth="1"/>
    <col min="2632" max="2636" width="4.77734375" style="110" bestFit="1" customWidth="1"/>
    <col min="2637" max="2637" width="4.21875" style="110" bestFit="1" customWidth="1"/>
    <col min="2638" max="2646" width="4.77734375" style="110" bestFit="1" customWidth="1"/>
    <col min="2647" max="2647" width="4.21875" style="110" bestFit="1" customWidth="1"/>
    <col min="2648" max="2656" width="4.77734375" style="110" bestFit="1" customWidth="1"/>
    <col min="2657" max="2657" width="4.21875" style="110" bestFit="1" customWidth="1"/>
    <col min="2658" max="2663" width="4.77734375" style="110" bestFit="1" customWidth="1"/>
    <col min="2664" max="2669" width="3" style="110" bestFit="1" customWidth="1"/>
    <col min="2670" max="2670" width="2.77734375" style="110" bestFit="1" customWidth="1"/>
    <col min="2671" max="2680" width="3" style="110" bestFit="1" customWidth="1"/>
    <col min="2681" max="2681" width="2.5546875" style="110" bestFit="1" customWidth="1"/>
    <col min="2682" max="2689" width="2.77734375" style="110" bestFit="1" customWidth="1"/>
    <col min="2690" max="2699" width="2.5546875" style="110" bestFit="1" customWidth="1"/>
    <col min="2700" max="2700" width="2.77734375" style="110" bestFit="1" customWidth="1"/>
    <col min="2701" max="2701" width="2.5546875" style="110" bestFit="1" customWidth="1"/>
    <col min="2702" max="2710" width="2.77734375" style="110" bestFit="1" customWidth="1"/>
    <col min="2711" max="2711" width="2.5546875" style="110" bestFit="1" customWidth="1"/>
    <col min="2712" max="2719" width="2.77734375" style="110" bestFit="1" customWidth="1"/>
    <col min="2720" max="2767" width="2.77734375" style="110" customWidth="1"/>
    <col min="2768" max="2768" width="4" style="110" customWidth="1"/>
    <col min="2769" max="2769" width="4.21875" style="110" customWidth="1"/>
    <col min="2770" max="2770" width="3.77734375" style="110" customWidth="1"/>
    <col min="2771" max="2821" width="9.21875" style="110"/>
    <col min="2822" max="2822" width="4.77734375" style="110" customWidth="1"/>
    <col min="2823" max="2823" width="34.21875" style="110" customWidth="1"/>
    <col min="2824" max="2824" width="5.21875" style="110" customWidth="1"/>
    <col min="2825" max="2825" width="18.5546875" style="110" customWidth="1"/>
    <col min="2826" max="2826" width="19.44140625" style="110" customWidth="1"/>
    <col min="2827" max="2827" width="8.44140625" style="110" bestFit="1" customWidth="1"/>
    <col min="2828" max="2828" width="22.21875" style="110" customWidth="1"/>
    <col min="2829" max="2829" width="9" style="110" customWidth="1"/>
    <col min="2830" max="2830" width="7" style="110" customWidth="1"/>
    <col min="2831" max="2831" width="8.44140625" style="110" bestFit="1" customWidth="1"/>
    <col min="2832" max="2832" width="21.77734375" style="110" customWidth="1"/>
    <col min="2833" max="2833" width="3.21875" style="110" customWidth="1"/>
    <col min="2834" max="2867" width="2.44140625" style="110" customWidth="1"/>
    <col min="2868" max="2868" width="2.21875" style="110" customWidth="1"/>
    <col min="2869" max="2872" width="2.44140625" style="110" customWidth="1"/>
    <col min="2873" max="2873" width="2.5546875" style="110" customWidth="1"/>
    <col min="2874" max="2875" width="2.44140625" style="110" customWidth="1"/>
    <col min="2876" max="2882" width="4.77734375" style="110" bestFit="1" customWidth="1"/>
    <col min="2883" max="2883" width="4.21875" style="110" bestFit="1" customWidth="1"/>
    <col min="2884" max="2885" width="4.77734375" style="110" bestFit="1" customWidth="1"/>
    <col min="2886" max="2886" width="3.21875" style="110" customWidth="1"/>
    <col min="2887" max="2887" width="2.77734375" style="110" customWidth="1"/>
    <col min="2888" max="2892" width="4.77734375" style="110" bestFit="1" customWidth="1"/>
    <col min="2893" max="2893" width="4.21875" style="110" bestFit="1" customWidth="1"/>
    <col min="2894" max="2902" width="4.77734375" style="110" bestFit="1" customWidth="1"/>
    <col min="2903" max="2903" width="4.21875" style="110" bestFit="1" customWidth="1"/>
    <col min="2904" max="2912" width="4.77734375" style="110" bestFit="1" customWidth="1"/>
    <col min="2913" max="2913" width="4.21875" style="110" bestFit="1" customWidth="1"/>
    <col min="2914" max="2919" width="4.77734375" style="110" bestFit="1" customWidth="1"/>
    <col min="2920" max="2925" width="3" style="110" bestFit="1" customWidth="1"/>
    <col min="2926" max="2926" width="2.77734375" style="110" bestFit="1" customWidth="1"/>
    <col min="2927" max="2936" width="3" style="110" bestFit="1" customWidth="1"/>
    <col min="2937" max="2937" width="2.5546875" style="110" bestFit="1" customWidth="1"/>
    <col min="2938" max="2945" width="2.77734375" style="110" bestFit="1" customWidth="1"/>
    <col min="2946" max="2955" width="2.5546875" style="110" bestFit="1" customWidth="1"/>
    <col min="2956" max="2956" width="2.77734375" style="110" bestFit="1" customWidth="1"/>
    <col min="2957" max="2957" width="2.5546875" style="110" bestFit="1" customWidth="1"/>
    <col min="2958" max="2966" width="2.77734375" style="110" bestFit="1" customWidth="1"/>
    <col min="2967" max="2967" width="2.5546875" style="110" bestFit="1" customWidth="1"/>
    <col min="2968" max="2975" width="2.77734375" style="110" bestFit="1" customWidth="1"/>
    <col min="2976" max="3023" width="2.77734375" style="110" customWidth="1"/>
    <col min="3024" max="3024" width="4" style="110" customWidth="1"/>
    <col min="3025" max="3025" width="4.21875" style="110" customWidth="1"/>
    <col min="3026" max="3026" width="3.77734375" style="110" customWidth="1"/>
    <col min="3027" max="3077" width="9.21875" style="110"/>
    <col min="3078" max="3078" width="4.77734375" style="110" customWidth="1"/>
    <col min="3079" max="3079" width="34.21875" style="110" customWidth="1"/>
    <col min="3080" max="3080" width="5.21875" style="110" customWidth="1"/>
    <col min="3081" max="3081" width="18.5546875" style="110" customWidth="1"/>
    <col min="3082" max="3082" width="19.44140625" style="110" customWidth="1"/>
    <col min="3083" max="3083" width="8.44140625" style="110" bestFit="1" customWidth="1"/>
    <col min="3084" max="3084" width="22.21875" style="110" customWidth="1"/>
    <col min="3085" max="3085" width="9" style="110" customWidth="1"/>
    <col min="3086" max="3086" width="7" style="110" customWidth="1"/>
    <col min="3087" max="3087" width="8.44140625" style="110" bestFit="1" customWidth="1"/>
    <col min="3088" max="3088" width="21.77734375" style="110" customWidth="1"/>
    <col min="3089" max="3089" width="3.21875" style="110" customWidth="1"/>
    <col min="3090" max="3123" width="2.44140625" style="110" customWidth="1"/>
    <col min="3124" max="3124" width="2.21875" style="110" customWidth="1"/>
    <col min="3125" max="3128" width="2.44140625" style="110" customWidth="1"/>
    <col min="3129" max="3129" width="2.5546875" style="110" customWidth="1"/>
    <col min="3130" max="3131" width="2.44140625" style="110" customWidth="1"/>
    <col min="3132" max="3138" width="4.77734375" style="110" bestFit="1" customWidth="1"/>
    <col min="3139" max="3139" width="4.21875" style="110" bestFit="1" customWidth="1"/>
    <col min="3140" max="3141" width="4.77734375" style="110" bestFit="1" customWidth="1"/>
    <col min="3142" max="3142" width="3.21875" style="110" customWidth="1"/>
    <col min="3143" max="3143" width="2.77734375" style="110" customWidth="1"/>
    <col min="3144" max="3148" width="4.77734375" style="110" bestFit="1" customWidth="1"/>
    <col min="3149" max="3149" width="4.21875" style="110" bestFit="1" customWidth="1"/>
    <col min="3150" max="3158" width="4.77734375" style="110" bestFit="1" customWidth="1"/>
    <col min="3159" max="3159" width="4.21875" style="110" bestFit="1" customWidth="1"/>
    <col min="3160" max="3168" width="4.77734375" style="110" bestFit="1" customWidth="1"/>
    <col min="3169" max="3169" width="4.21875" style="110" bestFit="1" customWidth="1"/>
    <col min="3170" max="3175" width="4.77734375" style="110" bestFit="1" customWidth="1"/>
    <col min="3176" max="3181" width="3" style="110" bestFit="1" customWidth="1"/>
    <col min="3182" max="3182" width="2.77734375" style="110" bestFit="1" customWidth="1"/>
    <col min="3183" max="3192" width="3" style="110" bestFit="1" customWidth="1"/>
    <col min="3193" max="3193" width="2.5546875" style="110" bestFit="1" customWidth="1"/>
    <col min="3194" max="3201" width="2.77734375" style="110" bestFit="1" customWidth="1"/>
    <col min="3202" max="3211" width="2.5546875" style="110" bestFit="1" customWidth="1"/>
    <col min="3212" max="3212" width="2.77734375" style="110" bestFit="1" customWidth="1"/>
    <col min="3213" max="3213" width="2.5546875" style="110" bestFit="1" customWidth="1"/>
    <col min="3214" max="3222" width="2.77734375" style="110" bestFit="1" customWidth="1"/>
    <col min="3223" max="3223" width="2.5546875" style="110" bestFit="1" customWidth="1"/>
    <col min="3224" max="3231" width="2.77734375" style="110" bestFit="1" customWidth="1"/>
    <col min="3232" max="3279" width="2.77734375" style="110" customWidth="1"/>
    <col min="3280" max="3280" width="4" style="110" customWidth="1"/>
    <col min="3281" max="3281" width="4.21875" style="110" customWidth="1"/>
    <col min="3282" max="3282" width="3.77734375" style="110" customWidth="1"/>
    <col min="3283" max="3333" width="9.21875" style="110"/>
    <col min="3334" max="3334" width="4.77734375" style="110" customWidth="1"/>
    <col min="3335" max="3335" width="34.21875" style="110" customWidth="1"/>
    <col min="3336" max="3336" width="5.21875" style="110" customWidth="1"/>
    <col min="3337" max="3337" width="18.5546875" style="110" customWidth="1"/>
    <col min="3338" max="3338" width="19.44140625" style="110" customWidth="1"/>
    <col min="3339" max="3339" width="8.44140625" style="110" bestFit="1" customWidth="1"/>
    <col min="3340" max="3340" width="22.21875" style="110" customWidth="1"/>
    <col min="3341" max="3341" width="9" style="110" customWidth="1"/>
    <col min="3342" max="3342" width="7" style="110" customWidth="1"/>
    <col min="3343" max="3343" width="8.44140625" style="110" bestFit="1" customWidth="1"/>
    <col min="3344" max="3344" width="21.77734375" style="110" customWidth="1"/>
    <col min="3345" max="3345" width="3.21875" style="110" customWidth="1"/>
    <col min="3346" max="3379" width="2.44140625" style="110" customWidth="1"/>
    <col min="3380" max="3380" width="2.21875" style="110" customWidth="1"/>
    <col min="3381" max="3384" width="2.44140625" style="110" customWidth="1"/>
    <col min="3385" max="3385" width="2.5546875" style="110" customWidth="1"/>
    <col min="3386" max="3387" width="2.44140625" style="110" customWidth="1"/>
    <col min="3388" max="3394" width="4.77734375" style="110" bestFit="1" customWidth="1"/>
    <col min="3395" max="3395" width="4.21875" style="110" bestFit="1" customWidth="1"/>
    <col min="3396" max="3397" width="4.77734375" style="110" bestFit="1" customWidth="1"/>
    <col min="3398" max="3398" width="3.21875" style="110" customWidth="1"/>
    <col min="3399" max="3399" width="2.77734375" style="110" customWidth="1"/>
    <col min="3400" max="3404" width="4.77734375" style="110" bestFit="1" customWidth="1"/>
    <col min="3405" max="3405" width="4.21875" style="110" bestFit="1" customWidth="1"/>
    <col min="3406" max="3414" width="4.77734375" style="110" bestFit="1" customWidth="1"/>
    <col min="3415" max="3415" width="4.21875" style="110" bestFit="1" customWidth="1"/>
    <col min="3416" max="3424" width="4.77734375" style="110" bestFit="1" customWidth="1"/>
    <col min="3425" max="3425" width="4.21875" style="110" bestFit="1" customWidth="1"/>
    <col min="3426" max="3431" width="4.77734375" style="110" bestFit="1" customWidth="1"/>
    <col min="3432" max="3437" width="3" style="110" bestFit="1" customWidth="1"/>
    <col min="3438" max="3438" width="2.77734375" style="110" bestFit="1" customWidth="1"/>
    <col min="3439" max="3448" width="3" style="110" bestFit="1" customWidth="1"/>
    <col min="3449" max="3449" width="2.5546875" style="110" bestFit="1" customWidth="1"/>
    <col min="3450" max="3457" width="2.77734375" style="110" bestFit="1" customWidth="1"/>
    <col min="3458" max="3467" width="2.5546875" style="110" bestFit="1" customWidth="1"/>
    <col min="3468" max="3468" width="2.77734375" style="110" bestFit="1" customWidth="1"/>
    <col min="3469" max="3469" width="2.5546875" style="110" bestFit="1" customWidth="1"/>
    <col min="3470" max="3478" width="2.77734375" style="110" bestFit="1" customWidth="1"/>
    <col min="3479" max="3479" width="2.5546875" style="110" bestFit="1" customWidth="1"/>
    <col min="3480" max="3487" width="2.77734375" style="110" bestFit="1" customWidth="1"/>
    <col min="3488" max="3535" width="2.77734375" style="110" customWidth="1"/>
    <col min="3536" max="3536" width="4" style="110" customWidth="1"/>
    <col min="3537" max="3537" width="4.21875" style="110" customWidth="1"/>
    <col min="3538" max="3538" width="3.77734375" style="110" customWidth="1"/>
    <col min="3539" max="3589" width="9.21875" style="110"/>
    <col min="3590" max="3590" width="4.77734375" style="110" customWidth="1"/>
    <col min="3591" max="3591" width="34.21875" style="110" customWidth="1"/>
    <col min="3592" max="3592" width="5.21875" style="110" customWidth="1"/>
    <col min="3593" max="3593" width="18.5546875" style="110" customWidth="1"/>
    <col min="3594" max="3594" width="19.44140625" style="110" customWidth="1"/>
    <col min="3595" max="3595" width="8.44140625" style="110" bestFit="1" customWidth="1"/>
    <col min="3596" max="3596" width="22.21875" style="110" customWidth="1"/>
    <col min="3597" max="3597" width="9" style="110" customWidth="1"/>
    <col min="3598" max="3598" width="7" style="110" customWidth="1"/>
    <col min="3599" max="3599" width="8.44140625" style="110" bestFit="1" customWidth="1"/>
    <col min="3600" max="3600" width="21.77734375" style="110" customWidth="1"/>
    <col min="3601" max="3601" width="3.21875" style="110" customWidth="1"/>
    <col min="3602" max="3635" width="2.44140625" style="110" customWidth="1"/>
    <col min="3636" max="3636" width="2.21875" style="110" customWidth="1"/>
    <col min="3637" max="3640" width="2.44140625" style="110" customWidth="1"/>
    <col min="3641" max="3641" width="2.5546875" style="110" customWidth="1"/>
    <col min="3642" max="3643" width="2.44140625" style="110" customWidth="1"/>
    <col min="3644" max="3650" width="4.77734375" style="110" bestFit="1" customWidth="1"/>
    <col min="3651" max="3651" width="4.21875" style="110" bestFit="1" customWidth="1"/>
    <col min="3652" max="3653" width="4.77734375" style="110" bestFit="1" customWidth="1"/>
    <col min="3654" max="3654" width="3.21875" style="110" customWidth="1"/>
    <col min="3655" max="3655" width="2.77734375" style="110" customWidth="1"/>
    <col min="3656" max="3660" width="4.77734375" style="110" bestFit="1" customWidth="1"/>
    <col min="3661" max="3661" width="4.21875" style="110" bestFit="1" customWidth="1"/>
    <col min="3662" max="3670" width="4.77734375" style="110" bestFit="1" customWidth="1"/>
    <col min="3671" max="3671" width="4.21875" style="110" bestFit="1" customWidth="1"/>
    <col min="3672" max="3680" width="4.77734375" style="110" bestFit="1" customWidth="1"/>
    <col min="3681" max="3681" width="4.21875" style="110" bestFit="1" customWidth="1"/>
    <col min="3682" max="3687" width="4.77734375" style="110" bestFit="1" customWidth="1"/>
    <col min="3688" max="3693" width="3" style="110" bestFit="1" customWidth="1"/>
    <col min="3694" max="3694" width="2.77734375" style="110" bestFit="1" customWidth="1"/>
    <col min="3695" max="3704" width="3" style="110" bestFit="1" customWidth="1"/>
    <col min="3705" max="3705" width="2.5546875" style="110" bestFit="1" customWidth="1"/>
    <col min="3706" max="3713" width="2.77734375" style="110" bestFit="1" customWidth="1"/>
    <col min="3714" max="3723" width="2.5546875" style="110" bestFit="1" customWidth="1"/>
    <col min="3724" max="3724" width="2.77734375" style="110" bestFit="1" customWidth="1"/>
    <col min="3725" max="3725" width="2.5546875" style="110" bestFit="1" customWidth="1"/>
    <col min="3726" max="3734" width="2.77734375" style="110" bestFit="1" customWidth="1"/>
    <col min="3735" max="3735" width="2.5546875" style="110" bestFit="1" customWidth="1"/>
    <col min="3736" max="3743" width="2.77734375" style="110" bestFit="1" customWidth="1"/>
    <col min="3744" max="3791" width="2.77734375" style="110" customWidth="1"/>
    <col min="3792" max="3792" width="4" style="110" customWidth="1"/>
    <col min="3793" max="3793" width="4.21875" style="110" customWidth="1"/>
    <col min="3794" max="3794" width="3.77734375" style="110" customWidth="1"/>
    <col min="3795" max="3845" width="9.21875" style="110"/>
    <col min="3846" max="3846" width="4.77734375" style="110" customWidth="1"/>
    <col min="3847" max="3847" width="34.21875" style="110" customWidth="1"/>
    <col min="3848" max="3848" width="5.21875" style="110" customWidth="1"/>
    <col min="3849" max="3849" width="18.5546875" style="110" customWidth="1"/>
    <col min="3850" max="3850" width="19.44140625" style="110" customWidth="1"/>
    <col min="3851" max="3851" width="8.44140625" style="110" bestFit="1" customWidth="1"/>
    <col min="3852" max="3852" width="22.21875" style="110" customWidth="1"/>
    <col min="3853" max="3853" width="9" style="110" customWidth="1"/>
    <col min="3854" max="3854" width="7" style="110" customWidth="1"/>
    <col min="3855" max="3855" width="8.44140625" style="110" bestFit="1" customWidth="1"/>
    <col min="3856" max="3856" width="21.77734375" style="110" customWidth="1"/>
    <col min="3857" max="3857" width="3.21875" style="110" customWidth="1"/>
    <col min="3858" max="3891" width="2.44140625" style="110" customWidth="1"/>
    <col min="3892" max="3892" width="2.21875" style="110" customWidth="1"/>
    <col min="3893" max="3896" width="2.44140625" style="110" customWidth="1"/>
    <col min="3897" max="3897" width="2.5546875" style="110" customWidth="1"/>
    <col min="3898" max="3899" width="2.44140625" style="110" customWidth="1"/>
    <col min="3900" max="3906" width="4.77734375" style="110" bestFit="1" customWidth="1"/>
    <col min="3907" max="3907" width="4.21875" style="110" bestFit="1" customWidth="1"/>
    <col min="3908" max="3909" width="4.77734375" style="110" bestFit="1" customWidth="1"/>
    <col min="3910" max="3910" width="3.21875" style="110" customWidth="1"/>
    <col min="3911" max="3911" width="2.77734375" style="110" customWidth="1"/>
    <col min="3912" max="3916" width="4.77734375" style="110" bestFit="1" customWidth="1"/>
    <col min="3917" max="3917" width="4.21875" style="110" bestFit="1" customWidth="1"/>
    <col min="3918" max="3926" width="4.77734375" style="110" bestFit="1" customWidth="1"/>
    <col min="3927" max="3927" width="4.21875" style="110" bestFit="1" customWidth="1"/>
    <col min="3928" max="3936" width="4.77734375" style="110" bestFit="1" customWidth="1"/>
    <col min="3937" max="3937" width="4.21875" style="110" bestFit="1" customWidth="1"/>
    <col min="3938" max="3943" width="4.77734375" style="110" bestFit="1" customWidth="1"/>
    <col min="3944" max="3949" width="3" style="110" bestFit="1" customWidth="1"/>
    <col min="3950" max="3950" width="2.77734375" style="110" bestFit="1" customWidth="1"/>
    <col min="3951" max="3960" width="3" style="110" bestFit="1" customWidth="1"/>
    <col min="3961" max="3961" width="2.5546875" style="110" bestFit="1" customWidth="1"/>
    <col min="3962" max="3969" width="2.77734375" style="110" bestFit="1" customWidth="1"/>
    <col min="3970" max="3979" width="2.5546875" style="110" bestFit="1" customWidth="1"/>
    <col min="3980" max="3980" width="2.77734375" style="110" bestFit="1" customWidth="1"/>
    <col min="3981" max="3981" width="2.5546875" style="110" bestFit="1" customWidth="1"/>
    <col min="3982" max="3990" width="2.77734375" style="110" bestFit="1" customWidth="1"/>
    <col min="3991" max="3991" width="2.5546875" style="110" bestFit="1" customWidth="1"/>
    <col min="3992" max="3999" width="2.77734375" style="110" bestFit="1" customWidth="1"/>
    <col min="4000" max="4047" width="2.77734375" style="110" customWidth="1"/>
    <col min="4048" max="4048" width="4" style="110" customWidth="1"/>
    <col min="4049" max="4049" width="4.21875" style="110" customWidth="1"/>
    <col min="4050" max="4050" width="3.77734375" style="110" customWidth="1"/>
    <col min="4051" max="4101" width="9.21875" style="110"/>
    <col min="4102" max="4102" width="4.77734375" style="110" customWidth="1"/>
    <col min="4103" max="4103" width="34.21875" style="110" customWidth="1"/>
    <col min="4104" max="4104" width="5.21875" style="110" customWidth="1"/>
    <col min="4105" max="4105" width="18.5546875" style="110" customWidth="1"/>
    <col min="4106" max="4106" width="19.44140625" style="110" customWidth="1"/>
    <col min="4107" max="4107" width="8.44140625" style="110" bestFit="1" customWidth="1"/>
    <col min="4108" max="4108" width="22.21875" style="110" customWidth="1"/>
    <col min="4109" max="4109" width="9" style="110" customWidth="1"/>
    <col min="4110" max="4110" width="7" style="110" customWidth="1"/>
    <col min="4111" max="4111" width="8.44140625" style="110" bestFit="1" customWidth="1"/>
    <col min="4112" max="4112" width="21.77734375" style="110" customWidth="1"/>
    <col min="4113" max="4113" width="3.21875" style="110" customWidth="1"/>
    <col min="4114" max="4147" width="2.44140625" style="110" customWidth="1"/>
    <col min="4148" max="4148" width="2.21875" style="110" customWidth="1"/>
    <col min="4149" max="4152" width="2.44140625" style="110" customWidth="1"/>
    <col min="4153" max="4153" width="2.5546875" style="110" customWidth="1"/>
    <col min="4154" max="4155" width="2.44140625" style="110" customWidth="1"/>
    <col min="4156" max="4162" width="4.77734375" style="110" bestFit="1" customWidth="1"/>
    <col min="4163" max="4163" width="4.21875" style="110" bestFit="1" customWidth="1"/>
    <col min="4164" max="4165" width="4.77734375" style="110" bestFit="1" customWidth="1"/>
    <col min="4166" max="4166" width="3.21875" style="110" customWidth="1"/>
    <col min="4167" max="4167" width="2.77734375" style="110" customWidth="1"/>
    <col min="4168" max="4172" width="4.77734375" style="110" bestFit="1" customWidth="1"/>
    <col min="4173" max="4173" width="4.21875" style="110" bestFit="1" customWidth="1"/>
    <col min="4174" max="4182" width="4.77734375" style="110" bestFit="1" customWidth="1"/>
    <col min="4183" max="4183" width="4.21875" style="110" bestFit="1" customWidth="1"/>
    <col min="4184" max="4192" width="4.77734375" style="110" bestFit="1" customWidth="1"/>
    <col min="4193" max="4193" width="4.21875" style="110" bestFit="1" customWidth="1"/>
    <col min="4194" max="4199" width="4.77734375" style="110" bestFit="1" customWidth="1"/>
    <col min="4200" max="4205" width="3" style="110" bestFit="1" customWidth="1"/>
    <col min="4206" max="4206" width="2.77734375" style="110" bestFit="1" customWidth="1"/>
    <col min="4207" max="4216" width="3" style="110" bestFit="1" customWidth="1"/>
    <col min="4217" max="4217" width="2.5546875" style="110" bestFit="1" customWidth="1"/>
    <col min="4218" max="4225" width="2.77734375" style="110" bestFit="1" customWidth="1"/>
    <col min="4226" max="4235" width="2.5546875" style="110" bestFit="1" customWidth="1"/>
    <col min="4236" max="4236" width="2.77734375" style="110" bestFit="1" customWidth="1"/>
    <col min="4237" max="4237" width="2.5546875" style="110" bestFit="1" customWidth="1"/>
    <col min="4238" max="4246" width="2.77734375" style="110" bestFit="1" customWidth="1"/>
    <col min="4247" max="4247" width="2.5546875" style="110" bestFit="1" customWidth="1"/>
    <col min="4248" max="4255" width="2.77734375" style="110" bestFit="1" customWidth="1"/>
    <col min="4256" max="4303" width="2.77734375" style="110" customWidth="1"/>
    <col min="4304" max="4304" width="4" style="110" customWidth="1"/>
    <col min="4305" max="4305" width="4.21875" style="110" customWidth="1"/>
    <col min="4306" max="4306" width="3.77734375" style="110" customWidth="1"/>
    <col min="4307" max="4357" width="9.21875" style="110"/>
    <col min="4358" max="4358" width="4.77734375" style="110" customWidth="1"/>
    <col min="4359" max="4359" width="34.21875" style="110" customWidth="1"/>
    <col min="4360" max="4360" width="5.21875" style="110" customWidth="1"/>
    <col min="4361" max="4361" width="18.5546875" style="110" customWidth="1"/>
    <col min="4362" max="4362" width="19.44140625" style="110" customWidth="1"/>
    <col min="4363" max="4363" width="8.44140625" style="110" bestFit="1" customWidth="1"/>
    <col min="4364" max="4364" width="22.21875" style="110" customWidth="1"/>
    <col min="4365" max="4365" width="9" style="110" customWidth="1"/>
    <col min="4366" max="4366" width="7" style="110" customWidth="1"/>
    <col min="4367" max="4367" width="8.44140625" style="110" bestFit="1" customWidth="1"/>
    <col min="4368" max="4368" width="21.77734375" style="110" customWidth="1"/>
    <col min="4369" max="4369" width="3.21875" style="110" customWidth="1"/>
    <col min="4370" max="4403" width="2.44140625" style="110" customWidth="1"/>
    <col min="4404" max="4404" width="2.21875" style="110" customWidth="1"/>
    <col min="4405" max="4408" width="2.44140625" style="110" customWidth="1"/>
    <col min="4409" max="4409" width="2.5546875" style="110" customWidth="1"/>
    <col min="4410" max="4411" width="2.44140625" style="110" customWidth="1"/>
    <col min="4412" max="4418" width="4.77734375" style="110" bestFit="1" customWidth="1"/>
    <col min="4419" max="4419" width="4.21875" style="110" bestFit="1" customWidth="1"/>
    <col min="4420" max="4421" width="4.77734375" style="110" bestFit="1" customWidth="1"/>
    <col min="4422" max="4422" width="3.21875" style="110" customWidth="1"/>
    <col min="4423" max="4423" width="2.77734375" style="110" customWidth="1"/>
    <col min="4424" max="4428" width="4.77734375" style="110" bestFit="1" customWidth="1"/>
    <col min="4429" max="4429" width="4.21875" style="110" bestFit="1" customWidth="1"/>
    <col min="4430" max="4438" width="4.77734375" style="110" bestFit="1" customWidth="1"/>
    <col min="4439" max="4439" width="4.21875" style="110" bestFit="1" customWidth="1"/>
    <col min="4440" max="4448" width="4.77734375" style="110" bestFit="1" customWidth="1"/>
    <col min="4449" max="4449" width="4.21875" style="110" bestFit="1" customWidth="1"/>
    <col min="4450" max="4455" width="4.77734375" style="110" bestFit="1" customWidth="1"/>
    <col min="4456" max="4461" width="3" style="110" bestFit="1" customWidth="1"/>
    <col min="4462" max="4462" width="2.77734375" style="110" bestFit="1" customWidth="1"/>
    <col min="4463" max="4472" width="3" style="110" bestFit="1" customWidth="1"/>
    <col min="4473" max="4473" width="2.5546875" style="110" bestFit="1" customWidth="1"/>
    <col min="4474" max="4481" width="2.77734375" style="110" bestFit="1" customWidth="1"/>
    <col min="4482" max="4491" width="2.5546875" style="110" bestFit="1" customWidth="1"/>
    <col min="4492" max="4492" width="2.77734375" style="110" bestFit="1" customWidth="1"/>
    <col min="4493" max="4493" width="2.5546875" style="110" bestFit="1" customWidth="1"/>
    <col min="4494" max="4502" width="2.77734375" style="110" bestFit="1" customWidth="1"/>
    <col min="4503" max="4503" width="2.5546875" style="110" bestFit="1" customWidth="1"/>
    <col min="4504" max="4511" width="2.77734375" style="110" bestFit="1" customWidth="1"/>
    <col min="4512" max="4559" width="2.77734375" style="110" customWidth="1"/>
    <col min="4560" max="4560" width="4" style="110" customWidth="1"/>
    <col min="4561" max="4561" width="4.21875" style="110" customWidth="1"/>
    <col min="4562" max="4562" width="3.77734375" style="110" customWidth="1"/>
    <col min="4563" max="4613" width="9.21875" style="110"/>
    <col min="4614" max="4614" width="4.77734375" style="110" customWidth="1"/>
    <col min="4615" max="4615" width="34.21875" style="110" customWidth="1"/>
    <col min="4616" max="4616" width="5.21875" style="110" customWidth="1"/>
    <col min="4617" max="4617" width="18.5546875" style="110" customWidth="1"/>
    <col min="4618" max="4618" width="19.44140625" style="110" customWidth="1"/>
    <col min="4619" max="4619" width="8.44140625" style="110" bestFit="1" customWidth="1"/>
    <col min="4620" max="4620" width="22.21875" style="110" customWidth="1"/>
    <col min="4621" max="4621" width="9" style="110" customWidth="1"/>
    <col min="4622" max="4622" width="7" style="110" customWidth="1"/>
    <col min="4623" max="4623" width="8.44140625" style="110" bestFit="1" customWidth="1"/>
    <col min="4624" max="4624" width="21.77734375" style="110" customWidth="1"/>
    <col min="4625" max="4625" width="3.21875" style="110" customWidth="1"/>
    <col min="4626" max="4659" width="2.44140625" style="110" customWidth="1"/>
    <col min="4660" max="4660" width="2.21875" style="110" customWidth="1"/>
    <col min="4661" max="4664" width="2.44140625" style="110" customWidth="1"/>
    <col min="4665" max="4665" width="2.5546875" style="110" customWidth="1"/>
    <col min="4666" max="4667" width="2.44140625" style="110" customWidth="1"/>
    <col min="4668" max="4674" width="4.77734375" style="110" bestFit="1" customWidth="1"/>
    <col min="4675" max="4675" width="4.21875" style="110" bestFit="1" customWidth="1"/>
    <col min="4676" max="4677" width="4.77734375" style="110" bestFit="1" customWidth="1"/>
    <col min="4678" max="4678" width="3.21875" style="110" customWidth="1"/>
    <col min="4679" max="4679" width="2.77734375" style="110" customWidth="1"/>
    <col min="4680" max="4684" width="4.77734375" style="110" bestFit="1" customWidth="1"/>
    <col min="4685" max="4685" width="4.21875" style="110" bestFit="1" customWidth="1"/>
    <col min="4686" max="4694" width="4.77734375" style="110" bestFit="1" customWidth="1"/>
    <col min="4695" max="4695" width="4.21875" style="110" bestFit="1" customWidth="1"/>
    <col min="4696" max="4704" width="4.77734375" style="110" bestFit="1" customWidth="1"/>
    <col min="4705" max="4705" width="4.21875" style="110" bestFit="1" customWidth="1"/>
    <col min="4706" max="4711" width="4.77734375" style="110" bestFit="1" customWidth="1"/>
    <col min="4712" max="4717" width="3" style="110" bestFit="1" customWidth="1"/>
    <col min="4718" max="4718" width="2.77734375" style="110" bestFit="1" customWidth="1"/>
    <col min="4719" max="4728" width="3" style="110" bestFit="1" customWidth="1"/>
    <col min="4729" max="4729" width="2.5546875" style="110" bestFit="1" customWidth="1"/>
    <col min="4730" max="4737" width="2.77734375" style="110" bestFit="1" customWidth="1"/>
    <col min="4738" max="4747" width="2.5546875" style="110" bestFit="1" customWidth="1"/>
    <col min="4748" max="4748" width="2.77734375" style="110" bestFit="1" customWidth="1"/>
    <col min="4749" max="4749" width="2.5546875" style="110" bestFit="1" customWidth="1"/>
    <col min="4750" max="4758" width="2.77734375" style="110" bestFit="1" customWidth="1"/>
    <col min="4759" max="4759" width="2.5546875" style="110" bestFit="1" customWidth="1"/>
    <col min="4760" max="4767" width="2.77734375" style="110" bestFit="1" customWidth="1"/>
    <col min="4768" max="4815" width="2.77734375" style="110" customWidth="1"/>
    <col min="4816" max="4816" width="4" style="110" customWidth="1"/>
    <col min="4817" max="4817" width="4.21875" style="110" customWidth="1"/>
    <col min="4818" max="4818" width="3.77734375" style="110" customWidth="1"/>
    <col min="4819" max="4869" width="9.21875" style="110"/>
    <col min="4870" max="4870" width="4.77734375" style="110" customWidth="1"/>
    <col min="4871" max="4871" width="34.21875" style="110" customWidth="1"/>
    <col min="4872" max="4872" width="5.21875" style="110" customWidth="1"/>
    <col min="4873" max="4873" width="18.5546875" style="110" customWidth="1"/>
    <col min="4874" max="4874" width="19.44140625" style="110" customWidth="1"/>
    <col min="4875" max="4875" width="8.44140625" style="110" bestFit="1" customWidth="1"/>
    <col min="4876" max="4876" width="22.21875" style="110" customWidth="1"/>
    <col min="4877" max="4877" width="9" style="110" customWidth="1"/>
    <col min="4878" max="4878" width="7" style="110" customWidth="1"/>
    <col min="4879" max="4879" width="8.44140625" style="110" bestFit="1" customWidth="1"/>
    <col min="4880" max="4880" width="21.77734375" style="110" customWidth="1"/>
    <col min="4881" max="4881" width="3.21875" style="110" customWidth="1"/>
    <col min="4882" max="4915" width="2.44140625" style="110" customWidth="1"/>
    <col min="4916" max="4916" width="2.21875" style="110" customWidth="1"/>
    <col min="4917" max="4920" width="2.44140625" style="110" customWidth="1"/>
    <col min="4921" max="4921" width="2.5546875" style="110" customWidth="1"/>
    <col min="4922" max="4923" width="2.44140625" style="110" customWidth="1"/>
    <col min="4924" max="4930" width="4.77734375" style="110" bestFit="1" customWidth="1"/>
    <col min="4931" max="4931" width="4.21875" style="110" bestFit="1" customWidth="1"/>
    <col min="4932" max="4933" width="4.77734375" style="110" bestFit="1" customWidth="1"/>
    <col min="4934" max="4934" width="3.21875" style="110" customWidth="1"/>
    <col min="4935" max="4935" width="2.77734375" style="110" customWidth="1"/>
    <col min="4936" max="4940" width="4.77734375" style="110" bestFit="1" customWidth="1"/>
    <col min="4941" max="4941" width="4.21875" style="110" bestFit="1" customWidth="1"/>
    <col min="4942" max="4950" width="4.77734375" style="110" bestFit="1" customWidth="1"/>
    <col min="4951" max="4951" width="4.21875" style="110" bestFit="1" customWidth="1"/>
    <col min="4952" max="4960" width="4.77734375" style="110" bestFit="1" customWidth="1"/>
    <col min="4961" max="4961" width="4.21875" style="110" bestFit="1" customWidth="1"/>
    <col min="4962" max="4967" width="4.77734375" style="110" bestFit="1" customWidth="1"/>
    <col min="4968" max="4973" width="3" style="110" bestFit="1" customWidth="1"/>
    <col min="4974" max="4974" width="2.77734375" style="110" bestFit="1" customWidth="1"/>
    <col min="4975" max="4984" width="3" style="110" bestFit="1" customWidth="1"/>
    <col min="4985" max="4985" width="2.5546875" style="110" bestFit="1" customWidth="1"/>
    <col min="4986" max="4993" width="2.77734375" style="110" bestFit="1" customWidth="1"/>
    <col min="4994" max="5003" width="2.5546875" style="110" bestFit="1" customWidth="1"/>
    <col min="5004" max="5004" width="2.77734375" style="110" bestFit="1" customWidth="1"/>
    <col min="5005" max="5005" width="2.5546875" style="110" bestFit="1" customWidth="1"/>
    <col min="5006" max="5014" width="2.77734375" style="110" bestFit="1" customWidth="1"/>
    <col min="5015" max="5015" width="2.5546875" style="110" bestFit="1" customWidth="1"/>
    <col min="5016" max="5023" width="2.77734375" style="110" bestFit="1" customWidth="1"/>
    <col min="5024" max="5071" width="2.77734375" style="110" customWidth="1"/>
    <col min="5072" max="5072" width="4" style="110" customWidth="1"/>
    <col min="5073" max="5073" width="4.21875" style="110" customWidth="1"/>
    <col min="5074" max="5074" width="3.77734375" style="110" customWidth="1"/>
    <col min="5075" max="5125" width="9.21875" style="110"/>
    <col min="5126" max="5126" width="4.77734375" style="110" customWidth="1"/>
    <col min="5127" max="5127" width="34.21875" style="110" customWidth="1"/>
    <col min="5128" max="5128" width="5.21875" style="110" customWidth="1"/>
    <col min="5129" max="5129" width="18.5546875" style="110" customWidth="1"/>
    <col min="5130" max="5130" width="19.44140625" style="110" customWidth="1"/>
    <col min="5131" max="5131" width="8.44140625" style="110" bestFit="1" customWidth="1"/>
    <col min="5132" max="5132" width="22.21875" style="110" customWidth="1"/>
    <col min="5133" max="5133" width="9" style="110" customWidth="1"/>
    <col min="5134" max="5134" width="7" style="110" customWidth="1"/>
    <col min="5135" max="5135" width="8.44140625" style="110" bestFit="1" customWidth="1"/>
    <col min="5136" max="5136" width="21.77734375" style="110" customWidth="1"/>
    <col min="5137" max="5137" width="3.21875" style="110" customWidth="1"/>
    <col min="5138" max="5171" width="2.44140625" style="110" customWidth="1"/>
    <col min="5172" max="5172" width="2.21875" style="110" customWidth="1"/>
    <col min="5173" max="5176" width="2.44140625" style="110" customWidth="1"/>
    <col min="5177" max="5177" width="2.5546875" style="110" customWidth="1"/>
    <col min="5178" max="5179" width="2.44140625" style="110" customWidth="1"/>
    <col min="5180" max="5186" width="4.77734375" style="110" bestFit="1" customWidth="1"/>
    <col min="5187" max="5187" width="4.21875" style="110" bestFit="1" customWidth="1"/>
    <col min="5188" max="5189" width="4.77734375" style="110" bestFit="1" customWidth="1"/>
    <col min="5190" max="5190" width="3.21875" style="110" customWidth="1"/>
    <col min="5191" max="5191" width="2.77734375" style="110" customWidth="1"/>
    <col min="5192" max="5196" width="4.77734375" style="110" bestFit="1" customWidth="1"/>
    <col min="5197" max="5197" width="4.21875" style="110" bestFit="1" customWidth="1"/>
    <col min="5198" max="5206" width="4.77734375" style="110" bestFit="1" customWidth="1"/>
    <col min="5207" max="5207" width="4.21875" style="110" bestFit="1" customWidth="1"/>
    <col min="5208" max="5216" width="4.77734375" style="110" bestFit="1" customWidth="1"/>
    <col min="5217" max="5217" width="4.21875" style="110" bestFit="1" customWidth="1"/>
    <col min="5218" max="5223" width="4.77734375" style="110" bestFit="1" customWidth="1"/>
    <col min="5224" max="5229" width="3" style="110" bestFit="1" customWidth="1"/>
    <col min="5230" max="5230" width="2.77734375" style="110" bestFit="1" customWidth="1"/>
    <col min="5231" max="5240" width="3" style="110" bestFit="1" customWidth="1"/>
    <col min="5241" max="5241" width="2.5546875" style="110" bestFit="1" customWidth="1"/>
    <col min="5242" max="5249" width="2.77734375" style="110" bestFit="1" customWidth="1"/>
    <col min="5250" max="5259" width="2.5546875" style="110" bestFit="1" customWidth="1"/>
    <col min="5260" max="5260" width="2.77734375" style="110" bestFit="1" customWidth="1"/>
    <col min="5261" max="5261" width="2.5546875" style="110" bestFit="1" customWidth="1"/>
    <col min="5262" max="5270" width="2.77734375" style="110" bestFit="1" customWidth="1"/>
    <col min="5271" max="5271" width="2.5546875" style="110" bestFit="1" customWidth="1"/>
    <col min="5272" max="5279" width="2.77734375" style="110" bestFit="1" customWidth="1"/>
    <col min="5280" max="5327" width="2.77734375" style="110" customWidth="1"/>
    <col min="5328" max="5328" width="4" style="110" customWidth="1"/>
    <col min="5329" max="5329" width="4.21875" style="110" customWidth="1"/>
    <col min="5330" max="5330" width="3.77734375" style="110" customWidth="1"/>
    <col min="5331" max="5381" width="9.21875" style="110"/>
    <col min="5382" max="5382" width="4.77734375" style="110" customWidth="1"/>
    <col min="5383" max="5383" width="34.21875" style="110" customWidth="1"/>
    <col min="5384" max="5384" width="5.21875" style="110" customWidth="1"/>
    <col min="5385" max="5385" width="18.5546875" style="110" customWidth="1"/>
    <col min="5386" max="5386" width="19.44140625" style="110" customWidth="1"/>
    <col min="5387" max="5387" width="8.44140625" style="110" bestFit="1" customWidth="1"/>
    <col min="5388" max="5388" width="22.21875" style="110" customWidth="1"/>
    <col min="5389" max="5389" width="9" style="110" customWidth="1"/>
    <col min="5390" max="5390" width="7" style="110" customWidth="1"/>
    <col min="5391" max="5391" width="8.44140625" style="110" bestFit="1" customWidth="1"/>
    <col min="5392" max="5392" width="21.77734375" style="110" customWidth="1"/>
    <col min="5393" max="5393" width="3.21875" style="110" customWidth="1"/>
    <col min="5394" max="5427" width="2.44140625" style="110" customWidth="1"/>
    <col min="5428" max="5428" width="2.21875" style="110" customWidth="1"/>
    <col min="5429" max="5432" width="2.44140625" style="110" customWidth="1"/>
    <col min="5433" max="5433" width="2.5546875" style="110" customWidth="1"/>
    <col min="5434" max="5435" width="2.44140625" style="110" customWidth="1"/>
    <col min="5436" max="5442" width="4.77734375" style="110" bestFit="1" customWidth="1"/>
    <col min="5443" max="5443" width="4.21875" style="110" bestFit="1" customWidth="1"/>
    <col min="5444" max="5445" width="4.77734375" style="110" bestFit="1" customWidth="1"/>
    <col min="5446" max="5446" width="3.21875" style="110" customWidth="1"/>
    <col min="5447" max="5447" width="2.77734375" style="110" customWidth="1"/>
    <col min="5448" max="5452" width="4.77734375" style="110" bestFit="1" customWidth="1"/>
    <col min="5453" max="5453" width="4.21875" style="110" bestFit="1" customWidth="1"/>
    <col min="5454" max="5462" width="4.77734375" style="110" bestFit="1" customWidth="1"/>
    <col min="5463" max="5463" width="4.21875" style="110" bestFit="1" customWidth="1"/>
    <col min="5464" max="5472" width="4.77734375" style="110" bestFit="1" customWidth="1"/>
    <col min="5473" max="5473" width="4.21875" style="110" bestFit="1" customWidth="1"/>
    <col min="5474" max="5479" width="4.77734375" style="110" bestFit="1" customWidth="1"/>
    <col min="5480" max="5485" width="3" style="110" bestFit="1" customWidth="1"/>
    <col min="5486" max="5486" width="2.77734375" style="110" bestFit="1" customWidth="1"/>
    <col min="5487" max="5496" width="3" style="110" bestFit="1" customWidth="1"/>
    <col min="5497" max="5497" width="2.5546875" style="110" bestFit="1" customWidth="1"/>
    <col min="5498" max="5505" width="2.77734375" style="110" bestFit="1" customWidth="1"/>
    <col min="5506" max="5515" width="2.5546875" style="110" bestFit="1" customWidth="1"/>
    <col min="5516" max="5516" width="2.77734375" style="110" bestFit="1" customWidth="1"/>
    <col min="5517" max="5517" width="2.5546875" style="110" bestFit="1" customWidth="1"/>
    <col min="5518" max="5526" width="2.77734375" style="110" bestFit="1" customWidth="1"/>
    <col min="5527" max="5527" width="2.5546875" style="110" bestFit="1" customWidth="1"/>
    <col min="5528" max="5535" width="2.77734375" style="110" bestFit="1" customWidth="1"/>
    <col min="5536" max="5583" width="2.77734375" style="110" customWidth="1"/>
    <col min="5584" max="5584" width="4" style="110" customWidth="1"/>
    <col min="5585" max="5585" width="4.21875" style="110" customWidth="1"/>
    <col min="5586" max="5586" width="3.77734375" style="110" customWidth="1"/>
    <col min="5587" max="5637" width="9.21875" style="110"/>
    <col min="5638" max="5638" width="4.77734375" style="110" customWidth="1"/>
    <col min="5639" max="5639" width="34.21875" style="110" customWidth="1"/>
    <col min="5640" max="5640" width="5.21875" style="110" customWidth="1"/>
    <col min="5641" max="5641" width="18.5546875" style="110" customWidth="1"/>
    <col min="5642" max="5642" width="19.44140625" style="110" customWidth="1"/>
    <col min="5643" max="5643" width="8.44140625" style="110" bestFit="1" customWidth="1"/>
    <col min="5644" max="5644" width="22.21875" style="110" customWidth="1"/>
    <col min="5645" max="5645" width="9" style="110" customWidth="1"/>
    <col min="5646" max="5646" width="7" style="110" customWidth="1"/>
    <col min="5647" max="5647" width="8.44140625" style="110" bestFit="1" customWidth="1"/>
    <col min="5648" max="5648" width="21.77734375" style="110" customWidth="1"/>
    <col min="5649" max="5649" width="3.21875" style="110" customWidth="1"/>
    <col min="5650" max="5683" width="2.44140625" style="110" customWidth="1"/>
    <col min="5684" max="5684" width="2.21875" style="110" customWidth="1"/>
    <col min="5685" max="5688" width="2.44140625" style="110" customWidth="1"/>
    <col min="5689" max="5689" width="2.5546875" style="110" customWidth="1"/>
    <col min="5690" max="5691" width="2.44140625" style="110" customWidth="1"/>
    <col min="5692" max="5698" width="4.77734375" style="110" bestFit="1" customWidth="1"/>
    <col min="5699" max="5699" width="4.21875" style="110" bestFit="1" customWidth="1"/>
    <col min="5700" max="5701" width="4.77734375" style="110" bestFit="1" customWidth="1"/>
    <col min="5702" max="5702" width="3.21875" style="110" customWidth="1"/>
    <col min="5703" max="5703" width="2.77734375" style="110" customWidth="1"/>
    <col min="5704" max="5708" width="4.77734375" style="110" bestFit="1" customWidth="1"/>
    <col min="5709" max="5709" width="4.21875" style="110" bestFit="1" customWidth="1"/>
    <col min="5710" max="5718" width="4.77734375" style="110" bestFit="1" customWidth="1"/>
    <col min="5719" max="5719" width="4.21875" style="110" bestFit="1" customWidth="1"/>
    <col min="5720" max="5728" width="4.77734375" style="110" bestFit="1" customWidth="1"/>
    <col min="5729" max="5729" width="4.21875" style="110" bestFit="1" customWidth="1"/>
    <col min="5730" max="5735" width="4.77734375" style="110" bestFit="1" customWidth="1"/>
    <col min="5736" max="5741" width="3" style="110" bestFit="1" customWidth="1"/>
    <col min="5742" max="5742" width="2.77734375" style="110" bestFit="1" customWidth="1"/>
    <col min="5743" max="5752" width="3" style="110" bestFit="1" customWidth="1"/>
    <col min="5753" max="5753" width="2.5546875" style="110" bestFit="1" customWidth="1"/>
    <col min="5754" max="5761" width="2.77734375" style="110" bestFit="1" customWidth="1"/>
    <col min="5762" max="5771" width="2.5546875" style="110" bestFit="1" customWidth="1"/>
    <col min="5772" max="5772" width="2.77734375" style="110" bestFit="1" customWidth="1"/>
    <col min="5773" max="5773" width="2.5546875" style="110" bestFit="1" customWidth="1"/>
    <col min="5774" max="5782" width="2.77734375" style="110" bestFit="1" customWidth="1"/>
    <col min="5783" max="5783" width="2.5546875" style="110" bestFit="1" customWidth="1"/>
    <col min="5784" max="5791" width="2.77734375" style="110" bestFit="1" customWidth="1"/>
    <col min="5792" max="5839" width="2.77734375" style="110" customWidth="1"/>
    <col min="5840" max="5840" width="4" style="110" customWidth="1"/>
    <col min="5841" max="5841" width="4.21875" style="110" customWidth="1"/>
    <col min="5842" max="5842" width="3.77734375" style="110" customWidth="1"/>
    <col min="5843" max="5893" width="9.21875" style="110"/>
    <col min="5894" max="5894" width="4.77734375" style="110" customWidth="1"/>
    <col min="5895" max="5895" width="34.21875" style="110" customWidth="1"/>
    <col min="5896" max="5896" width="5.21875" style="110" customWidth="1"/>
    <col min="5897" max="5897" width="18.5546875" style="110" customWidth="1"/>
    <col min="5898" max="5898" width="19.44140625" style="110" customWidth="1"/>
    <col min="5899" max="5899" width="8.44140625" style="110" bestFit="1" customWidth="1"/>
    <col min="5900" max="5900" width="22.21875" style="110" customWidth="1"/>
    <col min="5901" max="5901" width="9" style="110" customWidth="1"/>
    <col min="5902" max="5902" width="7" style="110" customWidth="1"/>
    <col min="5903" max="5903" width="8.44140625" style="110" bestFit="1" customWidth="1"/>
    <col min="5904" max="5904" width="21.77734375" style="110" customWidth="1"/>
    <col min="5905" max="5905" width="3.21875" style="110" customWidth="1"/>
    <col min="5906" max="5939" width="2.44140625" style="110" customWidth="1"/>
    <col min="5940" max="5940" width="2.21875" style="110" customWidth="1"/>
    <col min="5941" max="5944" width="2.44140625" style="110" customWidth="1"/>
    <col min="5945" max="5945" width="2.5546875" style="110" customWidth="1"/>
    <col min="5946" max="5947" width="2.44140625" style="110" customWidth="1"/>
    <col min="5948" max="5954" width="4.77734375" style="110" bestFit="1" customWidth="1"/>
    <col min="5955" max="5955" width="4.21875" style="110" bestFit="1" customWidth="1"/>
    <col min="5956" max="5957" width="4.77734375" style="110" bestFit="1" customWidth="1"/>
    <col min="5958" max="5958" width="3.21875" style="110" customWidth="1"/>
    <col min="5959" max="5959" width="2.77734375" style="110" customWidth="1"/>
    <col min="5960" max="5964" width="4.77734375" style="110" bestFit="1" customWidth="1"/>
    <col min="5965" max="5965" width="4.21875" style="110" bestFit="1" customWidth="1"/>
    <col min="5966" max="5974" width="4.77734375" style="110" bestFit="1" customWidth="1"/>
    <col min="5975" max="5975" width="4.21875" style="110" bestFit="1" customWidth="1"/>
    <col min="5976" max="5984" width="4.77734375" style="110" bestFit="1" customWidth="1"/>
    <col min="5985" max="5985" width="4.21875" style="110" bestFit="1" customWidth="1"/>
    <col min="5986" max="5991" width="4.77734375" style="110" bestFit="1" customWidth="1"/>
    <col min="5992" max="5997" width="3" style="110" bestFit="1" customWidth="1"/>
    <col min="5998" max="5998" width="2.77734375" style="110" bestFit="1" customWidth="1"/>
    <col min="5999" max="6008" width="3" style="110" bestFit="1" customWidth="1"/>
    <col min="6009" max="6009" width="2.5546875" style="110" bestFit="1" customWidth="1"/>
    <col min="6010" max="6017" width="2.77734375" style="110" bestFit="1" customWidth="1"/>
    <col min="6018" max="6027" width="2.5546875" style="110" bestFit="1" customWidth="1"/>
    <col min="6028" max="6028" width="2.77734375" style="110" bestFit="1" customWidth="1"/>
    <col min="6029" max="6029" width="2.5546875" style="110" bestFit="1" customWidth="1"/>
    <col min="6030" max="6038" width="2.77734375" style="110" bestFit="1" customWidth="1"/>
    <col min="6039" max="6039" width="2.5546875" style="110" bestFit="1" customWidth="1"/>
    <col min="6040" max="6047" width="2.77734375" style="110" bestFit="1" customWidth="1"/>
    <col min="6048" max="6095" width="2.77734375" style="110" customWidth="1"/>
    <col min="6096" max="6096" width="4" style="110" customWidth="1"/>
    <col min="6097" max="6097" width="4.21875" style="110" customWidth="1"/>
    <col min="6098" max="6098" width="3.77734375" style="110" customWidth="1"/>
    <col min="6099" max="6149" width="9.21875" style="110"/>
    <col min="6150" max="6150" width="4.77734375" style="110" customWidth="1"/>
    <col min="6151" max="6151" width="34.21875" style="110" customWidth="1"/>
    <col min="6152" max="6152" width="5.21875" style="110" customWidth="1"/>
    <col min="6153" max="6153" width="18.5546875" style="110" customWidth="1"/>
    <col min="6154" max="6154" width="19.44140625" style="110" customWidth="1"/>
    <col min="6155" max="6155" width="8.44140625" style="110" bestFit="1" customWidth="1"/>
    <col min="6156" max="6156" width="22.21875" style="110" customWidth="1"/>
    <col min="6157" max="6157" width="9" style="110" customWidth="1"/>
    <col min="6158" max="6158" width="7" style="110" customWidth="1"/>
    <col min="6159" max="6159" width="8.44140625" style="110" bestFit="1" customWidth="1"/>
    <col min="6160" max="6160" width="21.77734375" style="110" customWidth="1"/>
    <col min="6161" max="6161" width="3.21875" style="110" customWidth="1"/>
    <col min="6162" max="6195" width="2.44140625" style="110" customWidth="1"/>
    <col min="6196" max="6196" width="2.21875" style="110" customWidth="1"/>
    <col min="6197" max="6200" width="2.44140625" style="110" customWidth="1"/>
    <col min="6201" max="6201" width="2.5546875" style="110" customWidth="1"/>
    <col min="6202" max="6203" width="2.44140625" style="110" customWidth="1"/>
    <col min="6204" max="6210" width="4.77734375" style="110" bestFit="1" customWidth="1"/>
    <col min="6211" max="6211" width="4.21875" style="110" bestFit="1" customWidth="1"/>
    <col min="6212" max="6213" width="4.77734375" style="110" bestFit="1" customWidth="1"/>
    <col min="6214" max="6214" width="3.21875" style="110" customWidth="1"/>
    <col min="6215" max="6215" width="2.77734375" style="110" customWidth="1"/>
    <col min="6216" max="6220" width="4.77734375" style="110" bestFit="1" customWidth="1"/>
    <col min="6221" max="6221" width="4.21875" style="110" bestFit="1" customWidth="1"/>
    <col min="6222" max="6230" width="4.77734375" style="110" bestFit="1" customWidth="1"/>
    <col min="6231" max="6231" width="4.21875" style="110" bestFit="1" customWidth="1"/>
    <col min="6232" max="6240" width="4.77734375" style="110" bestFit="1" customWidth="1"/>
    <col min="6241" max="6241" width="4.21875" style="110" bestFit="1" customWidth="1"/>
    <col min="6242" max="6247" width="4.77734375" style="110" bestFit="1" customWidth="1"/>
    <col min="6248" max="6253" width="3" style="110" bestFit="1" customWidth="1"/>
    <col min="6254" max="6254" width="2.77734375" style="110" bestFit="1" customWidth="1"/>
    <col min="6255" max="6264" width="3" style="110" bestFit="1" customWidth="1"/>
    <col min="6265" max="6265" width="2.5546875" style="110" bestFit="1" customWidth="1"/>
    <col min="6266" max="6273" width="2.77734375" style="110" bestFit="1" customWidth="1"/>
    <col min="6274" max="6283" width="2.5546875" style="110" bestFit="1" customWidth="1"/>
    <col min="6284" max="6284" width="2.77734375" style="110" bestFit="1" customWidth="1"/>
    <col min="6285" max="6285" width="2.5546875" style="110" bestFit="1" customWidth="1"/>
    <col min="6286" max="6294" width="2.77734375" style="110" bestFit="1" customWidth="1"/>
    <col min="6295" max="6295" width="2.5546875" style="110" bestFit="1" customWidth="1"/>
    <col min="6296" max="6303" width="2.77734375" style="110" bestFit="1" customWidth="1"/>
    <col min="6304" max="6351" width="2.77734375" style="110" customWidth="1"/>
    <col min="6352" max="6352" width="4" style="110" customWidth="1"/>
    <col min="6353" max="6353" width="4.21875" style="110" customWidth="1"/>
    <col min="6354" max="6354" width="3.77734375" style="110" customWidth="1"/>
    <col min="6355" max="6405" width="9.21875" style="110"/>
    <col min="6406" max="6406" width="4.77734375" style="110" customWidth="1"/>
    <col min="6407" max="6407" width="34.21875" style="110" customWidth="1"/>
    <col min="6408" max="6408" width="5.21875" style="110" customWidth="1"/>
    <col min="6409" max="6409" width="18.5546875" style="110" customWidth="1"/>
    <col min="6410" max="6410" width="19.44140625" style="110" customWidth="1"/>
    <col min="6411" max="6411" width="8.44140625" style="110" bestFit="1" customWidth="1"/>
    <col min="6412" max="6412" width="22.21875" style="110" customWidth="1"/>
    <col min="6413" max="6413" width="9" style="110" customWidth="1"/>
    <col min="6414" max="6414" width="7" style="110" customWidth="1"/>
    <col min="6415" max="6415" width="8.44140625" style="110" bestFit="1" customWidth="1"/>
    <col min="6416" max="6416" width="21.77734375" style="110" customWidth="1"/>
    <col min="6417" max="6417" width="3.21875" style="110" customWidth="1"/>
    <col min="6418" max="6451" width="2.44140625" style="110" customWidth="1"/>
    <col min="6452" max="6452" width="2.21875" style="110" customWidth="1"/>
    <col min="6453" max="6456" width="2.44140625" style="110" customWidth="1"/>
    <col min="6457" max="6457" width="2.5546875" style="110" customWidth="1"/>
    <col min="6458" max="6459" width="2.44140625" style="110" customWidth="1"/>
    <col min="6460" max="6466" width="4.77734375" style="110" bestFit="1" customWidth="1"/>
    <col min="6467" max="6467" width="4.21875" style="110" bestFit="1" customWidth="1"/>
    <col min="6468" max="6469" width="4.77734375" style="110" bestFit="1" customWidth="1"/>
    <col min="6470" max="6470" width="3.21875" style="110" customWidth="1"/>
    <col min="6471" max="6471" width="2.77734375" style="110" customWidth="1"/>
    <col min="6472" max="6476" width="4.77734375" style="110" bestFit="1" customWidth="1"/>
    <col min="6477" max="6477" width="4.21875" style="110" bestFit="1" customWidth="1"/>
    <col min="6478" max="6486" width="4.77734375" style="110" bestFit="1" customWidth="1"/>
    <col min="6487" max="6487" width="4.21875" style="110" bestFit="1" customWidth="1"/>
    <col min="6488" max="6496" width="4.77734375" style="110" bestFit="1" customWidth="1"/>
    <col min="6497" max="6497" width="4.21875" style="110" bestFit="1" customWidth="1"/>
    <col min="6498" max="6503" width="4.77734375" style="110" bestFit="1" customWidth="1"/>
    <col min="6504" max="6509" width="3" style="110" bestFit="1" customWidth="1"/>
    <col min="6510" max="6510" width="2.77734375" style="110" bestFit="1" customWidth="1"/>
    <col min="6511" max="6520" width="3" style="110" bestFit="1" customWidth="1"/>
    <col min="6521" max="6521" width="2.5546875" style="110" bestFit="1" customWidth="1"/>
    <col min="6522" max="6529" width="2.77734375" style="110" bestFit="1" customWidth="1"/>
    <col min="6530" max="6539" width="2.5546875" style="110" bestFit="1" customWidth="1"/>
    <col min="6540" max="6540" width="2.77734375" style="110" bestFit="1" customWidth="1"/>
    <col min="6541" max="6541" width="2.5546875" style="110" bestFit="1" customWidth="1"/>
    <col min="6542" max="6550" width="2.77734375" style="110" bestFit="1" customWidth="1"/>
    <col min="6551" max="6551" width="2.5546875" style="110" bestFit="1" customWidth="1"/>
    <col min="6552" max="6559" width="2.77734375" style="110" bestFit="1" customWidth="1"/>
    <col min="6560" max="6607" width="2.77734375" style="110" customWidth="1"/>
    <col min="6608" max="6608" width="4" style="110" customWidth="1"/>
    <col min="6609" max="6609" width="4.21875" style="110" customWidth="1"/>
    <col min="6610" max="6610" width="3.77734375" style="110" customWidth="1"/>
    <col min="6611" max="6661" width="9.21875" style="110"/>
    <col min="6662" max="6662" width="4.77734375" style="110" customWidth="1"/>
    <col min="6663" max="6663" width="34.21875" style="110" customWidth="1"/>
    <col min="6664" max="6664" width="5.21875" style="110" customWidth="1"/>
    <col min="6665" max="6665" width="18.5546875" style="110" customWidth="1"/>
    <col min="6666" max="6666" width="19.44140625" style="110" customWidth="1"/>
    <col min="6667" max="6667" width="8.44140625" style="110" bestFit="1" customWidth="1"/>
    <col min="6668" max="6668" width="22.21875" style="110" customWidth="1"/>
    <col min="6669" max="6669" width="9" style="110" customWidth="1"/>
    <col min="6670" max="6670" width="7" style="110" customWidth="1"/>
    <col min="6671" max="6671" width="8.44140625" style="110" bestFit="1" customWidth="1"/>
    <col min="6672" max="6672" width="21.77734375" style="110" customWidth="1"/>
    <col min="6673" max="6673" width="3.21875" style="110" customWidth="1"/>
    <col min="6674" max="6707" width="2.44140625" style="110" customWidth="1"/>
    <col min="6708" max="6708" width="2.21875" style="110" customWidth="1"/>
    <col min="6709" max="6712" width="2.44140625" style="110" customWidth="1"/>
    <col min="6713" max="6713" width="2.5546875" style="110" customWidth="1"/>
    <col min="6714" max="6715" width="2.44140625" style="110" customWidth="1"/>
    <col min="6716" max="6722" width="4.77734375" style="110" bestFit="1" customWidth="1"/>
    <col min="6723" max="6723" width="4.21875" style="110" bestFit="1" customWidth="1"/>
    <col min="6724" max="6725" width="4.77734375" style="110" bestFit="1" customWidth="1"/>
    <col min="6726" max="6726" width="3.21875" style="110" customWidth="1"/>
    <col min="6727" max="6727" width="2.77734375" style="110" customWidth="1"/>
    <col min="6728" max="6732" width="4.77734375" style="110" bestFit="1" customWidth="1"/>
    <col min="6733" max="6733" width="4.21875" style="110" bestFit="1" customWidth="1"/>
    <col min="6734" max="6742" width="4.77734375" style="110" bestFit="1" customWidth="1"/>
    <col min="6743" max="6743" width="4.21875" style="110" bestFit="1" customWidth="1"/>
    <col min="6744" max="6752" width="4.77734375" style="110" bestFit="1" customWidth="1"/>
    <col min="6753" max="6753" width="4.21875" style="110" bestFit="1" customWidth="1"/>
    <col min="6754" max="6759" width="4.77734375" style="110" bestFit="1" customWidth="1"/>
    <col min="6760" max="6765" width="3" style="110" bestFit="1" customWidth="1"/>
    <col min="6766" max="6766" width="2.77734375" style="110" bestFit="1" customWidth="1"/>
    <col min="6767" max="6776" width="3" style="110" bestFit="1" customWidth="1"/>
    <col min="6777" max="6777" width="2.5546875" style="110" bestFit="1" customWidth="1"/>
    <col min="6778" max="6785" width="2.77734375" style="110" bestFit="1" customWidth="1"/>
    <col min="6786" max="6795" width="2.5546875" style="110" bestFit="1" customWidth="1"/>
    <col min="6796" max="6796" width="2.77734375" style="110" bestFit="1" customWidth="1"/>
    <col min="6797" max="6797" width="2.5546875" style="110" bestFit="1" customWidth="1"/>
    <col min="6798" max="6806" width="2.77734375" style="110" bestFit="1" customWidth="1"/>
    <col min="6807" max="6807" width="2.5546875" style="110" bestFit="1" customWidth="1"/>
    <col min="6808" max="6815" width="2.77734375" style="110" bestFit="1" customWidth="1"/>
    <col min="6816" max="6863" width="2.77734375" style="110" customWidth="1"/>
    <col min="6864" max="6864" width="4" style="110" customWidth="1"/>
    <col min="6865" max="6865" width="4.21875" style="110" customWidth="1"/>
    <col min="6866" max="6866" width="3.77734375" style="110" customWidth="1"/>
    <col min="6867" max="6917" width="9.21875" style="110"/>
    <col min="6918" max="6918" width="4.77734375" style="110" customWidth="1"/>
    <col min="6919" max="6919" width="34.21875" style="110" customWidth="1"/>
    <col min="6920" max="6920" width="5.21875" style="110" customWidth="1"/>
    <col min="6921" max="6921" width="18.5546875" style="110" customWidth="1"/>
    <col min="6922" max="6922" width="19.44140625" style="110" customWidth="1"/>
    <col min="6923" max="6923" width="8.44140625" style="110" bestFit="1" customWidth="1"/>
    <col min="6924" max="6924" width="22.21875" style="110" customWidth="1"/>
    <col min="6925" max="6925" width="9" style="110" customWidth="1"/>
    <col min="6926" max="6926" width="7" style="110" customWidth="1"/>
    <col min="6927" max="6927" width="8.44140625" style="110" bestFit="1" customWidth="1"/>
    <col min="6928" max="6928" width="21.77734375" style="110" customWidth="1"/>
    <col min="6929" max="6929" width="3.21875" style="110" customWidth="1"/>
    <col min="6930" max="6963" width="2.44140625" style="110" customWidth="1"/>
    <col min="6964" max="6964" width="2.21875" style="110" customWidth="1"/>
    <col min="6965" max="6968" width="2.44140625" style="110" customWidth="1"/>
    <col min="6969" max="6969" width="2.5546875" style="110" customWidth="1"/>
    <col min="6970" max="6971" width="2.44140625" style="110" customWidth="1"/>
    <col min="6972" max="6978" width="4.77734375" style="110" bestFit="1" customWidth="1"/>
    <col min="6979" max="6979" width="4.21875" style="110" bestFit="1" customWidth="1"/>
    <col min="6980" max="6981" width="4.77734375" style="110" bestFit="1" customWidth="1"/>
    <col min="6982" max="6982" width="3.21875" style="110" customWidth="1"/>
    <col min="6983" max="6983" width="2.77734375" style="110" customWidth="1"/>
    <col min="6984" max="6988" width="4.77734375" style="110" bestFit="1" customWidth="1"/>
    <col min="6989" max="6989" width="4.21875" style="110" bestFit="1" customWidth="1"/>
    <col min="6990" max="6998" width="4.77734375" style="110" bestFit="1" customWidth="1"/>
    <col min="6999" max="6999" width="4.21875" style="110" bestFit="1" customWidth="1"/>
    <col min="7000" max="7008" width="4.77734375" style="110" bestFit="1" customWidth="1"/>
    <col min="7009" max="7009" width="4.21875" style="110" bestFit="1" customWidth="1"/>
    <col min="7010" max="7015" width="4.77734375" style="110" bestFit="1" customWidth="1"/>
    <col min="7016" max="7021" width="3" style="110" bestFit="1" customWidth="1"/>
    <col min="7022" max="7022" width="2.77734375" style="110" bestFit="1" customWidth="1"/>
    <col min="7023" max="7032" width="3" style="110" bestFit="1" customWidth="1"/>
    <col min="7033" max="7033" width="2.5546875" style="110" bestFit="1" customWidth="1"/>
    <col min="7034" max="7041" width="2.77734375" style="110" bestFit="1" customWidth="1"/>
    <col min="7042" max="7051" width="2.5546875" style="110" bestFit="1" customWidth="1"/>
    <col min="7052" max="7052" width="2.77734375" style="110" bestFit="1" customWidth="1"/>
    <col min="7053" max="7053" width="2.5546875" style="110" bestFit="1" customWidth="1"/>
    <col min="7054" max="7062" width="2.77734375" style="110" bestFit="1" customWidth="1"/>
    <col min="7063" max="7063" width="2.5546875" style="110" bestFit="1" customWidth="1"/>
    <col min="7064" max="7071" width="2.77734375" style="110" bestFit="1" customWidth="1"/>
    <col min="7072" max="7119" width="2.77734375" style="110" customWidth="1"/>
    <col min="7120" max="7120" width="4" style="110" customWidth="1"/>
    <col min="7121" max="7121" width="4.21875" style="110" customWidth="1"/>
    <col min="7122" max="7122" width="3.77734375" style="110" customWidth="1"/>
    <col min="7123" max="7173" width="9.21875" style="110"/>
    <col min="7174" max="7174" width="4.77734375" style="110" customWidth="1"/>
    <col min="7175" max="7175" width="34.21875" style="110" customWidth="1"/>
    <col min="7176" max="7176" width="5.21875" style="110" customWidth="1"/>
    <col min="7177" max="7177" width="18.5546875" style="110" customWidth="1"/>
    <col min="7178" max="7178" width="19.44140625" style="110" customWidth="1"/>
    <col min="7179" max="7179" width="8.44140625" style="110" bestFit="1" customWidth="1"/>
    <col min="7180" max="7180" width="22.21875" style="110" customWidth="1"/>
    <col min="7181" max="7181" width="9" style="110" customWidth="1"/>
    <col min="7182" max="7182" width="7" style="110" customWidth="1"/>
    <col min="7183" max="7183" width="8.44140625" style="110" bestFit="1" customWidth="1"/>
    <col min="7184" max="7184" width="21.77734375" style="110" customWidth="1"/>
    <col min="7185" max="7185" width="3.21875" style="110" customWidth="1"/>
    <col min="7186" max="7219" width="2.44140625" style="110" customWidth="1"/>
    <col min="7220" max="7220" width="2.21875" style="110" customWidth="1"/>
    <col min="7221" max="7224" width="2.44140625" style="110" customWidth="1"/>
    <col min="7225" max="7225" width="2.5546875" style="110" customWidth="1"/>
    <col min="7226" max="7227" width="2.44140625" style="110" customWidth="1"/>
    <col min="7228" max="7234" width="4.77734375" style="110" bestFit="1" customWidth="1"/>
    <col min="7235" max="7235" width="4.21875" style="110" bestFit="1" customWidth="1"/>
    <col min="7236" max="7237" width="4.77734375" style="110" bestFit="1" customWidth="1"/>
    <col min="7238" max="7238" width="3.21875" style="110" customWidth="1"/>
    <col min="7239" max="7239" width="2.77734375" style="110" customWidth="1"/>
    <col min="7240" max="7244" width="4.77734375" style="110" bestFit="1" customWidth="1"/>
    <col min="7245" max="7245" width="4.21875" style="110" bestFit="1" customWidth="1"/>
    <col min="7246" max="7254" width="4.77734375" style="110" bestFit="1" customWidth="1"/>
    <col min="7255" max="7255" width="4.21875" style="110" bestFit="1" customWidth="1"/>
    <col min="7256" max="7264" width="4.77734375" style="110" bestFit="1" customWidth="1"/>
    <col min="7265" max="7265" width="4.21875" style="110" bestFit="1" customWidth="1"/>
    <col min="7266" max="7271" width="4.77734375" style="110" bestFit="1" customWidth="1"/>
    <col min="7272" max="7277" width="3" style="110" bestFit="1" customWidth="1"/>
    <col min="7278" max="7278" width="2.77734375" style="110" bestFit="1" customWidth="1"/>
    <col min="7279" max="7288" width="3" style="110" bestFit="1" customWidth="1"/>
    <col min="7289" max="7289" width="2.5546875" style="110" bestFit="1" customWidth="1"/>
    <col min="7290" max="7297" width="2.77734375" style="110" bestFit="1" customWidth="1"/>
    <col min="7298" max="7307" width="2.5546875" style="110" bestFit="1" customWidth="1"/>
    <col min="7308" max="7308" width="2.77734375" style="110" bestFit="1" customWidth="1"/>
    <col min="7309" max="7309" width="2.5546875" style="110" bestFit="1" customWidth="1"/>
    <col min="7310" max="7318" width="2.77734375" style="110" bestFit="1" customWidth="1"/>
    <col min="7319" max="7319" width="2.5546875" style="110" bestFit="1" customWidth="1"/>
    <col min="7320" max="7327" width="2.77734375" style="110" bestFit="1" customWidth="1"/>
    <col min="7328" max="7375" width="2.77734375" style="110" customWidth="1"/>
    <col min="7376" max="7376" width="4" style="110" customWidth="1"/>
    <col min="7377" max="7377" width="4.21875" style="110" customWidth="1"/>
    <col min="7378" max="7378" width="3.77734375" style="110" customWidth="1"/>
    <col min="7379" max="7429" width="9.21875" style="110"/>
    <col min="7430" max="7430" width="4.77734375" style="110" customWidth="1"/>
    <col min="7431" max="7431" width="34.21875" style="110" customWidth="1"/>
    <col min="7432" max="7432" width="5.21875" style="110" customWidth="1"/>
    <col min="7433" max="7433" width="18.5546875" style="110" customWidth="1"/>
    <col min="7434" max="7434" width="19.44140625" style="110" customWidth="1"/>
    <col min="7435" max="7435" width="8.44140625" style="110" bestFit="1" customWidth="1"/>
    <col min="7436" max="7436" width="22.21875" style="110" customWidth="1"/>
    <col min="7437" max="7437" width="9" style="110" customWidth="1"/>
    <col min="7438" max="7438" width="7" style="110" customWidth="1"/>
    <col min="7439" max="7439" width="8.44140625" style="110" bestFit="1" customWidth="1"/>
    <col min="7440" max="7440" width="21.77734375" style="110" customWidth="1"/>
    <col min="7441" max="7441" width="3.21875" style="110" customWidth="1"/>
    <col min="7442" max="7475" width="2.44140625" style="110" customWidth="1"/>
    <col min="7476" max="7476" width="2.21875" style="110" customWidth="1"/>
    <col min="7477" max="7480" width="2.44140625" style="110" customWidth="1"/>
    <col min="7481" max="7481" width="2.5546875" style="110" customWidth="1"/>
    <col min="7482" max="7483" width="2.44140625" style="110" customWidth="1"/>
    <col min="7484" max="7490" width="4.77734375" style="110" bestFit="1" customWidth="1"/>
    <col min="7491" max="7491" width="4.21875" style="110" bestFit="1" customWidth="1"/>
    <col min="7492" max="7493" width="4.77734375" style="110" bestFit="1" customWidth="1"/>
    <col min="7494" max="7494" width="3.21875" style="110" customWidth="1"/>
    <col min="7495" max="7495" width="2.77734375" style="110" customWidth="1"/>
    <col min="7496" max="7500" width="4.77734375" style="110" bestFit="1" customWidth="1"/>
    <col min="7501" max="7501" width="4.21875" style="110" bestFit="1" customWidth="1"/>
    <col min="7502" max="7510" width="4.77734375" style="110" bestFit="1" customWidth="1"/>
    <col min="7511" max="7511" width="4.21875" style="110" bestFit="1" customWidth="1"/>
    <col min="7512" max="7520" width="4.77734375" style="110" bestFit="1" customWidth="1"/>
    <col min="7521" max="7521" width="4.21875" style="110" bestFit="1" customWidth="1"/>
    <col min="7522" max="7527" width="4.77734375" style="110" bestFit="1" customWidth="1"/>
    <col min="7528" max="7533" width="3" style="110" bestFit="1" customWidth="1"/>
    <col min="7534" max="7534" width="2.77734375" style="110" bestFit="1" customWidth="1"/>
    <col min="7535" max="7544" width="3" style="110" bestFit="1" customWidth="1"/>
    <col min="7545" max="7545" width="2.5546875" style="110" bestFit="1" customWidth="1"/>
    <col min="7546" max="7553" width="2.77734375" style="110" bestFit="1" customWidth="1"/>
    <col min="7554" max="7563" width="2.5546875" style="110" bestFit="1" customWidth="1"/>
    <col min="7564" max="7564" width="2.77734375" style="110" bestFit="1" customWidth="1"/>
    <col min="7565" max="7565" width="2.5546875" style="110" bestFit="1" customWidth="1"/>
    <col min="7566" max="7574" width="2.77734375" style="110" bestFit="1" customWidth="1"/>
    <col min="7575" max="7575" width="2.5546875" style="110" bestFit="1" customWidth="1"/>
    <col min="7576" max="7583" width="2.77734375" style="110" bestFit="1" customWidth="1"/>
    <col min="7584" max="7631" width="2.77734375" style="110" customWidth="1"/>
    <col min="7632" max="7632" width="4" style="110" customWidth="1"/>
    <col min="7633" max="7633" width="4.21875" style="110" customWidth="1"/>
    <col min="7634" max="7634" width="3.77734375" style="110" customWidth="1"/>
    <col min="7635" max="7685" width="9.21875" style="110"/>
    <col min="7686" max="7686" width="4.77734375" style="110" customWidth="1"/>
    <col min="7687" max="7687" width="34.21875" style="110" customWidth="1"/>
    <col min="7688" max="7688" width="5.21875" style="110" customWidth="1"/>
    <col min="7689" max="7689" width="18.5546875" style="110" customWidth="1"/>
    <col min="7690" max="7690" width="19.44140625" style="110" customWidth="1"/>
    <col min="7691" max="7691" width="8.44140625" style="110" bestFit="1" customWidth="1"/>
    <col min="7692" max="7692" width="22.21875" style="110" customWidth="1"/>
    <col min="7693" max="7693" width="9" style="110" customWidth="1"/>
    <col min="7694" max="7694" width="7" style="110" customWidth="1"/>
    <col min="7695" max="7695" width="8.44140625" style="110" bestFit="1" customWidth="1"/>
    <col min="7696" max="7696" width="21.77734375" style="110" customWidth="1"/>
    <col min="7697" max="7697" width="3.21875" style="110" customWidth="1"/>
    <col min="7698" max="7731" width="2.44140625" style="110" customWidth="1"/>
    <col min="7732" max="7732" width="2.21875" style="110" customWidth="1"/>
    <col min="7733" max="7736" width="2.44140625" style="110" customWidth="1"/>
    <col min="7737" max="7737" width="2.5546875" style="110" customWidth="1"/>
    <col min="7738" max="7739" width="2.44140625" style="110" customWidth="1"/>
    <col min="7740" max="7746" width="4.77734375" style="110" bestFit="1" customWidth="1"/>
    <col min="7747" max="7747" width="4.21875" style="110" bestFit="1" customWidth="1"/>
    <col min="7748" max="7749" width="4.77734375" style="110" bestFit="1" customWidth="1"/>
    <col min="7750" max="7750" width="3.21875" style="110" customWidth="1"/>
    <col min="7751" max="7751" width="2.77734375" style="110" customWidth="1"/>
    <col min="7752" max="7756" width="4.77734375" style="110" bestFit="1" customWidth="1"/>
    <col min="7757" max="7757" width="4.21875" style="110" bestFit="1" customWidth="1"/>
    <col min="7758" max="7766" width="4.77734375" style="110" bestFit="1" customWidth="1"/>
    <col min="7767" max="7767" width="4.21875" style="110" bestFit="1" customWidth="1"/>
    <col min="7768" max="7776" width="4.77734375" style="110" bestFit="1" customWidth="1"/>
    <col min="7777" max="7777" width="4.21875" style="110" bestFit="1" customWidth="1"/>
    <col min="7778" max="7783" width="4.77734375" style="110" bestFit="1" customWidth="1"/>
    <col min="7784" max="7789" width="3" style="110" bestFit="1" customWidth="1"/>
    <col min="7790" max="7790" width="2.77734375" style="110" bestFit="1" customWidth="1"/>
    <col min="7791" max="7800" width="3" style="110" bestFit="1" customWidth="1"/>
    <col min="7801" max="7801" width="2.5546875" style="110" bestFit="1" customWidth="1"/>
    <col min="7802" max="7809" width="2.77734375" style="110" bestFit="1" customWidth="1"/>
    <col min="7810" max="7819" width="2.5546875" style="110" bestFit="1" customWidth="1"/>
    <col min="7820" max="7820" width="2.77734375" style="110" bestFit="1" customWidth="1"/>
    <col min="7821" max="7821" width="2.5546875" style="110" bestFit="1" customWidth="1"/>
    <col min="7822" max="7830" width="2.77734375" style="110" bestFit="1" customWidth="1"/>
    <col min="7831" max="7831" width="2.5546875" style="110" bestFit="1" customWidth="1"/>
    <col min="7832" max="7839" width="2.77734375" style="110" bestFit="1" customWidth="1"/>
    <col min="7840" max="7887" width="2.77734375" style="110" customWidth="1"/>
    <col min="7888" max="7888" width="4" style="110" customWidth="1"/>
    <col min="7889" max="7889" width="4.21875" style="110" customWidth="1"/>
    <col min="7890" max="7890" width="3.77734375" style="110" customWidth="1"/>
    <col min="7891" max="7941" width="9.21875" style="110"/>
    <col min="7942" max="7942" width="4.77734375" style="110" customWidth="1"/>
    <col min="7943" max="7943" width="34.21875" style="110" customWidth="1"/>
    <col min="7944" max="7944" width="5.21875" style="110" customWidth="1"/>
    <col min="7945" max="7945" width="18.5546875" style="110" customWidth="1"/>
    <col min="7946" max="7946" width="19.44140625" style="110" customWidth="1"/>
    <col min="7947" max="7947" width="8.44140625" style="110" bestFit="1" customWidth="1"/>
    <col min="7948" max="7948" width="22.21875" style="110" customWidth="1"/>
    <col min="7949" max="7949" width="9" style="110" customWidth="1"/>
    <col min="7950" max="7950" width="7" style="110" customWidth="1"/>
    <col min="7951" max="7951" width="8.44140625" style="110" bestFit="1" customWidth="1"/>
    <col min="7952" max="7952" width="21.77734375" style="110" customWidth="1"/>
    <col min="7953" max="7953" width="3.21875" style="110" customWidth="1"/>
    <col min="7954" max="7987" width="2.44140625" style="110" customWidth="1"/>
    <col min="7988" max="7988" width="2.21875" style="110" customWidth="1"/>
    <col min="7989" max="7992" width="2.44140625" style="110" customWidth="1"/>
    <col min="7993" max="7993" width="2.5546875" style="110" customWidth="1"/>
    <col min="7994" max="7995" width="2.44140625" style="110" customWidth="1"/>
    <col min="7996" max="8002" width="4.77734375" style="110" bestFit="1" customWidth="1"/>
    <col min="8003" max="8003" width="4.21875" style="110" bestFit="1" customWidth="1"/>
    <col min="8004" max="8005" width="4.77734375" style="110" bestFit="1" customWidth="1"/>
    <col min="8006" max="8006" width="3.21875" style="110" customWidth="1"/>
    <col min="8007" max="8007" width="2.77734375" style="110" customWidth="1"/>
    <col min="8008" max="8012" width="4.77734375" style="110" bestFit="1" customWidth="1"/>
    <col min="8013" max="8013" width="4.21875" style="110" bestFit="1" customWidth="1"/>
    <col min="8014" max="8022" width="4.77734375" style="110" bestFit="1" customWidth="1"/>
    <col min="8023" max="8023" width="4.21875" style="110" bestFit="1" customWidth="1"/>
    <col min="8024" max="8032" width="4.77734375" style="110" bestFit="1" customWidth="1"/>
    <col min="8033" max="8033" width="4.21875" style="110" bestFit="1" customWidth="1"/>
    <col min="8034" max="8039" width="4.77734375" style="110" bestFit="1" customWidth="1"/>
    <col min="8040" max="8045" width="3" style="110" bestFit="1" customWidth="1"/>
    <col min="8046" max="8046" width="2.77734375" style="110" bestFit="1" customWidth="1"/>
    <col min="8047" max="8056" width="3" style="110" bestFit="1" customWidth="1"/>
    <col min="8057" max="8057" width="2.5546875" style="110" bestFit="1" customWidth="1"/>
    <col min="8058" max="8065" width="2.77734375" style="110" bestFit="1" customWidth="1"/>
    <col min="8066" max="8075" width="2.5546875" style="110" bestFit="1" customWidth="1"/>
    <col min="8076" max="8076" width="2.77734375" style="110" bestFit="1" customWidth="1"/>
    <col min="8077" max="8077" width="2.5546875" style="110" bestFit="1" customWidth="1"/>
    <col min="8078" max="8086" width="2.77734375" style="110" bestFit="1" customWidth="1"/>
    <col min="8087" max="8087" width="2.5546875" style="110" bestFit="1" customWidth="1"/>
    <col min="8088" max="8095" width="2.77734375" style="110" bestFit="1" customWidth="1"/>
    <col min="8096" max="8143" width="2.77734375" style="110" customWidth="1"/>
    <col min="8144" max="8144" width="4" style="110" customWidth="1"/>
    <col min="8145" max="8145" width="4.21875" style="110" customWidth="1"/>
    <col min="8146" max="8146" width="3.77734375" style="110" customWidth="1"/>
    <col min="8147" max="8197" width="9.21875" style="110"/>
    <col min="8198" max="8198" width="4.77734375" style="110" customWidth="1"/>
    <col min="8199" max="8199" width="34.21875" style="110" customWidth="1"/>
    <col min="8200" max="8200" width="5.21875" style="110" customWidth="1"/>
    <col min="8201" max="8201" width="18.5546875" style="110" customWidth="1"/>
    <col min="8202" max="8202" width="19.44140625" style="110" customWidth="1"/>
    <col min="8203" max="8203" width="8.44140625" style="110" bestFit="1" customWidth="1"/>
    <col min="8204" max="8204" width="22.21875" style="110" customWidth="1"/>
    <col min="8205" max="8205" width="9" style="110" customWidth="1"/>
    <col min="8206" max="8206" width="7" style="110" customWidth="1"/>
    <col min="8207" max="8207" width="8.44140625" style="110" bestFit="1" customWidth="1"/>
    <col min="8208" max="8208" width="21.77734375" style="110" customWidth="1"/>
    <col min="8209" max="8209" width="3.21875" style="110" customWidth="1"/>
    <col min="8210" max="8243" width="2.44140625" style="110" customWidth="1"/>
    <col min="8244" max="8244" width="2.21875" style="110" customWidth="1"/>
    <col min="8245" max="8248" width="2.44140625" style="110" customWidth="1"/>
    <col min="8249" max="8249" width="2.5546875" style="110" customWidth="1"/>
    <col min="8250" max="8251" width="2.44140625" style="110" customWidth="1"/>
    <col min="8252" max="8258" width="4.77734375" style="110" bestFit="1" customWidth="1"/>
    <col min="8259" max="8259" width="4.21875" style="110" bestFit="1" customWidth="1"/>
    <col min="8260" max="8261" width="4.77734375" style="110" bestFit="1" customWidth="1"/>
    <col min="8262" max="8262" width="3.21875" style="110" customWidth="1"/>
    <col min="8263" max="8263" width="2.77734375" style="110" customWidth="1"/>
    <col min="8264" max="8268" width="4.77734375" style="110" bestFit="1" customWidth="1"/>
    <col min="8269" max="8269" width="4.21875" style="110" bestFit="1" customWidth="1"/>
    <col min="8270" max="8278" width="4.77734375" style="110" bestFit="1" customWidth="1"/>
    <col min="8279" max="8279" width="4.21875" style="110" bestFit="1" customWidth="1"/>
    <col min="8280" max="8288" width="4.77734375" style="110" bestFit="1" customWidth="1"/>
    <col min="8289" max="8289" width="4.21875" style="110" bestFit="1" customWidth="1"/>
    <col min="8290" max="8295" width="4.77734375" style="110" bestFit="1" customWidth="1"/>
    <col min="8296" max="8301" width="3" style="110" bestFit="1" customWidth="1"/>
    <col min="8302" max="8302" width="2.77734375" style="110" bestFit="1" customWidth="1"/>
    <col min="8303" max="8312" width="3" style="110" bestFit="1" customWidth="1"/>
    <col min="8313" max="8313" width="2.5546875" style="110" bestFit="1" customWidth="1"/>
    <col min="8314" max="8321" width="2.77734375" style="110" bestFit="1" customWidth="1"/>
    <col min="8322" max="8331" width="2.5546875" style="110" bestFit="1" customWidth="1"/>
    <col min="8332" max="8332" width="2.77734375" style="110" bestFit="1" customWidth="1"/>
    <col min="8333" max="8333" width="2.5546875" style="110" bestFit="1" customWidth="1"/>
    <col min="8334" max="8342" width="2.77734375" style="110" bestFit="1" customWidth="1"/>
    <col min="8343" max="8343" width="2.5546875" style="110" bestFit="1" customWidth="1"/>
    <col min="8344" max="8351" width="2.77734375" style="110" bestFit="1" customWidth="1"/>
    <col min="8352" max="8399" width="2.77734375" style="110" customWidth="1"/>
    <col min="8400" max="8400" width="4" style="110" customWidth="1"/>
    <col min="8401" max="8401" width="4.21875" style="110" customWidth="1"/>
    <col min="8402" max="8402" width="3.77734375" style="110" customWidth="1"/>
    <col min="8403" max="8453" width="9.21875" style="110"/>
    <col min="8454" max="8454" width="4.77734375" style="110" customWidth="1"/>
    <col min="8455" max="8455" width="34.21875" style="110" customWidth="1"/>
    <col min="8456" max="8456" width="5.21875" style="110" customWidth="1"/>
    <col min="8457" max="8457" width="18.5546875" style="110" customWidth="1"/>
    <col min="8458" max="8458" width="19.44140625" style="110" customWidth="1"/>
    <col min="8459" max="8459" width="8.44140625" style="110" bestFit="1" customWidth="1"/>
    <col min="8460" max="8460" width="22.21875" style="110" customWidth="1"/>
    <col min="8461" max="8461" width="9" style="110" customWidth="1"/>
    <col min="8462" max="8462" width="7" style="110" customWidth="1"/>
    <col min="8463" max="8463" width="8.44140625" style="110" bestFit="1" customWidth="1"/>
    <col min="8464" max="8464" width="21.77734375" style="110" customWidth="1"/>
    <col min="8465" max="8465" width="3.21875" style="110" customWidth="1"/>
    <col min="8466" max="8499" width="2.44140625" style="110" customWidth="1"/>
    <col min="8500" max="8500" width="2.21875" style="110" customWidth="1"/>
    <col min="8501" max="8504" width="2.44140625" style="110" customWidth="1"/>
    <col min="8505" max="8505" width="2.5546875" style="110" customWidth="1"/>
    <col min="8506" max="8507" width="2.44140625" style="110" customWidth="1"/>
    <col min="8508" max="8514" width="4.77734375" style="110" bestFit="1" customWidth="1"/>
    <col min="8515" max="8515" width="4.21875" style="110" bestFit="1" customWidth="1"/>
    <col min="8516" max="8517" width="4.77734375" style="110" bestFit="1" customWidth="1"/>
    <col min="8518" max="8518" width="3.21875" style="110" customWidth="1"/>
    <col min="8519" max="8519" width="2.77734375" style="110" customWidth="1"/>
    <col min="8520" max="8524" width="4.77734375" style="110" bestFit="1" customWidth="1"/>
    <col min="8525" max="8525" width="4.21875" style="110" bestFit="1" customWidth="1"/>
    <col min="8526" max="8534" width="4.77734375" style="110" bestFit="1" customWidth="1"/>
    <col min="8535" max="8535" width="4.21875" style="110" bestFit="1" customWidth="1"/>
    <col min="8536" max="8544" width="4.77734375" style="110" bestFit="1" customWidth="1"/>
    <col min="8545" max="8545" width="4.21875" style="110" bestFit="1" customWidth="1"/>
    <col min="8546" max="8551" width="4.77734375" style="110" bestFit="1" customWidth="1"/>
    <col min="8552" max="8557" width="3" style="110" bestFit="1" customWidth="1"/>
    <col min="8558" max="8558" width="2.77734375" style="110" bestFit="1" customWidth="1"/>
    <col min="8559" max="8568" width="3" style="110" bestFit="1" customWidth="1"/>
    <col min="8569" max="8569" width="2.5546875" style="110" bestFit="1" customWidth="1"/>
    <col min="8570" max="8577" width="2.77734375" style="110" bestFit="1" customWidth="1"/>
    <col min="8578" max="8587" width="2.5546875" style="110" bestFit="1" customWidth="1"/>
    <col min="8588" max="8588" width="2.77734375" style="110" bestFit="1" customWidth="1"/>
    <col min="8589" max="8589" width="2.5546875" style="110" bestFit="1" customWidth="1"/>
    <col min="8590" max="8598" width="2.77734375" style="110" bestFit="1" customWidth="1"/>
    <col min="8599" max="8599" width="2.5546875" style="110" bestFit="1" customWidth="1"/>
    <col min="8600" max="8607" width="2.77734375" style="110" bestFit="1" customWidth="1"/>
    <col min="8608" max="8655" width="2.77734375" style="110" customWidth="1"/>
    <col min="8656" max="8656" width="4" style="110" customWidth="1"/>
    <col min="8657" max="8657" width="4.21875" style="110" customWidth="1"/>
    <col min="8658" max="8658" width="3.77734375" style="110" customWidth="1"/>
    <col min="8659" max="8709" width="9.21875" style="110"/>
    <col min="8710" max="8710" width="4.77734375" style="110" customWidth="1"/>
    <col min="8711" max="8711" width="34.21875" style="110" customWidth="1"/>
    <col min="8712" max="8712" width="5.21875" style="110" customWidth="1"/>
    <col min="8713" max="8713" width="18.5546875" style="110" customWidth="1"/>
    <col min="8714" max="8714" width="19.44140625" style="110" customWidth="1"/>
    <col min="8715" max="8715" width="8.44140625" style="110" bestFit="1" customWidth="1"/>
    <col min="8716" max="8716" width="22.21875" style="110" customWidth="1"/>
    <col min="8717" max="8717" width="9" style="110" customWidth="1"/>
    <col min="8718" max="8718" width="7" style="110" customWidth="1"/>
    <col min="8719" max="8719" width="8.44140625" style="110" bestFit="1" customWidth="1"/>
    <col min="8720" max="8720" width="21.77734375" style="110" customWidth="1"/>
    <col min="8721" max="8721" width="3.21875" style="110" customWidth="1"/>
    <col min="8722" max="8755" width="2.44140625" style="110" customWidth="1"/>
    <col min="8756" max="8756" width="2.21875" style="110" customWidth="1"/>
    <col min="8757" max="8760" width="2.44140625" style="110" customWidth="1"/>
    <col min="8761" max="8761" width="2.5546875" style="110" customWidth="1"/>
    <col min="8762" max="8763" width="2.44140625" style="110" customWidth="1"/>
    <col min="8764" max="8770" width="4.77734375" style="110" bestFit="1" customWidth="1"/>
    <col min="8771" max="8771" width="4.21875" style="110" bestFit="1" customWidth="1"/>
    <col min="8772" max="8773" width="4.77734375" style="110" bestFit="1" customWidth="1"/>
    <col min="8774" max="8774" width="3.21875" style="110" customWidth="1"/>
    <col min="8775" max="8775" width="2.77734375" style="110" customWidth="1"/>
    <col min="8776" max="8780" width="4.77734375" style="110" bestFit="1" customWidth="1"/>
    <col min="8781" max="8781" width="4.21875" style="110" bestFit="1" customWidth="1"/>
    <col min="8782" max="8790" width="4.77734375" style="110" bestFit="1" customWidth="1"/>
    <col min="8791" max="8791" width="4.21875" style="110" bestFit="1" customWidth="1"/>
    <col min="8792" max="8800" width="4.77734375" style="110" bestFit="1" customWidth="1"/>
    <col min="8801" max="8801" width="4.21875" style="110" bestFit="1" customWidth="1"/>
    <col min="8802" max="8807" width="4.77734375" style="110" bestFit="1" customWidth="1"/>
    <col min="8808" max="8813" width="3" style="110" bestFit="1" customWidth="1"/>
    <col min="8814" max="8814" width="2.77734375" style="110" bestFit="1" customWidth="1"/>
    <col min="8815" max="8824" width="3" style="110" bestFit="1" customWidth="1"/>
    <col min="8825" max="8825" width="2.5546875" style="110" bestFit="1" customWidth="1"/>
    <col min="8826" max="8833" width="2.77734375" style="110" bestFit="1" customWidth="1"/>
    <col min="8834" max="8843" width="2.5546875" style="110" bestFit="1" customWidth="1"/>
    <col min="8844" max="8844" width="2.77734375" style="110" bestFit="1" customWidth="1"/>
    <col min="8845" max="8845" width="2.5546875" style="110" bestFit="1" customWidth="1"/>
    <col min="8846" max="8854" width="2.77734375" style="110" bestFit="1" customWidth="1"/>
    <col min="8855" max="8855" width="2.5546875" style="110" bestFit="1" customWidth="1"/>
    <col min="8856" max="8863" width="2.77734375" style="110" bestFit="1" customWidth="1"/>
    <col min="8864" max="8911" width="2.77734375" style="110" customWidth="1"/>
    <col min="8912" max="8912" width="4" style="110" customWidth="1"/>
    <col min="8913" max="8913" width="4.21875" style="110" customWidth="1"/>
    <col min="8914" max="8914" width="3.77734375" style="110" customWidth="1"/>
    <col min="8915" max="8965" width="9.21875" style="110"/>
    <col min="8966" max="8966" width="4.77734375" style="110" customWidth="1"/>
    <col min="8967" max="8967" width="34.21875" style="110" customWidth="1"/>
    <col min="8968" max="8968" width="5.21875" style="110" customWidth="1"/>
    <col min="8969" max="8969" width="18.5546875" style="110" customWidth="1"/>
    <col min="8970" max="8970" width="19.44140625" style="110" customWidth="1"/>
    <col min="8971" max="8971" width="8.44140625" style="110" bestFit="1" customWidth="1"/>
    <col min="8972" max="8972" width="22.21875" style="110" customWidth="1"/>
    <col min="8973" max="8973" width="9" style="110" customWidth="1"/>
    <col min="8974" max="8974" width="7" style="110" customWidth="1"/>
    <col min="8975" max="8975" width="8.44140625" style="110" bestFit="1" customWidth="1"/>
    <col min="8976" max="8976" width="21.77734375" style="110" customWidth="1"/>
    <col min="8977" max="8977" width="3.21875" style="110" customWidth="1"/>
    <col min="8978" max="9011" width="2.44140625" style="110" customWidth="1"/>
    <col min="9012" max="9012" width="2.21875" style="110" customWidth="1"/>
    <col min="9013" max="9016" width="2.44140625" style="110" customWidth="1"/>
    <col min="9017" max="9017" width="2.5546875" style="110" customWidth="1"/>
    <col min="9018" max="9019" width="2.44140625" style="110" customWidth="1"/>
    <col min="9020" max="9026" width="4.77734375" style="110" bestFit="1" customWidth="1"/>
    <col min="9027" max="9027" width="4.21875" style="110" bestFit="1" customWidth="1"/>
    <col min="9028" max="9029" width="4.77734375" style="110" bestFit="1" customWidth="1"/>
    <col min="9030" max="9030" width="3.21875" style="110" customWidth="1"/>
    <col min="9031" max="9031" width="2.77734375" style="110" customWidth="1"/>
    <col min="9032" max="9036" width="4.77734375" style="110" bestFit="1" customWidth="1"/>
    <col min="9037" max="9037" width="4.21875" style="110" bestFit="1" customWidth="1"/>
    <col min="9038" max="9046" width="4.77734375" style="110" bestFit="1" customWidth="1"/>
    <col min="9047" max="9047" width="4.21875" style="110" bestFit="1" customWidth="1"/>
    <col min="9048" max="9056" width="4.77734375" style="110" bestFit="1" customWidth="1"/>
    <col min="9057" max="9057" width="4.21875" style="110" bestFit="1" customWidth="1"/>
    <col min="9058" max="9063" width="4.77734375" style="110" bestFit="1" customWidth="1"/>
    <col min="9064" max="9069" width="3" style="110" bestFit="1" customWidth="1"/>
    <col min="9070" max="9070" width="2.77734375" style="110" bestFit="1" customWidth="1"/>
    <col min="9071" max="9080" width="3" style="110" bestFit="1" customWidth="1"/>
    <col min="9081" max="9081" width="2.5546875" style="110" bestFit="1" customWidth="1"/>
    <col min="9082" max="9089" width="2.77734375" style="110" bestFit="1" customWidth="1"/>
    <col min="9090" max="9099" width="2.5546875" style="110" bestFit="1" customWidth="1"/>
    <col min="9100" max="9100" width="2.77734375" style="110" bestFit="1" customWidth="1"/>
    <col min="9101" max="9101" width="2.5546875" style="110" bestFit="1" customWidth="1"/>
    <col min="9102" max="9110" width="2.77734375" style="110" bestFit="1" customWidth="1"/>
    <col min="9111" max="9111" width="2.5546875" style="110" bestFit="1" customWidth="1"/>
    <col min="9112" max="9119" width="2.77734375" style="110" bestFit="1" customWidth="1"/>
    <col min="9120" max="9167" width="2.77734375" style="110" customWidth="1"/>
    <col min="9168" max="9168" width="4" style="110" customWidth="1"/>
    <col min="9169" max="9169" width="4.21875" style="110" customWidth="1"/>
    <col min="9170" max="9170" width="3.77734375" style="110" customWidth="1"/>
    <col min="9171" max="9221" width="9.21875" style="110"/>
    <col min="9222" max="9222" width="4.77734375" style="110" customWidth="1"/>
    <col min="9223" max="9223" width="34.21875" style="110" customWidth="1"/>
    <col min="9224" max="9224" width="5.21875" style="110" customWidth="1"/>
    <col min="9225" max="9225" width="18.5546875" style="110" customWidth="1"/>
    <col min="9226" max="9226" width="19.44140625" style="110" customWidth="1"/>
    <col min="9227" max="9227" width="8.44140625" style="110" bestFit="1" customWidth="1"/>
    <col min="9228" max="9228" width="22.21875" style="110" customWidth="1"/>
    <col min="9229" max="9229" width="9" style="110" customWidth="1"/>
    <col min="9230" max="9230" width="7" style="110" customWidth="1"/>
    <col min="9231" max="9231" width="8.44140625" style="110" bestFit="1" customWidth="1"/>
    <col min="9232" max="9232" width="21.77734375" style="110" customWidth="1"/>
    <col min="9233" max="9233" width="3.21875" style="110" customWidth="1"/>
    <col min="9234" max="9267" width="2.44140625" style="110" customWidth="1"/>
    <col min="9268" max="9268" width="2.21875" style="110" customWidth="1"/>
    <col min="9269" max="9272" width="2.44140625" style="110" customWidth="1"/>
    <col min="9273" max="9273" width="2.5546875" style="110" customWidth="1"/>
    <col min="9274" max="9275" width="2.44140625" style="110" customWidth="1"/>
    <col min="9276" max="9282" width="4.77734375" style="110" bestFit="1" customWidth="1"/>
    <col min="9283" max="9283" width="4.21875" style="110" bestFit="1" customWidth="1"/>
    <col min="9284" max="9285" width="4.77734375" style="110" bestFit="1" customWidth="1"/>
    <col min="9286" max="9286" width="3.21875" style="110" customWidth="1"/>
    <col min="9287" max="9287" width="2.77734375" style="110" customWidth="1"/>
    <col min="9288" max="9292" width="4.77734375" style="110" bestFit="1" customWidth="1"/>
    <col min="9293" max="9293" width="4.21875" style="110" bestFit="1" customWidth="1"/>
    <col min="9294" max="9302" width="4.77734375" style="110" bestFit="1" customWidth="1"/>
    <col min="9303" max="9303" width="4.21875" style="110" bestFit="1" customWidth="1"/>
    <col min="9304" max="9312" width="4.77734375" style="110" bestFit="1" customWidth="1"/>
    <col min="9313" max="9313" width="4.21875" style="110" bestFit="1" customWidth="1"/>
    <col min="9314" max="9319" width="4.77734375" style="110" bestFit="1" customWidth="1"/>
    <col min="9320" max="9325" width="3" style="110" bestFit="1" customWidth="1"/>
    <col min="9326" max="9326" width="2.77734375" style="110" bestFit="1" customWidth="1"/>
    <col min="9327" max="9336" width="3" style="110" bestFit="1" customWidth="1"/>
    <col min="9337" max="9337" width="2.5546875" style="110" bestFit="1" customWidth="1"/>
    <col min="9338" max="9345" width="2.77734375" style="110" bestFit="1" customWidth="1"/>
    <col min="9346" max="9355" width="2.5546875" style="110" bestFit="1" customWidth="1"/>
    <col min="9356" max="9356" width="2.77734375" style="110" bestFit="1" customWidth="1"/>
    <col min="9357" max="9357" width="2.5546875" style="110" bestFit="1" customWidth="1"/>
    <col min="9358" max="9366" width="2.77734375" style="110" bestFit="1" customWidth="1"/>
    <col min="9367" max="9367" width="2.5546875" style="110" bestFit="1" customWidth="1"/>
    <col min="9368" max="9375" width="2.77734375" style="110" bestFit="1" customWidth="1"/>
    <col min="9376" max="9423" width="2.77734375" style="110" customWidth="1"/>
    <col min="9424" max="9424" width="4" style="110" customWidth="1"/>
    <col min="9425" max="9425" width="4.21875" style="110" customWidth="1"/>
    <col min="9426" max="9426" width="3.77734375" style="110" customWidth="1"/>
    <col min="9427" max="9477" width="9.21875" style="110"/>
    <col min="9478" max="9478" width="4.77734375" style="110" customWidth="1"/>
    <col min="9479" max="9479" width="34.21875" style="110" customWidth="1"/>
    <col min="9480" max="9480" width="5.21875" style="110" customWidth="1"/>
    <col min="9481" max="9481" width="18.5546875" style="110" customWidth="1"/>
    <col min="9482" max="9482" width="19.44140625" style="110" customWidth="1"/>
    <col min="9483" max="9483" width="8.44140625" style="110" bestFit="1" customWidth="1"/>
    <col min="9484" max="9484" width="22.21875" style="110" customWidth="1"/>
    <col min="9485" max="9485" width="9" style="110" customWidth="1"/>
    <col min="9486" max="9486" width="7" style="110" customWidth="1"/>
    <col min="9487" max="9487" width="8.44140625" style="110" bestFit="1" customWidth="1"/>
    <col min="9488" max="9488" width="21.77734375" style="110" customWidth="1"/>
    <col min="9489" max="9489" width="3.21875" style="110" customWidth="1"/>
    <col min="9490" max="9523" width="2.44140625" style="110" customWidth="1"/>
    <col min="9524" max="9524" width="2.21875" style="110" customWidth="1"/>
    <col min="9525" max="9528" width="2.44140625" style="110" customWidth="1"/>
    <col min="9529" max="9529" width="2.5546875" style="110" customWidth="1"/>
    <col min="9530" max="9531" width="2.44140625" style="110" customWidth="1"/>
    <col min="9532" max="9538" width="4.77734375" style="110" bestFit="1" customWidth="1"/>
    <col min="9539" max="9539" width="4.21875" style="110" bestFit="1" customWidth="1"/>
    <col min="9540" max="9541" width="4.77734375" style="110" bestFit="1" customWidth="1"/>
    <col min="9542" max="9542" width="3.21875" style="110" customWidth="1"/>
    <col min="9543" max="9543" width="2.77734375" style="110" customWidth="1"/>
    <col min="9544" max="9548" width="4.77734375" style="110" bestFit="1" customWidth="1"/>
    <col min="9549" max="9549" width="4.21875" style="110" bestFit="1" customWidth="1"/>
    <col min="9550" max="9558" width="4.77734375" style="110" bestFit="1" customWidth="1"/>
    <col min="9559" max="9559" width="4.21875" style="110" bestFit="1" customWidth="1"/>
    <col min="9560" max="9568" width="4.77734375" style="110" bestFit="1" customWidth="1"/>
    <col min="9569" max="9569" width="4.21875" style="110" bestFit="1" customWidth="1"/>
    <col min="9570" max="9575" width="4.77734375" style="110" bestFit="1" customWidth="1"/>
    <col min="9576" max="9581" width="3" style="110" bestFit="1" customWidth="1"/>
    <col min="9582" max="9582" width="2.77734375" style="110" bestFit="1" customWidth="1"/>
    <col min="9583" max="9592" width="3" style="110" bestFit="1" customWidth="1"/>
    <col min="9593" max="9593" width="2.5546875" style="110" bestFit="1" customWidth="1"/>
    <col min="9594" max="9601" width="2.77734375" style="110" bestFit="1" customWidth="1"/>
    <col min="9602" max="9611" width="2.5546875" style="110" bestFit="1" customWidth="1"/>
    <col min="9612" max="9612" width="2.77734375" style="110" bestFit="1" customWidth="1"/>
    <col min="9613" max="9613" width="2.5546875" style="110" bestFit="1" customWidth="1"/>
    <col min="9614" max="9622" width="2.77734375" style="110" bestFit="1" customWidth="1"/>
    <col min="9623" max="9623" width="2.5546875" style="110" bestFit="1" customWidth="1"/>
    <col min="9624" max="9631" width="2.77734375" style="110" bestFit="1" customWidth="1"/>
    <col min="9632" max="9679" width="2.77734375" style="110" customWidth="1"/>
    <col min="9680" max="9680" width="4" style="110" customWidth="1"/>
    <col min="9681" max="9681" width="4.21875" style="110" customWidth="1"/>
    <col min="9682" max="9682" width="3.77734375" style="110" customWidth="1"/>
    <col min="9683" max="9733" width="9.21875" style="110"/>
    <col min="9734" max="9734" width="4.77734375" style="110" customWidth="1"/>
    <col min="9735" max="9735" width="34.21875" style="110" customWidth="1"/>
    <col min="9736" max="9736" width="5.21875" style="110" customWidth="1"/>
    <col min="9737" max="9737" width="18.5546875" style="110" customWidth="1"/>
    <col min="9738" max="9738" width="19.44140625" style="110" customWidth="1"/>
    <col min="9739" max="9739" width="8.44140625" style="110" bestFit="1" customWidth="1"/>
    <col min="9740" max="9740" width="22.21875" style="110" customWidth="1"/>
    <col min="9741" max="9741" width="9" style="110" customWidth="1"/>
    <col min="9742" max="9742" width="7" style="110" customWidth="1"/>
    <col min="9743" max="9743" width="8.44140625" style="110" bestFit="1" customWidth="1"/>
    <col min="9744" max="9744" width="21.77734375" style="110" customWidth="1"/>
    <col min="9745" max="9745" width="3.21875" style="110" customWidth="1"/>
    <col min="9746" max="9779" width="2.44140625" style="110" customWidth="1"/>
    <col min="9780" max="9780" width="2.21875" style="110" customWidth="1"/>
    <col min="9781" max="9784" width="2.44140625" style="110" customWidth="1"/>
    <col min="9785" max="9785" width="2.5546875" style="110" customWidth="1"/>
    <col min="9786" max="9787" width="2.44140625" style="110" customWidth="1"/>
    <col min="9788" max="9794" width="4.77734375" style="110" bestFit="1" customWidth="1"/>
    <col min="9795" max="9795" width="4.21875" style="110" bestFit="1" customWidth="1"/>
    <col min="9796" max="9797" width="4.77734375" style="110" bestFit="1" customWidth="1"/>
    <col min="9798" max="9798" width="3.21875" style="110" customWidth="1"/>
    <col min="9799" max="9799" width="2.77734375" style="110" customWidth="1"/>
    <col min="9800" max="9804" width="4.77734375" style="110" bestFit="1" customWidth="1"/>
    <col min="9805" max="9805" width="4.21875" style="110" bestFit="1" customWidth="1"/>
    <col min="9806" max="9814" width="4.77734375" style="110" bestFit="1" customWidth="1"/>
    <col min="9815" max="9815" width="4.21875" style="110" bestFit="1" customWidth="1"/>
    <col min="9816" max="9824" width="4.77734375" style="110" bestFit="1" customWidth="1"/>
    <col min="9825" max="9825" width="4.21875" style="110" bestFit="1" customWidth="1"/>
    <col min="9826" max="9831" width="4.77734375" style="110" bestFit="1" customWidth="1"/>
    <col min="9832" max="9837" width="3" style="110" bestFit="1" customWidth="1"/>
    <col min="9838" max="9838" width="2.77734375" style="110" bestFit="1" customWidth="1"/>
    <col min="9839" max="9848" width="3" style="110" bestFit="1" customWidth="1"/>
    <col min="9849" max="9849" width="2.5546875" style="110" bestFit="1" customWidth="1"/>
    <col min="9850" max="9857" width="2.77734375" style="110" bestFit="1" customWidth="1"/>
    <col min="9858" max="9867" width="2.5546875" style="110" bestFit="1" customWidth="1"/>
    <col min="9868" max="9868" width="2.77734375" style="110" bestFit="1" customWidth="1"/>
    <col min="9869" max="9869" width="2.5546875" style="110" bestFit="1" customWidth="1"/>
    <col min="9870" max="9878" width="2.77734375" style="110" bestFit="1" customWidth="1"/>
    <col min="9879" max="9879" width="2.5546875" style="110" bestFit="1" customWidth="1"/>
    <col min="9880" max="9887" width="2.77734375" style="110" bestFit="1" customWidth="1"/>
    <col min="9888" max="9935" width="2.77734375" style="110" customWidth="1"/>
    <col min="9936" max="9936" width="4" style="110" customWidth="1"/>
    <col min="9937" max="9937" width="4.21875" style="110" customWidth="1"/>
    <col min="9938" max="9938" width="3.77734375" style="110" customWidth="1"/>
    <col min="9939" max="9989" width="9.21875" style="110"/>
    <col min="9990" max="9990" width="4.77734375" style="110" customWidth="1"/>
    <col min="9991" max="9991" width="34.21875" style="110" customWidth="1"/>
    <col min="9992" max="9992" width="5.21875" style="110" customWidth="1"/>
    <col min="9993" max="9993" width="18.5546875" style="110" customWidth="1"/>
    <col min="9994" max="9994" width="19.44140625" style="110" customWidth="1"/>
    <col min="9995" max="9995" width="8.44140625" style="110" bestFit="1" customWidth="1"/>
    <col min="9996" max="9996" width="22.21875" style="110" customWidth="1"/>
    <col min="9997" max="9997" width="9" style="110" customWidth="1"/>
    <col min="9998" max="9998" width="7" style="110" customWidth="1"/>
    <col min="9999" max="9999" width="8.44140625" style="110" bestFit="1" customWidth="1"/>
    <col min="10000" max="10000" width="21.77734375" style="110" customWidth="1"/>
    <col min="10001" max="10001" width="3.21875" style="110" customWidth="1"/>
    <col min="10002" max="10035" width="2.44140625" style="110" customWidth="1"/>
    <col min="10036" max="10036" width="2.21875" style="110" customWidth="1"/>
    <col min="10037" max="10040" width="2.44140625" style="110" customWidth="1"/>
    <col min="10041" max="10041" width="2.5546875" style="110" customWidth="1"/>
    <col min="10042" max="10043" width="2.44140625" style="110" customWidth="1"/>
    <col min="10044" max="10050" width="4.77734375" style="110" bestFit="1" customWidth="1"/>
    <col min="10051" max="10051" width="4.21875" style="110" bestFit="1" customWidth="1"/>
    <col min="10052" max="10053" width="4.77734375" style="110" bestFit="1" customWidth="1"/>
    <col min="10054" max="10054" width="3.21875" style="110" customWidth="1"/>
    <col min="10055" max="10055" width="2.77734375" style="110" customWidth="1"/>
    <col min="10056" max="10060" width="4.77734375" style="110" bestFit="1" customWidth="1"/>
    <col min="10061" max="10061" width="4.21875" style="110" bestFit="1" customWidth="1"/>
    <col min="10062" max="10070" width="4.77734375" style="110" bestFit="1" customWidth="1"/>
    <col min="10071" max="10071" width="4.21875" style="110" bestFit="1" customWidth="1"/>
    <col min="10072" max="10080" width="4.77734375" style="110" bestFit="1" customWidth="1"/>
    <col min="10081" max="10081" width="4.21875" style="110" bestFit="1" customWidth="1"/>
    <col min="10082" max="10087" width="4.77734375" style="110" bestFit="1" customWidth="1"/>
    <col min="10088" max="10093" width="3" style="110" bestFit="1" customWidth="1"/>
    <col min="10094" max="10094" width="2.77734375" style="110" bestFit="1" customWidth="1"/>
    <col min="10095" max="10104" width="3" style="110" bestFit="1" customWidth="1"/>
    <col min="10105" max="10105" width="2.5546875" style="110" bestFit="1" customWidth="1"/>
    <col min="10106" max="10113" width="2.77734375" style="110" bestFit="1" customWidth="1"/>
    <col min="10114" max="10123" width="2.5546875" style="110" bestFit="1" customWidth="1"/>
    <col min="10124" max="10124" width="2.77734375" style="110" bestFit="1" customWidth="1"/>
    <col min="10125" max="10125" width="2.5546875" style="110" bestFit="1" customWidth="1"/>
    <col min="10126" max="10134" width="2.77734375" style="110" bestFit="1" customWidth="1"/>
    <col min="10135" max="10135" width="2.5546875" style="110" bestFit="1" customWidth="1"/>
    <col min="10136" max="10143" width="2.77734375" style="110" bestFit="1" customWidth="1"/>
    <col min="10144" max="10191" width="2.77734375" style="110" customWidth="1"/>
    <col min="10192" max="10192" width="4" style="110" customWidth="1"/>
    <col min="10193" max="10193" width="4.21875" style="110" customWidth="1"/>
    <col min="10194" max="10194" width="3.77734375" style="110" customWidth="1"/>
    <col min="10195" max="10245" width="9.21875" style="110"/>
    <col min="10246" max="10246" width="4.77734375" style="110" customWidth="1"/>
    <col min="10247" max="10247" width="34.21875" style="110" customWidth="1"/>
    <col min="10248" max="10248" width="5.21875" style="110" customWidth="1"/>
    <col min="10249" max="10249" width="18.5546875" style="110" customWidth="1"/>
    <col min="10250" max="10250" width="19.44140625" style="110" customWidth="1"/>
    <col min="10251" max="10251" width="8.44140625" style="110" bestFit="1" customWidth="1"/>
    <col min="10252" max="10252" width="22.21875" style="110" customWidth="1"/>
    <col min="10253" max="10253" width="9" style="110" customWidth="1"/>
    <col min="10254" max="10254" width="7" style="110" customWidth="1"/>
    <col min="10255" max="10255" width="8.44140625" style="110" bestFit="1" customWidth="1"/>
    <col min="10256" max="10256" width="21.77734375" style="110" customWidth="1"/>
    <col min="10257" max="10257" width="3.21875" style="110" customWidth="1"/>
    <col min="10258" max="10291" width="2.44140625" style="110" customWidth="1"/>
    <col min="10292" max="10292" width="2.21875" style="110" customWidth="1"/>
    <col min="10293" max="10296" width="2.44140625" style="110" customWidth="1"/>
    <col min="10297" max="10297" width="2.5546875" style="110" customWidth="1"/>
    <col min="10298" max="10299" width="2.44140625" style="110" customWidth="1"/>
    <col min="10300" max="10306" width="4.77734375" style="110" bestFit="1" customWidth="1"/>
    <col min="10307" max="10307" width="4.21875" style="110" bestFit="1" customWidth="1"/>
    <col min="10308" max="10309" width="4.77734375" style="110" bestFit="1" customWidth="1"/>
    <col min="10310" max="10310" width="3.21875" style="110" customWidth="1"/>
    <col min="10311" max="10311" width="2.77734375" style="110" customWidth="1"/>
    <col min="10312" max="10316" width="4.77734375" style="110" bestFit="1" customWidth="1"/>
    <col min="10317" max="10317" width="4.21875" style="110" bestFit="1" customWidth="1"/>
    <col min="10318" max="10326" width="4.77734375" style="110" bestFit="1" customWidth="1"/>
    <col min="10327" max="10327" width="4.21875" style="110" bestFit="1" customWidth="1"/>
    <col min="10328" max="10336" width="4.77734375" style="110" bestFit="1" customWidth="1"/>
    <col min="10337" max="10337" width="4.21875" style="110" bestFit="1" customWidth="1"/>
    <col min="10338" max="10343" width="4.77734375" style="110" bestFit="1" customWidth="1"/>
    <col min="10344" max="10349" width="3" style="110" bestFit="1" customWidth="1"/>
    <col min="10350" max="10350" width="2.77734375" style="110" bestFit="1" customWidth="1"/>
    <col min="10351" max="10360" width="3" style="110" bestFit="1" customWidth="1"/>
    <col min="10361" max="10361" width="2.5546875" style="110" bestFit="1" customWidth="1"/>
    <col min="10362" max="10369" width="2.77734375" style="110" bestFit="1" customWidth="1"/>
    <col min="10370" max="10379" width="2.5546875" style="110" bestFit="1" customWidth="1"/>
    <col min="10380" max="10380" width="2.77734375" style="110" bestFit="1" customWidth="1"/>
    <col min="10381" max="10381" width="2.5546875" style="110" bestFit="1" customWidth="1"/>
    <col min="10382" max="10390" width="2.77734375" style="110" bestFit="1" customWidth="1"/>
    <col min="10391" max="10391" width="2.5546875" style="110" bestFit="1" customWidth="1"/>
    <col min="10392" max="10399" width="2.77734375" style="110" bestFit="1" customWidth="1"/>
    <col min="10400" max="10447" width="2.77734375" style="110" customWidth="1"/>
    <col min="10448" max="10448" width="4" style="110" customWidth="1"/>
    <col min="10449" max="10449" width="4.21875" style="110" customWidth="1"/>
    <col min="10450" max="10450" width="3.77734375" style="110" customWidth="1"/>
    <col min="10451" max="10501" width="9.21875" style="110"/>
    <col min="10502" max="10502" width="4.77734375" style="110" customWidth="1"/>
    <col min="10503" max="10503" width="34.21875" style="110" customWidth="1"/>
    <col min="10504" max="10504" width="5.21875" style="110" customWidth="1"/>
    <col min="10505" max="10505" width="18.5546875" style="110" customWidth="1"/>
    <col min="10506" max="10506" width="19.44140625" style="110" customWidth="1"/>
    <col min="10507" max="10507" width="8.44140625" style="110" bestFit="1" customWidth="1"/>
    <col min="10508" max="10508" width="22.21875" style="110" customWidth="1"/>
    <col min="10509" max="10509" width="9" style="110" customWidth="1"/>
    <col min="10510" max="10510" width="7" style="110" customWidth="1"/>
    <col min="10511" max="10511" width="8.44140625" style="110" bestFit="1" customWidth="1"/>
    <col min="10512" max="10512" width="21.77734375" style="110" customWidth="1"/>
    <col min="10513" max="10513" width="3.21875" style="110" customWidth="1"/>
    <col min="10514" max="10547" width="2.44140625" style="110" customWidth="1"/>
    <col min="10548" max="10548" width="2.21875" style="110" customWidth="1"/>
    <col min="10549" max="10552" width="2.44140625" style="110" customWidth="1"/>
    <col min="10553" max="10553" width="2.5546875" style="110" customWidth="1"/>
    <col min="10554" max="10555" width="2.44140625" style="110" customWidth="1"/>
    <col min="10556" max="10562" width="4.77734375" style="110" bestFit="1" customWidth="1"/>
    <col min="10563" max="10563" width="4.21875" style="110" bestFit="1" customWidth="1"/>
    <col min="10564" max="10565" width="4.77734375" style="110" bestFit="1" customWidth="1"/>
    <col min="10566" max="10566" width="3.21875" style="110" customWidth="1"/>
    <col min="10567" max="10567" width="2.77734375" style="110" customWidth="1"/>
    <col min="10568" max="10572" width="4.77734375" style="110" bestFit="1" customWidth="1"/>
    <col min="10573" max="10573" width="4.21875" style="110" bestFit="1" customWidth="1"/>
    <col min="10574" max="10582" width="4.77734375" style="110" bestFit="1" customWidth="1"/>
    <col min="10583" max="10583" width="4.21875" style="110" bestFit="1" customWidth="1"/>
    <col min="10584" max="10592" width="4.77734375" style="110" bestFit="1" customWidth="1"/>
    <col min="10593" max="10593" width="4.21875" style="110" bestFit="1" customWidth="1"/>
    <col min="10594" max="10599" width="4.77734375" style="110" bestFit="1" customWidth="1"/>
    <col min="10600" max="10605" width="3" style="110" bestFit="1" customWidth="1"/>
    <col min="10606" max="10606" width="2.77734375" style="110" bestFit="1" customWidth="1"/>
    <col min="10607" max="10616" width="3" style="110" bestFit="1" customWidth="1"/>
    <col min="10617" max="10617" width="2.5546875" style="110" bestFit="1" customWidth="1"/>
    <col min="10618" max="10625" width="2.77734375" style="110" bestFit="1" customWidth="1"/>
    <col min="10626" max="10635" width="2.5546875" style="110" bestFit="1" customWidth="1"/>
    <col min="10636" max="10636" width="2.77734375" style="110" bestFit="1" customWidth="1"/>
    <col min="10637" max="10637" width="2.5546875" style="110" bestFit="1" customWidth="1"/>
    <col min="10638" max="10646" width="2.77734375" style="110" bestFit="1" customWidth="1"/>
    <col min="10647" max="10647" width="2.5546875" style="110" bestFit="1" customWidth="1"/>
    <col min="10648" max="10655" width="2.77734375" style="110" bestFit="1" customWidth="1"/>
    <col min="10656" max="10703" width="2.77734375" style="110" customWidth="1"/>
    <col min="10704" max="10704" width="4" style="110" customWidth="1"/>
    <col min="10705" max="10705" width="4.21875" style="110" customWidth="1"/>
    <col min="10706" max="10706" width="3.77734375" style="110" customWidth="1"/>
    <col min="10707" max="10757" width="9.21875" style="110"/>
    <col min="10758" max="10758" width="4.77734375" style="110" customWidth="1"/>
    <col min="10759" max="10759" width="34.21875" style="110" customWidth="1"/>
    <col min="10760" max="10760" width="5.21875" style="110" customWidth="1"/>
    <col min="10761" max="10761" width="18.5546875" style="110" customWidth="1"/>
    <col min="10762" max="10762" width="19.44140625" style="110" customWidth="1"/>
    <col min="10763" max="10763" width="8.44140625" style="110" bestFit="1" customWidth="1"/>
    <col min="10764" max="10764" width="22.21875" style="110" customWidth="1"/>
    <col min="10765" max="10765" width="9" style="110" customWidth="1"/>
    <col min="10766" max="10766" width="7" style="110" customWidth="1"/>
    <col min="10767" max="10767" width="8.44140625" style="110" bestFit="1" customWidth="1"/>
    <col min="10768" max="10768" width="21.77734375" style="110" customWidth="1"/>
    <col min="10769" max="10769" width="3.21875" style="110" customWidth="1"/>
    <col min="10770" max="10803" width="2.44140625" style="110" customWidth="1"/>
    <col min="10804" max="10804" width="2.21875" style="110" customWidth="1"/>
    <col min="10805" max="10808" width="2.44140625" style="110" customWidth="1"/>
    <col min="10809" max="10809" width="2.5546875" style="110" customWidth="1"/>
    <col min="10810" max="10811" width="2.44140625" style="110" customWidth="1"/>
    <col min="10812" max="10818" width="4.77734375" style="110" bestFit="1" customWidth="1"/>
    <col min="10819" max="10819" width="4.21875" style="110" bestFit="1" customWidth="1"/>
    <col min="10820" max="10821" width="4.77734375" style="110" bestFit="1" customWidth="1"/>
    <col min="10822" max="10822" width="3.21875" style="110" customWidth="1"/>
    <col min="10823" max="10823" width="2.77734375" style="110" customWidth="1"/>
    <col min="10824" max="10828" width="4.77734375" style="110" bestFit="1" customWidth="1"/>
    <col min="10829" max="10829" width="4.21875" style="110" bestFit="1" customWidth="1"/>
    <col min="10830" max="10838" width="4.77734375" style="110" bestFit="1" customWidth="1"/>
    <col min="10839" max="10839" width="4.21875" style="110" bestFit="1" customWidth="1"/>
    <col min="10840" max="10848" width="4.77734375" style="110" bestFit="1" customWidth="1"/>
    <col min="10849" max="10849" width="4.21875" style="110" bestFit="1" customWidth="1"/>
    <col min="10850" max="10855" width="4.77734375" style="110" bestFit="1" customWidth="1"/>
    <col min="10856" max="10861" width="3" style="110" bestFit="1" customWidth="1"/>
    <col min="10862" max="10862" width="2.77734375" style="110" bestFit="1" customWidth="1"/>
    <col min="10863" max="10872" width="3" style="110" bestFit="1" customWidth="1"/>
    <col min="10873" max="10873" width="2.5546875" style="110" bestFit="1" customWidth="1"/>
    <col min="10874" max="10881" width="2.77734375" style="110" bestFit="1" customWidth="1"/>
    <col min="10882" max="10891" width="2.5546875" style="110" bestFit="1" customWidth="1"/>
    <col min="10892" max="10892" width="2.77734375" style="110" bestFit="1" customWidth="1"/>
    <col min="10893" max="10893" width="2.5546875" style="110" bestFit="1" customWidth="1"/>
    <col min="10894" max="10902" width="2.77734375" style="110" bestFit="1" customWidth="1"/>
    <col min="10903" max="10903" width="2.5546875" style="110" bestFit="1" customWidth="1"/>
    <col min="10904" max="10911" width="2.77734375" style="110" bestFit="1" customWidth="1"/>
    <col min="10912" max="10959" width="2.77734375" style="110" customWidth="1"/>
    <col min="10960" max="10960" width="4" style="110" customWidth="1"/>
    <col min="10961" max="10961" width="4.21875" style="110" customWidth="1"/>
    <col min="10962" max="10962" width="3.77734375" style="110" customWidth="1"/>
    <col min="10963" max="11013" width="9.21875" style="110"/>
    <col min="11014" max="11014" width="4.77734375" style="110" customWidth="1"/>
    <col min="11015" max="11015" width="34.21875" style="110" customWidth="1"/>
    <col min="11016" max="11016" width="5.21875" style="110" customWidth="1"/>
    <col min="11017" max="11017" width="18.5546875" style="110" customWidth="1"/>
    <col min="11018" max="11018" width="19.44140625" style="110" customWidth="1"/>
    <col min="11019" max="11019" width="8.44140625" style="110" bestFit="1" customWidth="1"/>
    <col min="11020" max="11020" width="22.21875" style="110" customWidth="1"/>
    <col min="11021" max="11021" width="9" style="110" customWidth="1"/>
    <col min="11022" max="11022" width="7" style="110" customWidth="1"/>
    <col min="11023" max="11023" width="8.44140625" style="110" bestFit="1" customWidth="1"/>
    <col min="11024" max="11024" width="21.77734375" style="110" customWidth="1"/>
    <col min="11025" max="11025" width="3.21875" style="110" customWidth="1"/>
    <col min="11026" max="11059" width="2.44140625" style="110" customWidth="1"/>
    <col min="11060" max="11060" width="2.21875" style="110" customWidth="1"/>
    <col min="11061" max="11064" width="2.44140625" style="110" customWidth="1"/>
    <col min="11065" max="11065" width="2.5546875" style="110" customWidth="1"/>
    <col min="11066" max="11067" width="2.44140625" style="110" customWidth="1"/>
    <col min="11068" max="11074" width="4.77734375" style="110" bestFit="1" customWidth="1"/>
    <col min="11075" max="11075" width="4.21875" style="110" bestFit="1" customWidth="1"/>
    <col min="11076" max="11077" width="4.77734375" style="110" bestFit="1" customWidth="1"/>
    <col min="11078" max="11078" width="3.21875" style="110" customWidth="1"/>
    <col min="11079" max="11079" width="2.77734375" style="110" customWidth="1"/>
    <col min="11080" max="11084" width="4.77734375" style="110" bestFit="1" customWidth="1"/>
    <col min="11085" max="11085" width="4.21875" style="110" bestFit="1" customWidth="1"/>
    <col min="11086" max="11094" width="4.77734375" style="110" bestFit="1" customWidth="1"/>
    <col min="11095" max="11095" width="4.21875" style="110" bestFit="1" customWidth="1"/>
    <col min="11096" max="11104" width="4.77734375" style="110" bestFit="1" customWidth="1"/>
    <col min="11105" max="11105" width="4.21875" style="110" bestFit="1" customWidth="1"/>
    <col min="11106" max="11111" width="4.77734375" style="110" bestFit="1" customWidth="1"/>
    <col min="11112" max="11117" width="3" style="110" bestFit="1" customWidth="1"/>
    <col min="11118" max="11118" width="2.77734375" style="110" bestFit="1" customWidth="1"/>
    <col min="11119" max="11128" width="3" style="110" bestFit="1" customWidth="1"/>
    <col min="11129" max="11129" width="2.5546875" style="110" bestFit="1" customWidth="1"/>
    <col min="11130" max="11137" width="2.77734375" style="110" bestFit="1" customWidth="1"/>
    <col min="11138" max="11147" width="2.5546875" style="110" bestFit="1" customWidth="1"/>
    <col min="11148" max="11148" width="2.77734375" style="110" bestFit="1" customWidth="1"/>
    <col min="11149" max="11149" width="2.5546875" style="110" bestFit="1" customWidth="1"/>
    <col min="11150" max="11158" width="2.77734375" style="110" bestFit="1" customWidth="1"/>
    <col min="11159" max="11159" width="2.5546875" style="110" bestFit="1" customWidth="1"/>
    <col min="11160" max="11167" width="2.77734375" style="110" bestFit="1" customWidth="1"/>
    <col min="11168" max="11215" width="2.77734375" style="110" customWidth="1"/>
    <col min="11216" max="11216" width="4" style="110" customWidth="1"/>
    <col min="11217" max="11217" width="4.21875" style="110" customWidth="1"/>
    <col min="11218" max="11218" width="3.77734375" style="110" customWidth="1"/>
    <col min="11219" max="11269" width="9.21875" style="110"/>
    <col min="11270" max="11270" width="4.77734375" style="110" customWidth="1"/>
    <col min="11271" max="11271" width="34.21875" style="110" customWidth="1"/>
    <col min="11272" max="11272" width="5.21875" style="110" customWidth="1"/>
    <col min="11273" max="11273" width="18.5546875" style="110" customWidth="1"/>
    <col min="11274" max="11274" width="19.44140625" style="110" customWidth="1"/>
    <col min="11275" max="11275" width="8.44140625" style="110" bestFit="1" customWidth="1"/>
    <col min="11276" max="11276" width="22.21875" style="110" customWidth="1"/>
    <col min="11277" max="11277" width="9" style="110" customWidth="1"/>
    <col min="11278" max="11278" width="7" style="110" customWidth="1"/>
    <col min="11279" max="11279" width="8.44140625" style="110" bestFit="1" customWidth="1"/>
    <col min="11280" max="11280" width="21.77734375" style="110" customWidth="1"/>
    <col min="11281" max="11281" width="3.21875" style="110" customWidth="1"/>
    <col min="11282" max="11315" width="2.44140625" style="110" customWidth="1"/>
    <col min="11316" max="11316" width="2.21875" style="110" customWidth="1"/>
    <col min="11317" max="11320" width="2.44140625" style="110" customWidth="1"/>
    <col min="11321" max="11321" width="2.5546875" style="110" customWidth="1"/>
    <col min="11322" max="11323" width="2.44140625" style="110" customWidth="1"/>
    <col min="11324" max="11330" width="4.77734375" style="110" bestFit="1" customWidth="1"/>
    <col min="11331" max="11331" width="4.21875" style="110" bestFit="1" customWidth="1"/>
    <col min="11332" max="11333" width="4.77734375" style="110" bestFit="1" customWidth="1"/>
    <col min="11334" max="11334" width="3.21875" style="110" customWidth="1"/>
    <col min="11335" max="11335" width="2.77734375" style="110" customWidth="1"/>
    <col min="11336" max="11340" width="4.77734375" style="110" bestFit="1" customWidth="1"/>
    <col min="11341" max="11341" width="4.21875" style="110" bestFit="1" customWidth="1"/>
    <col min="11342" max="11350" width="4.77734375" style="110" bestFit="1" customWidth="1"/>
    <col min="11351" max="11351" width="4.21875" style="110" bestFit="1" customWidth="1"/>
    <col min="11352" max="11360" width="4.77734375" style="110" bestFit="1" customWidth="1"/>
    <col min="11361" max="11361" width="4.21875" style="110" bestFit="1" customWidth="1"/>
    <col min="11362" max="11367" width="4.77734375" style="110" bestFit="1" customWidth="1"/>
    <col min="11368" max="11373" width="3" style="110" bestFit="1" customWidth="1"/>
    <col min="11374" max="11374" width="2.77734375" style="110" bestFit="1" customWidth="1"/>
    <col min="11375" max="11384" width="3" style="110" bestFit="1" customWidth="1"/>
    <col min="11385" max="11385" width="2.5546875" style="110" bestFit="1" customWidth="1"/>
    <col min="11386" max="11393" width="2.77734375" style="110" bestFit="1" customWidth="1"/>
    <col min="11394" max="11403" width="2.5546875" style="110" bestFit="1" customWidth="1"/>
    <col min="11404" max="11404" width="2.77734375" style="110" bestFit="1" customWidth="1"/>
    <col min="11405" max="11405" width="2.5546875" style="110" bestFit="1" customWidth="1"/>
    <col min="11406" max="11414" width="2.77734375" style="110" bestFit="1" customWidth="1"/>
    <col min="11415" max="11415" width="2.5546875" style="110" bestFit="1" customWidth="1"/>
    <col min="11416" max="11423" width="2.77734375" style="110" bestFit="1" customWidth="1"/>
    <col min="11424" max="11471" width="2.77734375" style="110" customWidth="1"/>
    <col min="11472" max="11472" width="4" style="110" customWidth="1"/>
    <col min="11473" max="11473" width="4.21875" style="110" customWidth="1"/>
    <col min="11474" max="11474" width="3.77734375" style="110" customWidth="1"/>
    <col min="11475" max="11525" width="9.21875" style="110"/>
    <col min="11526" max="11526" width="4.77734375" style="110" customWidth="1"/>
    <col min="11527" max="11527" width="34.21875" style="110" customWidth="1"/>
    <col min="11528" max="11528" width="5.21875" style="110" customWidth="1"/>
    <col min="11529" max="11529" width="18.5546875" style="110" customWidth="1"/>
    <col min="11530" max="11530" width="19.44140625" style="110" customWidth="1"/>
    <col min="11531" max="11531" width="8.44140625" style="110" bestFit="1" customWidth="1"/>
    <col min="11532" max="11532" width="22.21875" style="110" customWidth="1"/>
    <col min="11533" max="11533" width="9" style="110" customWidth="1"/>
    <col min="11534" max="11534" width="7" style="110" customWidth="1"/>
    <col min="11535" max="11535" width="8.44140625" style="110" bestFit="1" customWidth="1"/>
    <col min="11536" max="11536" width="21.77734375" style="110" customWidth="1"/>
    <col min="11537" max="11537" width="3.21875" style="110" customWidth="1"/>
    <col min="11538" max="11571" width="2.44140625" style="110" customWidth="1"/>
    <col min="11572" max="11572" width="2.21875" style="110" customWidth="1"/>
    <col min="11573" max="11576" width="2.44140625" style="110" customWidth="1"/>
    <col min="11577" max="11577" width="2.5546875" style="110" customWidth="1"/>
    <col min="11578" max="11579" width="2.44140625" style="110" customWidth="1"/>
    <col min="11580" max="11586" width="4.77734375" style="110" bestFit="1" customWidth="1"/>
    <col min="11587" max="11587" width="4.21875" style="110" bestFit="1" customWidth="1"/>
    <col min="11588" max="11589" width="4.77734375" style="110" bestFit="1" customWidth="1"/>
    <col min="11590" max="11590" width="3.21875" style="110" customWidth="1"/>
    <col min="11591" max="11591" width="2.77734375" style="110" customWidth="1"/>
    <col min="11592" max="11596" width="4.77734375" style="110" bestFit="1" customWidth="1"/>
    <col min="11597" max="11597" width="4.21875" style="110" bestFit="1" customWidth="1"/>
    <col min="11598" max="11606" width="4.77734375" style="110" bestFit="1" customWidth="1"/>
    <col min="11607" max="11607" width="4.21875" style="110" bestFit="1" customWidth="1"/>
    <col min="11608" max="11616" width="4.77734375" style="110" bestFit="1" customWidth="1"/>
    <col min="11617" max="11617" width="4.21875" style="110" bestFit="1" customWidth="1"/>
    <col min="11618" max="11623" width="4.77734375" style="110" bestFit="1" customWidth="1"/>
    <col min="11624" max="11629" width="3" style="110" bestFit="1" customWidth="1"/>
    <col min="11630" max="11630" width="2.77734375" style="110" bestFit="1" customWidth="1"/>
    <col min="11631" max="11640" width="3" style="110" bestFit="1" customWidth="1"/>
    <col min="11641" max="11641" width="2.5546875" style="110" bestFit="1" customWidth="1"/>
    <col min="11642" max="11649" width="2.77734375" style="110" bestFit="1" customWidth="1"/>
    <col min="11650" max="11659" width="2.5546875" style="110" bestFit="1" customWidth="1"/>
    <col min="11660" max="11660" width="2.77734375" style="110" bestFit="1" customWidth="1"/>
    <col min="11661" max="11661" width="2.5546875" style="110" bestFit="1" customWidth="1"/>
    <col min="11662" max="11670" width="2.77734375" style="110" bestFit="1" customWidth="1"/>
    <col min="11671" max="11671" width="2.5546875" style="110" bestFit="1" customWidth="1"/>
    <col min="11672" max="11679" width="2.77734375" style="110" bestFit="1" customWidth="1"/>
    <col min="11680" max="11727" width="2.77734375" style="110" customWidth="1"/>
    <col min="11728" max="11728" width="4" style="110" customWidth="1"/>
    <col min="11729" max="11729" width="4.21875" style="110" customWidth="1"/>
    <col min="11730" max="11730" width="3.77734375" style="110" customWidth="1"/>
    <col min="11731" max="11781" width="9.21875" style="110"/>
    <col min="11782" max="11782" width="4.77734375" style="110" customWidth="1"/>
    <col min="11783" max="11783" width="34.21875" style="110" customWidth="1"/>
    <col min="11784" max="11784" width="5.21875" style="110" customWidth="1"/>
    <col min="11785" max="11785" width="18.5546875" style="110" customWidth="1"/>
    <col min="11786" max="11786" width="19.44140625" style="110" customWidth="1"/>
    <col min="11787" max="11787" width="8.44140625" style="110" bestFit="1" customWidth="1"/>
    <col min="11788" max="11788" width="22.21875" style="110" customWidth="1"/>
    <col min="11789" max="11789" width="9" style="110" customWidth="1"/>
    <col min="11790" max="11790" width="7" style="110" customWidth="1"/>
    <col min="11791" max="11791" width="8.44140625" style="110" bestFit="1" customWidth="1"/>
    <col min="11792" max="11792" width="21.77734375" style="110" customWidth="1"/>
    <col min="11793" max="11793" width="3.21875" style="110" customWidth="1"/>
    <col min="11794" max="11827" width="2.44140625" style="110" customWidth="1"/>
    <col min="11828" max="11828" width="2.21875" style="110" customWidth="1"/>
    <col min="11829" max="11832" width="2.44140625" style="110" customWidth="1"/>
    <col min="11833" max="11833" width="2.5546875" style="110" customWidth="1"/>
    <col min="11834" max="11835" width="2.44140625" style="110" customWidth="1"/>
    <col min="11836" max="11842" width="4.77734375" style="110" bestFit="1" customWidth="1"/>
    <col min="11843" max="11843" width="4.21875" style="110" bestFit="1" customWidth="1"/>
    <col min="11844" max="11845" width="4.77734375" style="110" bestFit="1" customWidth="1"/>
    <col min="11846" max="11846" width="3.21875" style="110" customWidth="1"/>
    <col min="11847" max="11847" width="2.77734375" style="110" customWidth="1"/>
    <col min="11848" max="11852" width="4.77734375" style="110" bestFit="1" customWidth="1"/>
    <col min="11853" max="11853" width="4.21875" style="110" bestFit="1" customWidth="1"/>
    <col min="11854" max="11862" width="4.77734375" style="110" bestFit="1" customWidth="1"/>
    <col min="11863" max="11863" width="4.21875" style="110" bestFit="1" customWidth="1"/>
    <col min="11864" max="11872" width="4.77734375" style="110" bestFit="1" customWidth="1"/>
    <col min="11873" max="11873" width="4.21875" style="110" bestFit="1" customWidth="1"/>
    <col min="11874" max="11879" width="4.77734375" style="110" bestFit="1" customWidth="1"/>
    <col min="11880" max="11885" width="3" style="110" bestFit="1" customWidth="1"/>
    <col min="11886" max="11886" width="2.77734375" style="110" bestFit="1" customWidth="1"/>
    <col min="11887" max="11896" width="3" style="110" bestFit="1" customWidth="1"/>
    <col min="11897" max="11897" width="2.5546875" style="110" bestFit="1" customWidth="1"/>
    <col min="11898" max="11905" width="2.77734375" style="110" bestFit="1" customWidth="1"/>
    <col min="11906" max="11915" width="2.5546875" style="110" bestFit="1" customWidth="1"/>
    <col min="11916" max="11916" width="2.77734375" style="110" bestFit="1" customWidth="1"/>
    <col min="11917" max="11917" width="2.5546875" style="110" bestFit="1" customWidth="1"/>
    <col min="11918" max="11926" width="2.77734375" style="110" bestFit="1" customWidth="1"/>
    <col min="11927" max="11927" width="2.5546875" style="110" bestFit="1" customWidth="1"/>
    <col min="11928" max="11935" width="2.77734375" style="110" bestFit="1" customWidth="1"/>
    <col min="11936" max="11983" width="2.77734375" style="110" customWidth="1"/>
    <col min="11984" max="11984" width="4" style="110" customWidth="1"/>
    <col min="11985" max="11985" width="4.21875" style="110" customWidth="1"/>
    <col min="11986" max="11986" width="3.77734375" style="110" customWidth="1"/>
    <col min="11987" max="12037" width="9.21875" style="110"/>
    <col min="12038" max="12038" width="4.77734375" style="110" customWidth="1"/>
    <col min="12039" max="12039" width="34.21875" style="110" customWidth="1"/>
    <col min="12040" max="12040" width="5.21875" style="110" customWidth="1"/>
    <col min="12041" max="12041" width="18.5546875" style="110" customWidth="1"/>
    <col min="12042" max="12042" width="19.44140625" style="110" customWidth="1"/>
    <col min="12043" max="12043" width="8.44140625" style="110" bestFit="1" customWidth="1"/>
    <col min="12044" max="12044" width="22.21875" style="110" customWidth="1"/>
    <col min="12045" max="12045" width="9" style="110" customWidth="1"/>
    <col min="12046" max="12046" width="7" style="110" customWidth="1"/>
    <col min="12047" max="12047" width="8.44140625" style="110" bestFit="1" customWidth="1"/>
    <col min="12048" max="12048" width="21.77734375" style="110" customWidth="1"/>
    <col min="12049" max="12049" width="3.21875" style="110" customWidth="1"/>
    <col min="12050" max="12083" width="2.44140625" style="110" customWidth="1"/>
    <col min="12084" max="12084" width="2.21875" style="110" customWidth="1"/>
    <col min="12085" max="12088" width="2.44140625" style="110" customWidth="1"/>
    <col min="12089" max="12089" width="2.5546875" style="110" customWidth="1"/>
    <col min="12090" max="12091" width="2.44140625" style="110" customWidth="1"/>
    <col min="12092" max="12098" width="4.77734375" style="110" bestFit="1" customWidth="1"/>
    <col min="12099" max="12099" width="4.21875" style="110" bestFit="1" customWidth="1"/>
    <col min="12100" max="12101" width="4.77734375" style="110" bestFit="1" customWidth="1"/>
    <col min="12102" max="12102" width="3.21875" style="110" customWidth="1"/>
    <col min="12103" max="12103" width="2.77734375" style="110" customWidth="1"/>
    <col min="12104" max="12108" width="4.77734375" style="110" bestFit="1" customWidth="1"/>
    <col min="12109" max="12109" width="4.21875" style="110" bestFit="1" customWidth="1"/>
    <col min="12110" max="12118" width="4.77734375" style="110" bestFit="1" customWidth="1"/>
    <col min="12119" max="12119" width="4.21875" style="110" bestFit="1" customWidth="1"/>
    <col min="12120" max="12128" width="4.77734375" style="110" bestFit="1" customWidth="1"/>
    <col min="12129" max="12129" width="4.21875" style="110" bestFit="1" customWidth="1"/>
    <col min="12130" max="12135" width="4.77734375" style="110" bestFit="1" customWidth="1"/>
    <col min="12136" max="12141" width="3" style="110" bestFit="1" customWidth="1"/>
    <col min="12142" max="12142" width="2.77734375" style="110" bestFit="1" customWidth="1"/>
    <col min="12143" max="12152" width="3" style="110" bestFit="1" customWidth="1"/>
    <col min="12153" max="12153" width="2.5546875" style="110" bestFit="1" customWidth="1"/>
    <col min="12154" max="12161" width="2.77734375" style="110" bestFit="1" customWidth="1"/>
    <col min="12162" max="12171" width="2.5546875" style="110" bestFit="1" customWidth="1"/>
    <col min="12172" max="12172" width="2.77734375" style="110" bestFit="1" customWidth="1"/>
    <col min="12173" max="12173" width="2.5546875" style="110" bestFit="1" customWidth="1"/>
    <col min="12174" max="12182" width="2.77734375" style="110" bestFit="1" customWidth="1"/>
    <col min="12183" max="12183" width="2.5546875" style="110" bestFit="1" customWidth="1"/>
    <col min="12184" max="12191" width="2.77734375" style="110" bestFit="1" customWidth="1"/>
    <col min="12192" max="12239" width="2.77734375" style="110" customWidth="1"/>
    <col min="12240" max="12240" width="4" style="110" customWidth="1"/>
    <col min="12241" max="12241" width="4.21875" style="110" customWidth="1"/>
    <col min="12242" max="12242" width="3.77734375" style="110" customWidth="1"/>
    <col min="12243" max="12293" width="9.21875" style="110"/>
    <col min="12294" max="12294" width="4.77734375" style="110" customWidth="1"/>
    <col min="12295" max="12295" width="34.21875" style="110" customWidth="1"/>
    <col min="12296" max="12296" width="5.21875" style="110" customWidth="1"/>
    <col min="12297" max="12297" width="18.5546875" style="110" customWidth="1"/>
    <col min="12298" max="12298" width="19.44140625" style="110" customWidth="1"/>
    <col min="12299" max="12299" width="8.44140625" style="110" bestFit="1" customWidth="1"/>
    <col min="12300" max="12300" width="22.21875" style="110" customWidth="1"/>
    <col min="12301" max="12301" width="9" style="110" customWidth="1"/>
    <col min="12302" max="12302" width="7" style="110" customWidth="1"/>
    <col min="12303" max="12303" width="8.44140625" style="110" bestFit="1" customWidth="1"/>
    <col min="12304" max="12304" width="21.77734375" style="110" customWidth="1"/>
    <col min="12305" max="12305" width="3.21875" style="110" customWidth="1"/>
    <col min="12306" max="12339" width="2.44140625" style="110" customWidth="1"/>
    <col min="12340" max="12340" width="2.21875" style="110" customWidth="1"/>
    <col min="12341" max="12344" width="2.44140625" style="110" customWidth="1"/>
    <col min="12345" max="12345" width="2.5546875" style="110" customWidth="1"/>
    <col min="12346" max="12347" width="2.44140625" style="110" customWidth="1"/>
    <col min="12348" max="12354" width="4.77734375" style="110" bestFit="1" customWidth="1"/>
    <col min="12355" max="12355" width="4.21875" style="110" bestFit="1" customWidth="1"/>
    <col min="12356" max="12357" width="4.77734375" style="110" bestFit="1" customWidth="1"/>
    <col min="12358" max="12358" width="3.21875" style="110" customWidth="1"/>
    <col min="12359" max="12359" width="2.77734375" style="110" customWidth="1"/>
    <col min="12360" max="12364" width="4.77734375" style="110" bestFit="1" customWidth="1"/>
    <col min="12365" max="12365" width="4.21875" style="110" bestFit="1" customWidth="1"/>
    <col min="12366" max="12374" width="4.77734375" style="110" bestFit="1" customWidth="1"/>
    <col min="12375" max="12375" width="4.21875" style="110" bestFit="1" customWidth="1"/>
    <col min="12376" max="12384" width="4.77734375" style="110" bestFit="1" customWidth="1"/>
    <col min="12385" max="12385" width="4.21875" style="110" bestFit="1" customWidth="1"/>
    <col min="12386" max="12391" width="4.77734375" style="110" bestFit="1" customWidth="1"/>
    <col min="12392" max="12397" width="3" style="110" bestFit="1" customWidth="1"/>
    <col min="12398" max="12398" width="2.77734375" style="110" bestFit="1" customWidth="1"/>
    <col min="12399" max="12408" width="3" style="110" bestFit="1" customWidth="1"/>
    <col min="12409" max="12409" width="2.5546875" style="110" bestFit="1" customWidth="1"/>
    <col min="12410" max="12417" width="2.77734375" style="110" bestFit="1" customWidth="1"/>
    <col min="12418" max="12427" width="2.5546875" style="110" bestFit="1" customWidth="1"/>
    <col min="12428" max="12428" width="2.77734375" style="110" bestFit="1" customWidth="1"/>
    <col min="12429" max="12429" width="2.5546875" style="110" bestFit="1" customWidth="1"/>
    <col min="12430" max="12438" width="2.77734375" style="110" bestFit="1" customWidth="1"/>
    <col min="12439" max="12439" width="2.5546875" style="110" bestFit="1" customWidth="1"/>
    <col min="12440" max="12447" width="2.77734375" style="110" bestFit="1" customWidth="1"/>
    <col min="12448" max="12495" width="2.77734375" style="110" customWidth="1"/>
    <col min="12496" max="12496" width="4" style="110" customWidth="1"/>
    <col min="12497" max="12497" width="4.21875" style="110" customWidth="1"/>
    <col min="12498" max="12498" width="3.77734375" style="110" customWidth="1"/>
    <col min="12499" max="12549" width="9.21875" style="110"/>
    <col min="12550" max="12550" width="4.77734375" style="110" customWidth="1"/>
    <col min="12551" max="12551" width="34.21875" style="110" customWidth="1"/>
    <col min="12552" max="12552" width="5.21875" style="110" customWidth="1"/>
    <col min="12553" max="12553" width="18.5546875" style="110" customWidth="1"/>
    <col min="12554" max="12554" width="19.44140625" style="110" customWidth="1"/>
    <col min="12555" max="12555" width="8.44140625" style="110" bestFit="1" customWidth="1"/>
    <col min="12556" max="12556" width="22.21875" style="110" customWidth="1"/>
    <col min="12557" max="12557" width="9" style="110" customWidth="1"/>
    <col min="12558" max="12558" width="7" style="110" customWidth="1"/>
    <col min="12559" max="12559" width="8.44140625" style="110" bestFit="1" customWidth="1"/>
    <col min="12560" max="12560" width="21.77734375" style="110" customWidth="1"/>
    <col min="12561" max="12561" width="3.21875" style="110" customWidth="1"/>
    <col min="12562" max="12595" width="2.44140625" style="110" customWidth="1"/>
    <col min="12596" max="12596" width="2.21875" style="110" customWidth="1"/>
    <col min="12597" max="12600" width="2.44140625" style="110" customWidth="1"/>
    <col min="12601" max="12601" width="2.5546875" style="110" customWidth="1"/>
    <col min="12602" max="12603" width="2.44140625" style="110" customWidth="1"/>
    <col min="12604" max="12610" width="4.77734375" style="110" bestFit="1" customWidth="1"/>
    <col min="12611" max="12611" width="4.21875" style="110" bestFit="1" customWidth="1"/>
    <col min="12612" max="12613" width="4.77734375" style="110" bestFit="1" customWidth="1"/>
    <col min="12614" max="12614" width="3.21875" style="110" customWidth="1"/>
    <col min="12615" max="12615" width="2.77734375" style="110" customWidth="1"/>
    <col min="12616" max="12620" width="4.77734375" style="110" bestFit="1" customWidth="1"/>
    <col min="12621" max="12621" width="4.21875" style="110" bestFit="1" customWidth="1"/>
    <col min="12622" max="12630" width="4.77734375" style="110" bestFit="1" customWidth="1"/>
    <col min="12631" max="12631" width="4.21875" style="110" bestFit="1" customWidth="1"/>
    <col min="12632" max="12640" width="4.77734375" style="110" bestFit="1" customWidth="1"/>
    <col min="12641" max="12641" width="4.21875" style="110" bestFit="1" customWidth="1"/>
    <col min="12642" max="12647" width="4.77734375" style="110" bestFit="1" customWidth="1"/>
    <col min="12648" max="12653" width="3" style="110" bestFit="1" customWidth="1"/>
    <col min="12654" max="12654" width="2.77734375" style="110" bestFit="1" customWidth="1"/>
    <col min="12655" max="12664" width="3" style="110" bestFit="1" customWidth="1"/>
    <col min="12665" max="12665" width="2.5546875" style="110" bestFit="1" customWidth="1"/>
    <col min="12666" max="12673" width="2.77734375" style="110" bestFit="1" customWidth="1"/>
    <col min="12674" max="12683" width="2.5546875" style="110" bestFit="1" customWidth="1"/>
    <col min="12684" max="12684" width="2.77734375" style="110" bestFit="1" customWidth="1"/>
    <col min="12685" max="12685" width="2.5546875" style="110" bestFit="1" customWidth="1"/>
    <col min="12686" max="12694" width="2.77734375" style="110" bestFit="1" customWidth="1"/>
    <col min="12695" max="12695" width="2.5546875" style="110" bestFit="1" customWidth="1"/>
    <col min="12696" max="12703" width="2.77734375" style="110" bestFit="1" customWidth="1"/>
    <col min="12704" max="12751" width="2.77734375" style="110" customWidth="1"/>
    <col min="12752" max="12752" width="4" style="110" customWidth="1"/>
    <col min="12753" max="12753" width="4.21875" style="110" customWidth="1"/>
    <col min="12754" max="12754" width="3.77734375" style="110" customWidth="1"/>
    <col min="12755" max="12805" width="9.21875" style="110"/>
    <col min="12806" max="12806" width="4.77734375" style="110" customWidth="1"/>
    <col min="12807" max="12807" width="34.21875" style="110" customWidth="1"/>
    <col min="12808" max="12808" width="5.21875" style="110" customWidth="1"/>
    <col min="12809" max="12809" width="18.5546875" style="110" customWidth="1"/>
    <col min="12810" max="12810" width="19.44140625" style="110" customWidth="1"/>
    <col min="12811" max="12811" width="8.44140625" style="110" bestFit="1" customWidth="1"/>
    <col min="12812" max="12812" width="22.21875" style="110" customWidth="1"/>
    <col min="12813" max="12813" width="9" style="110" customWidth="1"/>
    <col min="12814" max="12814" width="7" style="110" customWidth="1"/>
    <col min="12815" max="12815" width="8.44140625" style="110" bestFit="1" customWidth="1"/>
    <col min="12816" max="12816" width="21.77734375" style="110" customWidth="1"/>
    <col min="12817" max="12817" width="3.21875" style="110" customWidth="1"/>
    <col min="12818" max="12851" width="2.44140625" style="110" customWidth="1"/>
    <col min="12852" max="12852" width="2.21875" style="110" customWidth="1"/>
    <col min="12853" max="12856" width="2.44140625" style="110" customWidth="1"/>
    <col min="12857" max="12857" width="2.5546875" style="110" customWidth="1"/>
    <col min="12858" max="12859" width="2.44140625" style="110" customWidth="1"/>
    <col min="12860" max="12866" width="4.77734375" style="110" bestFit="1" customWidth="1"/>
    <col min="12867" max="12867" width="4.21875" style="110" bestFit="1" customWidth="1"/>
    <col min="12868" max="12869" width="4.77734375" style="110" bestFit="1" customWidth="1"/>
    <col min="12870" max="12870" width="3.21875" style="110" customWidth="1"/>
    <col min="12871" max="12871" width="2.77734375" style="110" customWidth="1"/>
    <col min="12872" max="12876" width="4.77734375" style="110" bestFit="1" customWidth="1"/>
    <col min="12877" max="12877" width="4.21875" style="110" bestFit="1" customWidth="1"/>
    <col min="12878" max="12886" width="4.77734375" style="110" bestFit="1" customWidth="1"/>
    <col min="12887" max="12887" width="4.21875" style="110" bestFit="1" customWidth="1"/>
    <col min="12888" max="12896" width="4.77734375" style="110" bestFit="1" customWidth="1"/>
    <col min="12897" max="12897" width="4.21875" style="110" bestFit="1" customWidth="1"/>
    <col min="12898" max="12903" width="4.77734375" style="110" bestFit="1" customWidth="1"/>
    <col min="12904" max="12909" width="3" style="110" bestFit="1" customWidth="1"/>
    <col min="12910" max="12910" width="2.77734375" style="110" bestFit="1" customWidth="1"/>
    <col min="12911" max="12920" width="3" style="110" bestFit="1" customWidth="1"/>
    <col min="12921" max="12921" width="2.5546875" style="110" bestFit="1" customWidth="1"/>
    <col min="12922" max="12929" width="2.77734375" style="110" bestFit="1" customWidth="1"/>
    <col min="12930" max="12939" width="2.5546875" style="110" bestFit="1" customWidth="1"/>
    <col min="12940" max="12940" width="2.77734375" style="110" bestFit="1" customWidth="1"/>
    <col min="12941" max="12941" width="2.5546875" style="110" bestFit="1" customWidth="1"/>
    <col min="12942" max="12950" width="2.77734375" style="110" bestFit="1" customWidth="1"/>
    <col min="12951" max="12951" width="2.5546875" style="110" bestFit="1" customWidth="1"/>
    <col min="12952" max="12959" width="2.77734375" style="110" bestFit="1" customWidth="1"/>
    <col min="12960" max="13007" width="2.77734375" style="110" customWidth="1"/>
    <col min="13008" max="13008" width="4" style="110" customWidth="1"/>
    <col min="13009" max="13009" width="4.21875" style="110" customWidth="1"/>
    <col min="13010" max="13010" width="3.77734375" style="110" customWidth="1"/>
    <col min="13011" max="13061" width="9.21875" style="110"/>
    <col min="13062" max="13062" width="4.77734375" style="110" customWidth="1"/>
    <col min="13063" max="13063" width="34.21875" style="110" customWidth="1"/>
    <col min="13064" max="13064" width="5.21875" style="110" customWidth="1"/>
    <col min="13065" max="13065" width="18.5546875" style="110" customWidth="1"/>
    <col min="13066" max="13066" width="19.44140625" style="110" customWidth="1"/>
    <col min="13067" max="13067" width="8.44140625" style="110" bestFit="1" customWidth="1"/>
    <col min="13068" max="13068" width="22.21875" style="110" customWidth="1"/>
    <col min="13069" max="13069" width="9" style="110" customWidth="1"/>
    <col min="13070" max="13070" width="7" style="110" customWidth="1"/>
    <col min="13071" max="13071" width="8.44140625" style="110" bestFit="1" customWidth="1"/>
    <col min="13072" max="13072" width="21.77734375" style="110" customWidth="1"/>
    <col min="13073" max="13073" width="3.21875" style="110" customWidth="1"/>
    <col min="13074" max="13107" width="2.44140625" style="110" customWidth="1"/>
    <col min="13108" max="13108" width="2.21875" style="110" customWidth="1"/>
    <col min="13109" max="13112" width="2.44140625" style="110" customWidth="1"/>
    <col min="13113" max="13113" width="2.5546875" style="110" customWidth="1"/>
    <col min="13114" max="13115" width="2.44140625" style="110" customWidth="1"/>
    <col min="13116" max="13122" width="4.77734375" style="110" bestFit="1" customWidth="1"/>
    <col min="13123" max="13123" width="4.21875" style="110" bestFit="1" customWidth="1"/>
    <col min="13124" max="13125" width="4.77734375" style="110" bestFit="1" customWidth="1"/>
    <col min="13126" max="13126" width="3.21875" style="110" customWidth="1"/>
    <col min="13127" max="13127" width="2.77734375" style="110" customWidth="1"/>
    <col min="13128" max="13132" width="4.77734375" style="110" bestFit="1" customWidth="1"/>
    <col min="13133" max="13133" width="4.21875" style="110" bestFit="1" customWidth="1"/>
    <col min="13134" max="13142" width="4.77734375" style="110" bestFit="1" customWidth="1"/>
    <col min="13143" max="13143" width="4.21875" style="110" bestFit="1" customWidth="1"/>
    <col min="13144" max="13152" width="4.77734375" style="110" bestFit="1" customWidth="1"/>
    <col min="13153" max="13153" width="4.21875" style="110" bestFit="1" customWidth="1"/>
    <col min="13154" max="13159" width="4.77734375" style="110" bestFit="1" customWidth="1"/>
    <col min="13160" max="13165" width="3" style="110" bestFit="1" customWidth="1"/>
    <col min="13166" max="13166" width="2.77734375" style="110" bestFit="1" customWidth="1"/>
    <col min="13167" max="13176" width="3" style="110" bestFit="1" customWidth="1"/>
    <col min="13177" max="13177" width="2.5546875" style="110" bestFit="1" customWidth="1"/>
    <col min="13178" max="13185" width="2.77734375" style="110" bestFit="1" customWidth="1"/>
    <col min="13186" max="13195" width="2.5546875" style="110" bestFit="1" customWidth="1"/>
    <col min="13196" max="13196" width="2.77734375" style="110" bestFit="1" customWidth="1"/>
    <col min="13197" max="13197" width="2.5546875" style="110" bestFit="1" customWidth="1"/>
    <col min="13198" max="13206" width="2.77734375" style="110" bestFit="1" customWidth="1"/>
    <col min="13207" max="13207" width="2.5546875" style="110" bestFit="1" customWidth="1"/>
    <col min="13208" max="13215" width="2.77734375" style="110" bestFit="1" customWidth="1"/>
    <col min="13216" max="13263" width="2.77734375" style="110" customWidth="1"/>
    <col min="13264" max="13264" width="4" style="110" customWidth="1"/>
    <col min="13265" max="13265" width="4.21875" style="110" customWidth="1"/>
    <col min="13266" max="13266" width="3.77734375" style="110" customWidth="1"/>
    <col min="13267" max="13317" width="9.21875" style="110"/>
    <col min="13318" max="13318" width="4.77734375" style="110" customWidth="1"/>
    <col min="13319" max="13319" width="34.21875" style="110" customWidth="1"/>
    <col min="13320" max="13320" width="5.21875" style="110" customWidth="1"/>
    <col min="13321" max="13321" width="18.5546875" style="110" customWidth="1"/>
    <col min="13322" max="13322" width="19.44140625" style="110" customWidth="1"/>
    <col min="13323" max="13323" width="8.44140625" style="110" bestFit="1" customWidth="1"/>
    <col min="13324" max="13324" width="22.21875" style="110" customWidth="1"/>
    <col min="13325" max="13325" width="9" style="110" customWidth="1"/>
    <col min="13326" max="13326" width="7" style="110" customWidth="1"/>
    <col min="13327" max="13327" width="8.44140625" style="110" bestFit="1" customWidth="1"/>
    <col min="13328" max="13328" width="21.77734375" style="110" customWidth="1"/>
    <col min="13329" max="13329" width="3.21875" style="110" customWidth="1"/>
    <col min="13330" max="13363" width="2.44140625" style="110" customWidth="1"/>
    <col min="13364" max="13364" width="2.21875" style="110" customWidth="1"/>
    <col min="13365" max="13368" width="2.44140625" style="110" customWidth="1"/>
    <col min="13369" max="13369" width="2.5546875" style="110" customWidth="1"/>
    <col min="13370" max="13371" width="2.44140625" style="110" customWidth="1"/>
    <col min="13372" max="13378" width="4.77734375" style="110" bestFit="1" customWidth="1"/>
    <col min="13379" max="13379" width="4.21875" style="110" bestFit="1" customWidth="1"/>
    <col min="13380" max="13381" width="4.77734375" style="110" bestFit="1" customWidth="1"/>
    <col min="13382" max="13382" width="3.21875" style="110" customWidth="1"/>
    <col min="13383" max="13383" width="2.77734375" style="110" customWidth="1"/>
    <col min="13384" max="13388" width="4.77734375" style="110" bestFit="1" customWidth="1"/>
    <col min="13389" max="13389" width="4.21875" style="110" bestFit="1" customWidth="1"/>
    <col min="13390" max="13398" width="4.77734375" style="110" bestFit="1" customWidth="1"/>
    <col min="13399" max="13399" width="4.21875" style="110" bestFit="1" customWidth="1"/>
    <col min="13400" max="13408" width="4.77734375" style="110" bestFit="1" customWidth="1"/>
    <col min="13409" max="13409" width="4.21875" style="110" bestFit="1" customWidth="1"/>
    <col min="13410" max="13415" width="4.77734375" style="110" bestFit="1" customWidth="1"/>
    <col min="13416" max="13421" width="3" style="110" bestFit="1" customWidth="1"/>
    <col min="13422" max="13422" width="2.77734375" style="110" bestFit="1" customWidth="1"/>
    <col min="13423" max="13432" width="3" style="110" bestFit="1" customWidth="1"/>
    <col min="13433" max="13433" width="2.5546875" style="110" bestFit="1" customWidth="1"/>
    <col min="13434" max="13441" width="2.77734375" style="110" bestFit="1" customWidth="1"/>
    <col min="13442" max="13451" width="2.5546875" style="110" bestFit="1" customWidth="1"/>
    <col min="13452" max="13452" width="2.77734375" style="110" bestFit="1" customWidth="1"/>
    <col min="13453" max="13453" width="2.5546875" style="110" bestFit="1" customWidth="1"/>
    <col min="13454" max="13462" width="2.77734375" style="110" bestFit="1" customWidth="1"/>
    <col min="13463" max="13463" width="2.5546875" style="110" bestFit="1" customWidth="1"/>
    <col min="13464" max="13471" width="2.77734375" style="110" bestFit="1" customWidth="1"/>
    <col min="13472" max="13519" width="2.77734375" style="110" customWidth="1"/>
    <col min="13520" max="13520" width="4" style="110" customWidth="1"/>
    <col min="13521" max="13521" width="4.21875" style="110" customWidth="1"/>
    <col min="13522" max="13522" width="3.77734375" style="110" customWidth="1"/>
    <col min="13523" max="13573" width="9.21875" style="110"/>
    <col min="13574" max="13574" width="4.77734375" style="110" customWidth="1"/>
    <col min="13575" max="13575" width="34.21875" style="110" customWidth="1"/>
    <col min="13576" max="13576" width="5.21875" style="110" customWidth="1"/>
    <col min="13577" max="13577" width="18.5546875" style="110" customWidth="1"/>
    <col min="13578" max="13578" width="19.44140625" style="110" customWidth="1"/>
    <col min="13579" max="13579" width="8.44140625" style="110" bestFit="1" customWidth="1"/>
    <col min="13580" max="13580" width="22.21875" style="110" customWidth="1"/>
    <col min="13581" max="13581" width="9" style="110" customWidth="1"/>
    <col min="13582" max="13582" width="7" style="110" customWidth="1"/>
    <col min="13583" max="13583" width="8.44140625" style="110" bestFit="1" customWidth="1"/>
    <col min="13584" max="13584" width="21.77734375" style="110" customWidth="1"/>
    <col min="13585" max="13585" width="3.21875" style="110" customWidth="1"/>
    <col min="13586" max="13619" width="2.44140625" style="110" customWidth="1"/>
    <col min="13620" max="13620" width="2.21875" style="110" customWidth="1"/>
    <col min="13621" max="13624" width="2.44140625" style="110" customWidth="1"/>
    <col min="13625" max="13625" width="2.5546875" style="110" customWidth="1"/>
    <col min="13626" max="13627" width="2.44140625" style="110" customWidth="1"/>
    <col min="13628" max="13634" width="4.77734375" style="110" bestFit="1" customWidth="1"/>
    <col min="13635" max="13635" width="4.21875" style="110" bestFit="1" customWidth="1"/>
    <col min="13636" max="13637" width="4.77734375" style="110" bestFit="1" customWidth="1"/>
    <col min="13638" max="13638" width="3.21875" style="110" customWidth="1"/>
    <col min="13639" max="13639" width="2.77734375" style="110" customWidth="1"/>
    <col min="13640" max="13644" width="4.77734375" style="110" bestFit="1" customWidth="1"/>
    <col min="13645" max="13645" width="4.21875" style="110" bestFit="1" customWidth="1"/>
    <col min="13646" max="13654" width="4.77734375" style="110" bestFit="1" customWidth="1"/>
    <col min="13655" max="13655" width="4.21875" style="110" bestFit="1" customWidth="1"/>
    <col min="13656" max="13664" width="4.77734375" style="110" bestFit="1" customWidth="1"/>
    <col min="13665" max="13665" width="4.21875" style="110" bestFit="1" customWidth="1"/>
    <col min="13666" max="13671" width="4.77734375" style="110" bestFit="1" customWidth="1"/>
    <col min="13672" max="13677" width="3" style="110" bestFit="1" customWidth="1"/>
    <col min="13678" max="13678" width="2.77734375" style="110" bestFit="1" customWidth="1"/>
    <col min="13679" max="13688" width="3" style="110" bestFit="1" customWidth="1"/>
    <col min="13689" max="13689" width="2.5546875" style="110" bestFit="1" customWidth="1"/>
    <col min="13690" max="13697" width="2.77734375" style="110" bestFit="1" customWidth="1"/>
    <col min="13698" max="13707" width="2.5546875" style="110" bestFit="1" customWidth="1"/>
    <col min="13708" max="13708" width="2.77734375" style="110" bestFit="1" customWidth="1"/>
    <col min="13709" max="13709" width="2.5546875" style="110" bestFit="1" customWidth="1"/>
    <col min="13710" max="13718" width="2.77734375" style="110" bestFit="1" customWidth="1"/>
    <col min="13719" max="13719" width="2.5546875" style="110" bestFit="1" customWidth="1"/>
    <col min="13720" max="13727" width="2.77734375" style="110" bestFit="1" customWidth="1"/>
    <col min="13728" max="13775" width="2.77734375" style="110" customWidth="1"/>
    <col min="13776" max="13776" width="4" style="110" customWidth="1"/>
    <col min="13777" max="13777" width="4.21875" style="110" customWidth="1"/>
    <col min="13778" max="13778" width="3.77734375" style="110" customWidth="1"/>
    <col min="13779" max="13829" width="9.21875" style="110"/>
    <col min="13830" max="13830" width="4.77734375" style="110" customWidth="1"/>
    <col min="13831" max="13831" width="34.21875" style="110" customWidth="1"/>
    <col min="13832" max="13832" width="5.21875" style="110" customWidth="1"/>
    <col min="13833" max="13833" width="18.5546875" style="110" customWidth="1"/>
    <col min="13834" max="13834" width="19.44140625" style="110" customWidth="1"/>
    <col min="13835" max="13835" width="8.44140625" style="110" bestFit="1" customWidth="1"/>
    <col min="13836" max="13836" width="22.21875" style="110" customWidth="1"/>
    <col min="13837" max="13837" width="9" style="110" customWidth="1"/>
    <col min="13838" max="13838" width="7" style="110" customWidth="1"/>
    <col min="13839" max="13839" width="8.44140625" style="110" bestFit="1" customWidth="1"/>
    <col min="13840" max="13840" width="21.77734375" style="110" customWidth="1"/>
    <col min="13841" max="13841" width="3.21875" style="110" customWidth="1"/>
    <col min="13842" max="13875" width="2.44140625" style="110" customWidth="1"/>
    <col min="13876" max="13876" width="2.21875" style="110" customWidth="1"/>
    <col min="13877" max="13880" width="2.44140625" style="110" customWidth="1"/>
    <col min="13881" max="13881" width="2.5546875" style="110" customWidth="1"/>
    <col min="13882" max="13883" width="2.44140625" style="110" customWidth="1"/>
    <col min="13884" max="13890" width="4.77734375" style="110" bestFit="1" customWidth="1"/>
    <col min="13891" max="13891" width="4.21875" style="110" bestFit="1" customWidth="1"/>
    <col min="13892" max="13893" width="4.77734375" style="110" bestFit="1" customWidth="1"/>
    <col min="13894" max="13894" width="3.21875" style="110" customWidth="1"/>
    <col min="13895" max="13895" width="2.77734375" style="110" customWidth="1"/>
    <col min="13896" max="13900" width="4.77734375" style="110" bestFit="1" customWidth="1"/>
    <col min="13901" max="13901" width="4.21875" style="110" bestFit="1" customWidth="1"/>
    <col min="13902" max="13910" width="4.77734375" style="110" bestFit="1" customWidth="1"/>
    <col min="13911" max="13911" width="4.21875" style="110" bestFit="1" customWidth="1"/>
    <col min="13912" max="13920" width="4.77734375" style="110" bestFit="1" customWidth="1"/>
    <col min="13921" max="13921" width="4.21875" style="110" bestFit="1" customWidth="1"/>
    <col min="13922" max="13927" width="4.77734375" style="110" bestFit="1" customWidth="1"/>
    <col min="13928" max="13933" width="3" style="110" bestFit="1" customWidth="1"/>
    <col min="13934" max="13934" width="2.77734375" style="110" bestFit="1" customWidth="1"/>
    <col min="13935" max="13944" width="3" style="110" bestFit="1" customWidth="1"/>
    <col min="13945" max="13945" width="2.5546875" style="110" bestFit="1" customWidth="1"/>
    <col min="13946" max="13953" width="2.77734375" style="110" bestFit="1" customWidth="1"/>
    <col min="13954" max="13963" width="2.5546875" style="110" bestFit="1" customWidth="1"/>
    <col min="13964" max="13964" width="2.77734375" style="110" bestFit="1" customWidth="1"/>
    <col min="13965" max="13965" width="2.5546875" style="110" bestFit="1" customWidth="1"/>
    <col min="13966" max="13974" width="2.77734375" style="110" bestFit="1" customWidth="1"/>
    <col min="13975" max="13975" width="2.5546875" style="110" bestFit="1" customWidth="1"/>
    <col min="13976" max="13983" width="2.77734375" style="110" bestFit="1" customWidth="1"/>
    <col min="13984" max="14031" width="2.77734375" style="110" customWidth="1"/>
    <col min="14032" max="14032" width="4" style="110" customWidth="1"/>
    <col min="14033" max="14033" width="4.21875" style="110" customWidth="1"/>
    <col min="14034" max="14034" width="3.77734375" style="110" customWidth="1"/>
    <col min="14035" max="14085" width="9.21875" style="110"/>
    <col min="14086" max="14086" width="4.77734375" style="110" customWidth="1"/>
    <col min="14087" max="14087" width="34.21875" style="110" customWidth="1"/>
    <col min="14088" max="14088" width="5.21875" style="110" customWidth="1"/>
    <col min="14089" max="14089" width="18.5546875" style="110" customWidth="1"/>
    <col min="14090" max="14090" width="19.44140625" style="110" customWidth="1"/>
    <col min="14091" max="14091" width="8.44140625" style="110" bestFit="1" customWidth="1"/>
    <col min="14092" max="14092" width="22.21875" style="110" customWidth="1"/>
    <col min="14093" max="14093" width="9" style="110" customWidth="1"/>
    <col min="14094" max="14094" width="7" style="110" customWidth="1"/>
    <col min="14095" max="14095" width="8.44140625" style="110" bestFit="1" customWidth="1"/>
    <col min="14096" max="14096" width="21.77734375" style="110" customWidth="1"/>
    <col min="14097" max="14097" width="3.21875" style="110" customWidth="1"/>
    <col min="14098" max="14131" width="2.44140625" style="110" customWidth="1"/>
    <col min="14132" max="14132" width="2.21875" style="110" customWidth="1"/>
    <col min="14133" max="14136" width="2.44140625" style="110" customWidth="1"/>
    <col min="14137" max="14137" width="2.5546875" style="110" customWidth="1"/>
    <col min="14138" max="14139" width="2.44140625" style="110" customWidth="1"/>
    <col min="14140" max="14146" width="4.77734375" style="110" bestFit="1" customWidth="1"/>
    <col min="14147" max="14147" width="4.21875" style="110" bestFit="1" customWidth="1"/>
    <col min="14148" max="14149" width="4.77734375" style="110" bestFit="1" customWidth="1"/>
    <col min="14150" max="14150" width="3.21875" style="110" customWidth="1"/>
    <col min="14151" max="14151" width="2.77734375" style="110" customWidth="1"/>
    <col min="14152" max="14156" width="4.77734375" style="110" bestFit="1" customWidth="1"/>
    <col min="14157" max="14157" width="4.21875" style="110" bestFit="1" customWidth="1"/>
    <col min="14158" max="14166" width="4.77734375" style="110" bestFit="1" customWidth="1"/>
    <col min="14167" max="14167" width="4.21875" style="110" bestFit="1" customWidth="1"/>
    <col min="14168" max="14176" width="4.77734375" style="110" bestFit="1" customWidth="1"/>
    <col min="14177" max="14177" width="4.21875" style="110" bestFit="1" customWidth="1"/>
    <col min="14178" max="14183" width="4.77734375" style="110" bestFit="1" customWidth="1"/>
    <col min="14184" max="14189" width="3" style="110" bestFit="1" customWidth="1"/>
    <col min="14190" max="14190" width="2.77734375" style="110" bestFit="1" customWidth="1"/>
    <col min="14191" max="14200" width="3" style="110" bestFit="1" customWidth="1"/>
    <col min="14201" max="14201" width="2.5546875" style="110" bestFit="1" customWidth="1"/>
    <col min="14202" max="14209" width="2.77734375" style="110" bestFit="1" customWidth="1"/>
    <col min="14210" max="14219" width="2.5546875" style="110" bestFit="1" customWidth="1"/>
    <col min="14220" max="14220" width="2.77734375" style="110" bestFit="1" customWidth="1"/>
    <col min="14221" max="14221" width="2.5546875" style="110" bestFit="1" customWidth="1"/>
    <col min="14222" max="14230" width="2.77734375" style="110" bestFit="1" customWidth="1"/>
    <col min="14231" max="14231" width="2.5546875" style="110" bestFit="1" customWidth="1"/>
    <col min="14232" max="14239" width="2.77734375" style="110" bestFit="1" customWidth="1"/>
    <col min="14240" max="14287" width="2.77734375" style="110" customWidth="1"/>
    <col min="14288" max="14288" width="4" style="110" customWidth="1"/>
    <col min="14289" max="14289" width="4.21875" style="110" customWidth="1"/>
    <col min="14290" max="14290" width="3.77734375" style="110" customWidth="1"/>
    <col min="14291" max="14341" width="9.21875" style="110"/>
    <col min="14342" max="14342" width="4.77734375" style="110" customWidth="1"/>
    <col min="14343" max="14343" width="34.21875" style="110" customWidth="1"/>
    <col min="14344" max="14344" width="5.21875" style="110" customWidth="1"/>
    <col min="14345" max="14345" width="18.5546875" style="110" customWidth="1"/>
    <col min="14346" max="14346" width="19.44140625" style="110" customWidth="1"/>
    <col min="14347" max="14347" width="8.44140625" style="110" bestFit="1" customWidth="1"/>
    <col min="14348" max="14348" width="22.21875" style="110" customWidth="1"/>
    <col min="14349" max="14349" width="9" style="110" customWidth="1"/>
    <col min="14350" max="14350" width="7" style="110" customWidth="1"/>
    <col min="14351" max="14351" width="8.44140625" style="110" bestFit="1" customWidth="1"/>
    <col min="14352" max="14352" width="21.77734375" style="110" customWidth="1"/>
    <col min="14353" max="14353" width="3.21875" style="110" customWidth="1"/>
    <col min="14354" max="14387" width="2.44140625" style="110" customWidth="1"/>
    <col min="14388" max="14388" width="2.21875" style="110" customWidth="1"/>
    <col min="14389" max="14392" width="2.44140625" style="110" customWidth="1"/>
    <col min="14393" max="14393" width="2.5546875" style="110" customWidth="1"/>
    <col min="14394" max="14395" width="2.44140625" style="110" customWidth="1"/>
    <col min="14396" max="14402" width="4.77734375" style="110" bestFit="1" customWidth="1"/>
    <col min="14403" max="14403" width="4.21875" style="110" bestFit="1" customWidth="1"/>
    <col min="14404" max="14405" width="4.77734375" style="110" bestFit="1" customWidth="1"/>
    <col min="14406" max="14406" width="3.21875" style="110" customWidth="1"/>
    <col min="14407" max="14407" width="2.77734375" style="110" customWidth="1"/>
    <col min="14408" max="14412" width="4.77734375" style="110" bestFit="1" customWidth="1"/>
    <col min="14413" max="14413" width="4.21875" style="110" bestFit="1" customWidth="1"/>
    <col min="14414" max="14422" width="4.77734375" style="110" bestFit="1" customWidth="1"/>
    <col min="14423" max="14423" width="4.21875" style="110" bestFit="1" customWidth="1"/>
    <col min="14424" max="14432" width="4.77734375" style="110" bestFit="1" customWidth="1"/>
    <col min="14433" max="14433" width="4.21875" style="110" bestFit="1" customWidth="1"/>
    <col min="14434" max="14439" width="4.77734375" style="110" bestFit="1" customWidth="1"/>
    <col min="14440" max="14445" width="3" style="110" bestFit="1" customWidth="1"/>
    <col min="14446" max="14446" width="2.77734375" style="110" bestFit="1" customWidth="1"/>
    <col min="14447" max="14456" width="3" style="110" bestFit="1" customWidth="1"/>
    <col min="14457" max="14457" width="2.5546875" style="110" bestFit="1" customWidth="1"/>
    <col min="14458" max="14465" width="2.77734375" style="110" bestFit="1" customWidth="1"/>
    <col min="14466" max="14475" width="2.5546875" style="110" bestFit="1" customWidth="1"/>
    <col min="14476" max="14476" width="2.77734375" style="110" bestFit="1" customWidth="1"/>
    <col min="14477" max="14477" width="2.5546875" style="110" bestFit="1" customWidth="1"/>
    <col min="14478" max="14486" width="2.77734375" style="110" bestFit="1" customWidth="1"/>
    <col min="14487" max="14487" width="2.5546875" style="110" bestFit="1" customWidth="1"/>
    <col min="14488" max="14495" width="2.77734375" style="110" bestFit="1" customWidth="1"/>
    <col min="14496" max="14543" width="2.77734375" style="110" customWidth="1"/>
    <col min="14544" max="14544" width="4" style="110" customWidth="1"/>
    <col min="14545" max="14545" width="4.21875" style="110" customWidth="1"/>
    <col min="14546" max="14546" width="3.77734375" style="110" customWidth="1"/>
    <col min="14547" max="14597" width="9.21875" style="110"/>
    <col min="14598" max="14598" width="4.77734375" style="110" customWidth="1"/>
    <col min="14599" max="14599" width="34.21875" style="110" customWidth="1"/>
    <col min="14600" max="14600" width="5.21875" style="110" customWidth="1"/>
    <col min="14601" max="14601" width="18.5546875" style="110" customWidth="1"/>
    <col min="14602" max="14602" width="19.44140625" style="110" customWidth="1"/>
    <col min="14603" max="14603" width="8.44140625" style="110" bestFit="1" customWidth="1"/>
    <col min="14604" max="14604" width="22.21875" style="110" customWidth="1"/>
    <col min="14605" max="14605" width="9" style="110" customWidth="1"/>
    <col min="14606" max="14606" width="7" style="110" customWidth="1"/>
    <col min="14607" max="14607" width="8.44140625" style="110" bestFit="1" customWidth="1"/>
    <col min="14608" max="14608" width="21.77734375" style="110" customWidth="1"/>
    <col min="14609" max="14609" width="3.21875" style="110" customWidth="1"/>
    <col min="14610" max="14643" width="2.44140625" style="110" customWidth="1"/>
    <col min="14644" max="14644" width="2.21875" style="110" customWidth="1"/>
    <col min="14645" max="14648" width="2.44140625" style="110" customWidth="1"/>
    <col min="14649" max="14649" width="2.5546875" style="110" customWidth="1"/>
    <col min="14650" max="14651" width="2.44140625" style="110" customWidth="1"/>
    <col min="14652" max="14658" width="4.77734375" style="110" bestFit="1" customWidth="1"/>
    <col min="14659" max="14659" width="4.21875" style="110" bestFit="1" customWidth="1"/>
    <col min="14660" max="14661" width="4.77734375" style="110" bestFit="1" customWidth="1"/>
    <col min="14662" max="14662" width="3.21875" style="110" customWidth="1"/>
    <col min="14663" max="14663" width="2.77734375" style="110" customWidth="1"/>
    <col min="14664" max="14668" width="4.77734375" style="110" bestFit="1" customWidth="1"/>
    <col min="14669" max="14669" width="4.21875" style="110" bestFit="1" customWidth="1"/>
    <col min="14670" max="14678" width="4.77734375" style="110" bestFit="1" customWidth="1"/>
    <col min="14679" max="14679" width="4.21875" style="110" bestFit="1" customWidth="1"/>
    <col min="14680" max="14688" width="4.77734375" style="110" bestFit="1" customWidth="1"/>
    <col min="14689" max="14689" width="4.21875" style="110" bestFit="1" customWidth="1"/>
    <col min="14690" max="14695" width="4.77734375" style="110" bestFit="1" customWidth="1"/>
    <col min="14696" max="14701" width="3" style="110" bestFit="1" customWidth="1"/>
    <col min="14702" max="14702" width="2.77734375" style="110" bestFit="1" customWidth="1"/>
    <col min="14703" max="14712" width="3" style="110" bestFit="1" customWidth="1"/>
    <col min="14713" max="14713" width="2.5546875" style="110" bestFit="1" customWidth="1"/>
    <col min="14714" max="14721" width="2.77734375" style="110" bestFit="1" customWidth="1"/>
    <col min="14722" max="14731" width="2.5546875" style="110" bestFit="1" customWidth="1"/>
    <col min="14732" max="14732" width="2.77734375" style="110" bestFit="1" customWidth="1"/>
    <col min="14733" max="14733" width="2.5546875" style="110" bestFit="1" customWidth="1"/>
    <col min="14734" max="14742" width="2.77734375" style="110" bestFit="1" customWidth="1"/>
    <col min="14743" max="14743" width="2.5546875" style="110" bestFit="1" customWidth="1"/>
    <col min="14744" max="14751" width="2.77734375" style="110" bestFit="1" customWidth="1"/>
    <col min="14752" max="14799" width="2.77734375" style="110" customWidth="1"/>
    <col min="14800" max="14800" width="4" style="110" customWidth="1"/>
    <col min="14801" max="14801" width="4.21875" style="110" customWidth="1"/>
    <col min="14802" max="14802" width="3.77734375" style="110" customWidth="1"/>
    <col min="14803" max="14853" width="9.21875" style="110"/>
    <col min="14854" max="14854" width="4.77734375" style="110" customWidth="1"/>
    <col min="14855" max="14855" width="34.21875" style="110" customWidth="1"/>
    <col min="14856" max="14856" width="5.21875" style="110" customWidth="1"/>
    <col min="14857" max="14857" width="18.5546875" style="110" customWidth="1"/>
    <col min="14858" max="14858" width="19.44140625" style="110" customWidth="1"/>
    <col min="14859" max="14859" width="8.44140625" style="110" bestFit="1" customWidth="1"/>
    <col min="14860" max="14860" width="22.21875" style="110" customWidth="1"/>
    <col min="14861" max="14861" width="9" style="110" customWidth="1"/>
    <col min="14862" max="14862" width="7" style="110" customWidth="1"/>
    <col min="14863" max="14863" width="8.44140625" style="110" bestFit="1" customWidth="1"/>
    <col min="14864" max="14864" width="21.77734375" style="110" customWidth="1"/>
    <col min="14865" max="14865" width="3.21875" style="110" customWidth="1"/>
    <col min="14866" max="14899" width="2.44140625" style="110" customWidth="1"/>
    <col min="14900" max="14900" width="2.21875" style="110" customWidth="1"/>
    <col min="14901" max="14904" width="2.44140625" style="110" customWidth="1"/>
    <col min="14905" max="14905" width="2.5546875" style="110" customWidth="1"/>
    <col min="14906" max="14907" width="2.44140625" style="110" customWidth="1"/>
    <col min="14908" max="14914" width="4.77734375" style="110" bestFit="1" customWidth="1"/>
    <col min="14915" max="14915" width="4.21875" style="110" bestFit="1" customWidth="1"/>
    <col min="14916" max="14917" width="4.77734375" style="110" bestFit="1" customWidth="1"/>
    <col min="14918" max="14918" width="3.21875" style="110" customWidth="1"/>
    <col min="14919" max="14919" width="2.77734375" style="110" customWidth="1"/>
    <col min="14920" max="14924" width="4.77734375" style="110" bestFit="1" customWidth="1"/>
    <col min="14925" max="14925" width="4.21875" style="110" bestFit="1" customWidth="1"/>
    <col min="14926" max="14934" width="4.77734375" style="110" bestFit="1" customWidth="1"/>
    <col min="14935" max="14935" width="4.21875" style="110" bestFit="1" customWidth="1"/>
    <col min="14936" max="14944" width="4.77734375" style="110" bestFit="1" customWidth="1"/>
    <col min="14945" max="14945" width="4.21875" style="110" bestFit="1" customWidth="1"/>
    <col min="14946" max="14951" width="4.77734375" style="110" bestFit="1" customWidth="1"/>
    <col min="14952" max="14957" width="3" style="110" bestFit="1" customWidth="1"/>
    <col min="14958" max="14958" width="2.77734375" style="110" bestFit="1" customWidth="1"/>
    <col min="14959" max="14968" width="3" style="110" bestFit="1" customWidth="1"/>
    <col min="14969" max="14969" width="2.5546875" style="110" bestFit="1" customWidth="1"/>
    <col min="14970" max="14977" width="2.77734375" style="110" bestFit="1" customWidth="1"/>
    <col min="14978" max="14987" width="2.5546875" style="110" bestFit="1" customWidth="1"/>
    <col min="14988" max="14988" width="2.77734375" style="110" bestFit="1" customWidth="1"/>
    <col min="14989" max="14989" width="2.5546875" style="110" bestFit="1" customWidth="1"/>
    <col min="14990" max="14998" width="2.77734375" style="110" bestFit="1" customWidth="1"/>
    <col min="14999" max="14999" width="2.5546875" style="110" bestFit="1" customWidth="1"/>
    <col min="15000" max="15007" width="2.77734375" style="110" bestFit="1" customWidth="1"/>
    <col min="15008" max="15055" width="2.77734375" style="110" customWidth="1"/>
    <col min="15056" max="15056" width="4" style="110" customWidth="1"/>
    <col min="15057" max="15057" width="4.21875" style="110" customWidth="1"/>
    <col min="15058" max="15058" width="3.77734375" style="110" customWidth="1"/>
    <col min="15059" max="15109" width="9.21875" style="110"/>
    <col min="15110" max="15110" width="4.77734375" style="110" customWidth="1"/>
    <col min="15111" max="15111" width="34.21875" style="110" customWidth="1"/>
    <col min="15112" max="15112" width="5.21875" style="110" customWidth="1"/>
    <col min="15113" max="15113" width="18.5546875" style="110" customWidth="1"/>
    <col min="15114" max="15114" width="19.44140625" style="110" customWidth="1"/>
    <col min="15115" max="15115" width="8.44140625" style="110" bestFit="1" customWidth="1"/>
    <col min="15116" max="15116" width="22.21875" style="110" customWidth="1"/>
    <col min="15117" max="15117" width="9" style="110" customWidth="1"/>
    <col min="15118" max="15118" width="7" style="110" customWidth="1"/>
    <col min="15119" max="15119" width="8.44140625" style="110" bestFit="1" customWidth="1"/>
    <col min="15120" max="15120" width="21.77734375" style="110" customWidth="1"/>
    <col min="15121" max="15121" width="3.21875" style="110" customWidth="1"/>
    <col min="15122" max="15155" width="2.44140625" style="110" customWidth="1"/>
    <col min="15156" max="15156" width="2.21875" style="110" customWidth="1"/>
    <col min="15157" max="15160" width="2.44140625" style="110" customWidth="1"/>
    <col min="15161" max="15161" width="2.5546875" style="110" customWidth="1"/>
    <col min="15162" max="15163" width="2.44140625" style="110" customWidth="1"/>
    <col min="15164" max="15170" width="4.77734375" style="110" bestFit="1" customWidth="1"/>
    <col min="15171" max="15171" width="4.21875" style="110" bestFit="1" customWidth="1"/>
    <col min="15172" max="15173" width="4.77734375" style="110" bestFit="1" customWidth="1"/>
    <col min="15174" max="15174" width="3.21875" style="110" customWidth="1"/>
    <col min="15175" max="15175" width="2.77734375" style="110" customWidth="1"/>
    <col min="15176" max="15180" width="4.77734375" style="110" bestFit="1" customWidth="1"/>
    <col min="15181" max="15181" width="4.21875" style="110" bestFit="1" customWidth="1"/>
    <col min="15182" max="15190" width="4.77734375" style="110" bestFit="1" customWidth="1"/>
    <col min="15191" max="15191" width="4.21875" style="110" bestFit="1" customWidth="1"/>
    <col min="15192" max="15200" width="4.77734375" style="110" bestFit="1" customWidth="1"/>
    <col min="15201" max="15201" width="4.21875" style="110" bestFit="1" customWidth="1"/>
    <col min="15202" max="15207" width="4.77734375" style="110" bestFit="1" customWidth="1"/>
    <col min="15208" max="15213" width="3" style="110" bestFit="1" customWidth="1"/>
    <col min="15214" max="15214" width="2.77734375" style="110" bestFit="1" customWidth="1"/>
    <col min="15215" max="15224" width="3" style="110" bestFit="1" customWidth="1"/>
    <col min="15225" max="15225" width="2.5546875" style="110" bestFit="1" customWidth="1"/>
    <col min="15226" max="15233" width="2.77734375" style="110" bestFit="1" customWidth="1"/>
    <col min="15234" max="15243" width="2.5546875" style="110" bestFit="1" customWidth="1"/>
    <col min="15244" max="15244" width="2.77734375" style="110" bestFit="1" customWidth="1"/>
    <col min="15245" max="15245" width="2.5546875" style="110" bestFit="1" customWidth="1"/>
    <col min="15246" max="15254" width="2.77734375" style="110" bestFit="1" customWidth="1"/>
    <col min="15255" max="15255" width="2.5546875" style="110" bestFit="1" customWidth="1"/>
    <col min="15256" max="15263" width="2.77734375" style="110" bestFit="1" customWidth="1"/>
    <col min="15264" max="15311" width="2.77734375" style="110" customWidth="1"/>
    <col min="15312" max="15312" width="4" style="110" customWidth="1"/>
    <col min="15313" max="15313" width="4.21875" style="110" customWidth="1"/>
    <col min="15314" max="15314" width="3.77734375" style="110" customWidth="1"/>
    <col min="15315" max="15365" width="9.21875" style="110"/>
    <col min="15366" max="15366" width="4.77734375" style="110" customWidth="1"/>
    <col min="15367" max="15367" width="34.21875" style="110" customWidth="1"/>
    <col min="15368" max="15368" width="5.21875" style="110" customWidth="1"/>
    <col min="15369" max="15369" width="18.5546875" style="110" customWidth="1"/>
    <col min="15370" max="15370" width="19.44140625" style="110" customWidth="1"/>
    <col min="15371" max="15371" width="8.44140625" style="110" bestFit="1" customWidth="1"/>
    <col min="15372" max="15372" width="22.21875" style="110" customWidth="1"/>
    <col min="15373" max="15373" width="9" style="110" customWidth="1"/>
    <col min="15374" max="15374" width="7" style="110" customWidth="1"/>
    <col min="15375" max="15375" width="8.44140625" style="110" bestFit="1" customWidth="1"/>
    <col min="15376" max="15376" width="21.77734375" style="110" customWidth="1"/>
    <col min="15377" max="15377" width="3.21875" style="110" customWidth="1"/>
    <col min="15378" max="15411" width="2.44140625" style="110" customWidth="1"/>
    <col min="15412" max="15412" width="2.21875" style="110" customWidth="1"/>
    <col min="15413" max="15416" width="2.44140625" style="110" customWidth="1"/>
    <col min="15417" max="15417" width="2.5546875" style="110" customWidth="1"/>
    <col min="15418" max="15419" width="2.44140625" style="110" customWidth="1"/>
    <col min="15420" max="15426" width="4.77734375" style="110" bestFit="1" customWidth="1"/>
    <col min="15427" max="15427" width="4.21875" style="110" bestFit="1" customWidth="1"/>
    <col min="15428" max="15429" width="4.77734375" style="110" bestFit="1" customWidth="1"/>
    <col min="15430" max="15430" width="3.21875" style="110" customWidth="1"/>
    <col min="15431" max="15431" width="2.77734375" style="110" customWidth="1"/>
    <col min="15432" max="15436" width="4.77734375" style="110" bestFit="1" customWidth="1"/>
    <col min="15437" max="15437" width="4.21875" style="110" bestFit="1" customWidth="1"/>
    <col min="15438" max="15446" width="4.77734375" style="110" bestFit="1" customWidth="1"/>
    <col min="15447" max="15447" width="4.21875" style="110" bestFit="1" customWidth="1"/>
    <col min="15448" max="15456" width="4.77734375" style="110" bestFit="1" customWidth="1"/>
    <col min="15457" max="15457" width="4.21875" style="110" bestFit="1" customWidth="1"/>
    <col min="15458" max="15463" width="4.77734375" style="110" bestFit="1" customWidth="1"/>
    <col min="15464" max="15469" width="3" style="110" bestFit="1" customWidth="1"/>
    <col min="15470" max="15470" width="2.77734375" style="110" bestFit="1" customWidth="1"/>
    <col min="15471" max="15480" width="3" style="110" bestFit="1" customWidth="1"/>
    <col min="15481" max="15481" width="2.5546875" style="110" bestFit="1" customWidth="1"/>
    <col min="15482" max="15489" width="2.77734375" style="110" bestFit="1" customWidth="1"/>
    <col min="15490" max="15499" width="2.5546875" style="110" bestFit="1" customWidth="1"/>
    <col min="15500" max="15500" width="2.77734375" style="110" bestFit="1" customWidth="1"/>
    <col min="15501" max="15501" width="2.5546875" style="110" bestFit="1" customWidth="1"/>
    <col min="15502" max="15510" width="2.77734375" style="110" bestFit="1" customWidth="1"/>
    <col min="15511" max="15511" width="2.5546875" style="110" bestFit="1" customWidth="1"/>
    <col min="15512" max="15519" width="2.77734375" style="110" bestFit="1" customWidth="1"/>
    <col min="15520" max="15567" width="2.77734375" style="110" customWidth="1"/>
    <col min="15568" max="15568" width="4" style="110" customWidth="1"/>
    <col min="15569" max="15569" width="4.21875" style="110" customWidth="1"/>
    <col min="15570" max="15570" width="3.77734375" style="110" customWidth="1"/>
    <col min="15571" max="15621" width="9.21875" style="110"/>
    <col min="15622" max="15622" width="4.77734375" style="110" customWidth="1"/>
    <col min="15623" max="15623" width="34.21875" style="110" customWidth="1"/>
    <col min="15624" max="15624" width="5.21875" style="110" customWidth="1"/>
    <col min="15625" max="15625" width="18.5546875" style="110" customWidth="1"/>
    <col min="15626" max="15626" width="19.44140625" style="110" customWidth="1"/>
    <col min="15627" max="15627" width="8.44140625" style="110" bestFit="1" customWidth="1"/>
    <col min="15628" max="15628" width="22.21875" style="110" customWidth="1"/>
    <col min="15629" max="15629" width="9" style="110" customWidth="1"/>
    <col min="15630" max="15630" width="7" style="110" customWidth="1"/>
    <col min="15631" max="15631" width="8.44140625" style="110" bestFit="1" customWidth="1"/>
    <col min="15632" max="15632" width="21.77734375" style="110" customWidth="1"/>
    <col min="15633" max="15633" width="3.21875" style="110" customWidth="1"/>
    <col min="15634" max="15667" width="2.44140625" style="110" customWidth="1"/>
    <col min="15668" max="15668" width="2.21875" style="110" customWidth="1"/>
    <col min="15669" max="15672" width="2.44140625" style="110" customWidth="1"/>
    <col min="15673" max="15673" width="2.5546875" style="110" customWidth="1"/>
    <col min="15674" max="15675" width="2.44140625" style="110" customWidth="1"/>
    <col min="15676" max="15682" width="4.77734375" style="110" bestFit="1" customWidth="1"/>
    <col min="15683" max="15683" width="4.21875" style="110" bestFit="1" customWidth="1"/>
    <col min="15684" max="15685" width="4.77734375" style="110" bestFit="1" customWidth="1"/>
    <col min="15686" max="15686" width="3.21875" style="110" customWidth="1"/>
    <col min="15687" max="15687" width="2.77734375" style="110" customWidth="1"/>
    <col min="15688" max="15692" width="4.77734375" style="110" bestFit="1" customWidth="1"/>
    <col min="15693" max="15693" width="4.21875" style="110" bestFit="1" customWidth="1"/>
    <col min="15694" max="15702" width="4.77734375" style="110" bestFit="1" customWidth="1"/>
    <col min="15703" max="15703" width="4.21875" style="110" bestFit="1" customWidth="1"/>
    <col min="15704" max="15712" width="4.77734375" style="110" bestFit="1" customWidth="1"/>
    <col min="15713" max="15713" width="4.21875" style="110" bestFit="1" customWidth="1"/>
    <col min="15714" max="15719" width="4.77734375" style="110" bestFit="1" customWidth="1"/>
    <col min="15720" max="15725" width="3" style="110" bestFit="1" customWidth="1"/>
    <col min="15726" max="15726" width="2.77734375" style="110" bestFit="1" customWidth="1"/>
    <col min="15727" max="15736" width="3" style="110" bestFit="1" customWidth="1"/>
    <col min="15737" max="15737" width="2.5546875" style="110" bestFit="1" customWidth="1"/>
    <col min="15738" max="15745" width="2.77734375" style="110" bestFit="1" customWidth="1"/>
    <col min="15746" max="15755" width="2.5546875" style="110" bestFit="1" customWidth="1"/>
    <col min="15756" max="15756" width="2.77734375" style="110" bestFit="1" customWidth="1"/>
    <col min="15757" max="15757" width="2.5546875" style="110" bestFit="1" customWidth="1"/>
    <col min="15758" max="15766" width="2.77734375" style="110" bestFit="1" customWidth="1"/>
    <col min="15767" max="15767" width="2.5546875" style="110" bestFit="1" customWidth="1"/>
    <col min="15768" max="15775" width="2.77734375" style="110" bestFit="1" customWidth="1"/>
    <col min="15776" max="15823" width="2.77734375" style="110" customWidth="1"/>
    <col min="15824" max="15824" width="4" style="110" customWidth="1"/>
    <col min="15825" max="15825" width="4.21875" style="110" customWidth="1"/>
    <col min="15826" max="15826" width="3.77734375" style="110" customWidth="1"/>
    <col min="15827" max="15877" width="9.21875" style="110"/>
    <col min="15878" max="15878" width="4.77734375" style="110" customWidth="1"/>
    <col min="15879" max="15879" width="34.21875" style="110" customWidth="1"/>
    <col min="15880" max="15880" width="5.21875" style="110" customWidth="1"/>
    <col min="15881" max="15881" width="18.5546875" style="110" customWidth="1"/>
    <col min="15882" max="15882" width="19.44140625" style="110" customWidth="1"/>
    <col min="15883" max="15883" width="8.44140625" style="110" bestFit="1" customWidth="1"/>
    <col min="15884" max="15884" width="22.21875" style="110" customWidth="1"/>
    <col min="15885" max="15885" width="9" style="110" customWidth="1"/>
    <col min="15886" max="15886" width="7" style="110" customWidth="1"/>
    <col min="15887" max="15887" width="8.44140625" style="110" bestFit="1" customWidth="1"/>
    <col min="15888" max="15888" width="21.77734375" style="110" customWidth="1"/>
    <col min="15889" max="15889" width="3.21875" style="110" customWidth="1"/>
    <col min="15890" max="15923" width="2.44140625" style="110" customWidth="1"/>
    <col min="15924" max="15924" width="2.21875" style="110" customWidth="1"/>
    <col min="15925" max="15928" width="2.44140625" style="110" customWidth="1"/>
    <col min="15929" max="15929" width="2.5546875" style="110" customWidth="1"/>
    <col min="15930" max="15931" width="2.44140625" style="110" customWidth="1"/>
    <col min="15932" max="15938" width="4.77734375" style="110" bestFit="1" customWidth="1"/>
    <col min="15939" max="15939" width="4.21875" style="110" bestFit="1" customWidth="1"/>
    <col min="15940" max="15941" width="4.77734375" style="110" bestFit="1" customWidth="1"/>
    <col min="15942" max="15942" width="3.21875" style="110" customWidth="1"/>
    <col min="15943" max="15943" width="2.77734375" style="110" customWidth="1"/>
    <col min="15944" max="15948" width="4.77734375" style="110" bestFit="1" customWidth="1"/>
    <col min="15949" max="15949" width="4.21875" style="110" bestFit="1" customWidth="1"/>
    <col min="15950" max="15958" width="4.77734375" style="110" bestFit="1" customWidth="1"/>
    <col min="15959" max="15959" width="4.21875" style="110" bestFit="1" customWidth="1"/>
    <col min="15960" max="15968" width="4.77734375" style="110" bestFit="1" customWidth="1"/>
    <col min="15969" max="15969" width="4.21875" style="110" bestFit="1" customWidth="1"/>
    <col min="15970" max="15975" width="4.77734375" style="110" bestFit="1" customWidth="1"/>
    <col min="15976" max="15981" width="3" style="110" bestFit="1" customWidth="1"/>
    <col min="15982" max="15982" width="2.77734375" style="110" bestFit="1" customWidth="1"/>
    <col min="15983" max="15992" width="3" style="110" bestFit="1" customWidth="1"/>
    <col min="15993" max="15993" width="2.5546875" style="110" bestFit="1" customWidth="1"/>
    <col min="15994" max="16001" width="2.77734375" style="110" bestFit="1" customWidth="1"/>
    <col min="16002" max="16011" width="2.5546875" style="110" bestFit="1" customWidth="1"/>
    <col min="16012" max="16012" width="2.77734375" style="110" bestFit="1" customWidth="1"/>
    <col min="16013" max="16013" width="2.5546875" style="110" bestFit="1" customWidth="1"/>
    <col min="16014" max="16022" width="2.77734375" style="110" bestFit="1" customWidth="1"/>
    <col min="16023" max="16023" width="2.5546875" style="110" bestFit="1" customWidth="1"/>
    <col min="16024" max="16031" width="2.77734375" style="110" bestFit="1" customWidth="1"/>
    <col min="16032" max="16079" width="2.77734375" style="110" customWidth="1"/>
    <col min="16080" max="16080" width="4" style="110" customWidth="1"/>
    <col min="16081" max="16081" width="4.21875" style="110" customWidth="1"/>
    <col min="16082" max="16082" width="3.77734375" style="110" customWidth="1"/>
    <col min="16083" max="16133" width="9.21875" style="110"/>
    <col min="16134" max="16134" width="4.77734375" style="110" customWidth="1"/>
    <col min="16135" max="16135" width="34.21875" style="110" customWidth="1"/>
    <col min="16136" max="16136" width="5.21875" style="110" customWidth="1"/>
    <col min="16137" max="16137" width="18.5546875" style="110" customWidth="1"/>
    <col min="16138" max="16138" width="19.44140625" style="110" customWidth="1"/>
    <col min="16139" max="16139" width="8.44140625" style="110" bestFit="1" customWidth="1"/>
    <col min="16140" max="16140" width="22.21875" style="110" customWidth="1"/>
    <col min="16141" max="16141" width="9" style="110" customWidth="1"/>
    <col min="16142" max="16142" width="7" style="110" customWidth="1"/>
    <col min="16143" max="16143" width="8.44140625" style="110" bestFit="1" customWidth="1"/>
    <col min="16144" max="16144" width="21.77734375" style="110" customWidth="1"/>
    <col min="16145" max="16145" width="3.21875" style="110" customWidth="1"/>
    <col min="16146" max="16179" width="2.44140625" style="110" customWidth="1"/>
    <col min="16180" max="16180" width="2.21875" style="110" customWidth="1"/>
    <col min="16181" max="16184" width="2.44140625" style="110" customWidth="1"/>
    <col min="16185" max="16185" width="2.5546875" style="110" customWidth="1"/>
    <col min="16186" max="16187" width="2.44140625" style="110" customWidth="1"/>
    <col min="16188" max="16194" width="4.77734375" style="110" bestFit="1" customWidth="1"/>
    <col min="16195" max="16195" width="4.21875" style="110" bestFit="1" customWidth="1"/>
    <col min="16196" max="16197" width="4.77734375" style="110" bestFit="1" customWidth="1"/>
    <col min="16198" max="16198" width="3.21875" style="110" customWidth="1"/>
    <col min="16199" max="16199" width="2.77734375" style="110" customWidth="1"/>
    <col min="16200" max="16204" width="4.77734375" style="110" bestFit="1" customWidth="1"/>
    <col min="16205" max="16205" width="4.21875" style="110" bestFit="1" customWidth="1"/>
    <col min="16206" max="16214" width="4.77734375" style="110" bestFit="1" customWidth="1"/>
    <col min="16215" max="16215" width="4.21875" style="110" bestFit="1" customWidth="1"/>
    <col min="16216" max="16224" width="4.77734375" style="110" bestFit="1" customWidth="1"/>
    <col min="16225" max="16225" width="4.21875" style="110" bestFit="1" customWidth="1"/>
    <col min="16226" max="16231" width="4.77734375" style="110" bestFit="1" customWidth="1"/>
    <col min="16232" max="16237" width="3" style="110" bestFit="1" customWidth="1"/>
    <col min="16238" max="16238" width="2.77734375" style="110" bestFit="1" customWidth="1"/>
    <col min="16239" max="16248" width="3" style="110" bestFit="1" customWidth="1"/>
    <col min="16249" max="16249" width="2.5546875" style="110" bestFit="1" customWidth="1"/>
    <col min="16250" max="16257" width="2.77734375" style="110" bestFit="1" customWidth="1"/>
    <col min="16258" max="16267" width="2.5546875" style="110" bestFit="1" customWidth="1"/>
    <col min="16268" max="16268" width="2.77734375" style="110" bestFit="1" customWidth="1"/>
    <col min="16269" max="16269" width="2.5546875" style="110" bestFit="1" customWidth="1"/>
    <col min="16270" max="16278" width="2.77734375" style="110" bestFit="1" customWidth="1"/>
    <col min="16279" max="16279" width="2.5546875" style="110" bestFit="1" customWidth="1"/>
    <col min="16280" max="16287" width="2.77734375" style="110" bestFit="1" customWidth="1"/>
    <col min="16288" max="16335" width="2.77734375" style="110" customWidth="1"/>
    <col min="16336" max="16336" width="4" style="110" customWidth="1"/>
    <col min="16337" max="16337" width="4.21875" style="110" customWidth="1"/>
    <col min="16338" max="16338" width="3.77734375" style="110" customWidth="1"/>
    <col min="16339" max="16384" width="9.21875" style="110"/>
  </cols>
  <sheetData>
    <row r="1" spans="5:207" s="645" customFormat="1" ht="15" customHeight="1">
      <c r="E1" s="938"/>
      <c r="F1" s="938"/>
      <c r="G1" s="938"/>
      <c r="H1" s="938"/>
      <c r="I1" s="938"/>
      <c r="J1" s="938"/>
      <c r="K1" s="938"/>
      <c r="L1" s="1052"/>
      <c r="M1" s="938"/>
      <c r="N1" s="938"/>
      <c r="O1" s="646"/>
      <c r="P1" s="647"/>
      <c r="Q1" s="648"/>
      <c r="R1" s="649"/>
      <c r="S1" s="649"/>
      <c r="T1" s="649"/>
      <c r="U1" s="649"/>
      <c r="V1" s="649"/>
      <c r="W1" s="649"/>
      <c r="X1" s="649"/>
      <c r="Y1" s="649"/>
      <c r="Z1" s="649"/>
      <c r="AA1" s="649"/>
      <c r="AB1" s="649"/>
      <c r="AC1" s="649"/>
      <c r="AD1" s="649"/>
      <c r="AE1" s="649"/>
      <c r="AF1" s="649"/>
      <c r="AG1" s="649"/>
      <c r="AH1" s="649"/>
      <c r="AI1" s="649"/>
      <c r="AJ1" s="649"/>
      <c r="AK1" s="649"/>
      <c r="AL1" s="649"/>
      <c r="AM1" s="649"/>
      <c r="AN1" s="649"/>
      <c r="AO1" s="649"/>
      <c r="AP1" s="649"/>
      <c r="AQ1" s="649"/>
      <c r="AR1" s="649"/>
      <c r="AS1" s="649"/>
      <c r="AT1" s="649"/>
      <c r="AU1" s="649"/>
      <c r="AV1" s="649"/>
      <c r="AW1" s="649"/>
      <c r="AX1" s="649"/>
      <c r="AY1" s="649"/>
      <c r="AZ1" s="649"/>
      <c r="BA1" s="649"/>
      <c r="BB1" s="649"/>
      <c r="BC1" s="649"/>
      <c r="BD1" s="649"/>
      <c r="BE1" s="649"/>
      <c r="BF1" s="649"/>
      <c r="BG1" s="649"/>
      <c r="BH1" s="649"/>
      <c r="BI1" s="649"/>
      <c r="BJ1" s="649"/>
      <c r="BK1" s="649"/>
      <c r="BL1" s="649"/>
      <c r="BM1" s="649"/>
      <c r="BN1" s="649"/>
      <c r="BO1" s="649"/>
      <c r="BP1" s="649"/>
      <c r="BQ1" s="649"/>
      <c r="BR1" s="649"/>
      <c r="BS1" s="649"/>
      <c r="BT1" s="649"/>
      <c r="BU1" s="649"/>
      <c r="BV1" s="649"/>
      <c r="BW1" s="649"/>
      <c r="BX1" s="649"/>
      <c r="BY1" s="649"/>
      <c r="BZ1" s="649"/>
      <c r="CA1" s="649"/>
      <c r="CB1" s="649"/>
      <c r="CC1" s="649"/>
      <c r="CD1" s="649"/>
      <c r="CE1" s="649"/>
      <c r="CF1" s="649"/>
      <c r="CG1" s="649"/>
      <c r="CH1" s="649"/>
      <c r="CI1" s="649"/>
      <c r="CJ1" s="649"/>
      <c r="CK1" s="649"/>
      <c r="CL1" s="649"/>
      <c r="CM1" s="650"/>
      <c r="CN1" s="650"/>
      <c r="CO1" s="650"/>
      <c r="CP1" s="650"/>
      <c r="CQ1" s="650"/>
      <c r="CR1" s="650"/>
      <c r="CS1" s="650"/>
      <c r="CT1" s="650"/>
      <c r="CU1" s="650"/>
      <c r="CV1" s="650"/>
      <c r="CW1" s="650"/>
      <c r="CX1" s="650"/>
      <c r="CY1" s="650"/>
      <c r="CZ1" s="650"/>
      <c r="DA1" s="650"/>
      <c r="DB1" s="650"/>
      <c r="DC1" s="650"/>
      <c r="DD1" s="650"/>
      <c r="DE1" s="650"/>
      <c r="DF1" s="650"/>
      <c r="DG1" s="650"/>
      <c r="DH1" s="650"/>
      <c r="DI1" s="650"/>
      <c r="DJ1" s="650"/>
      <c r="DK1" s="650"/>
      <c r="DL1" s="650"/>
      <c r="DM1" s="650"/>
      <c r="DN1" s="650"/>
      <c r="DO1" s="650"/>
      <c r="DP1" s="650"/>
      <c r="DQ1" s="650"/>
      <c r="DR1" s="650"/>
      <c r="DS1" s="650"/>
      <c r="DT1" s="650"/>
      <c r="DU1" s="650"/>
      <c r="DV1" s="650"/>
      <c r="DW1" s="650"/>
      <c r="DX1" s="650"/>
      <c r="DY1" s="650"/>
      <c r="DZ1" s="650"/>
      <c r="EA1" s="650"/>
      <c r="EB1" s="650"/>
      <c r="EC1" s="650"/>
      <c r="ED1" s="650"/>
      <c r="EE1" s="650"/>
      <c r="EF1" s="650"/>
      <c r="EG1" s="650"/>
      <c r="EH1" s="650"/>
      <c r="EI1" s="650"/>
      <c r="EJ1" s="650"/>
      <c r="EK1" s="650"/>
      <c r="EL1" s="650"/>
      <c r="EM1" s="650"/>
      <c r="EN1" s="650"/>
      <c r="EO1" s="650"/>
      <c r="EP1" s="650"/>
      <c r="EQ1" s="650"/>
      <c r="ER1" s="650"/>
      <c r="ES1" s="650"/>
      <c r="ET1" s="650"/>
      <c r="EU1" s="650"/>
      <c r="EV1" s="650"/>
      <c r="EW1" s="650"/>
      <c r="EX1" s="650"/>
      <c r="EY1" s="650"/>
      <c r="EZ1" s="650"/>
      <c r="FA1" s="650"/>
      <c r="FB1" s="650"/>
      <c r="FC1" s="650"/>
      <c r="FD1" s="650"/>
      <c r="FE1" s="650"/>
      <c r="FF1" s="650"/>
      <c r="FG1" s="650"/>
      <c r="FH1" s="650"/>
      <c r="FI1" s="650"/>
      <c r="FJ1" s="650"/>
      <c r="FK1" s="650"/>
      <c r="FL1" s="650"/>
      <c r="FM1" s="650"/>
      <c r="FN1" s="650"/>
      <c r="FO1" s="650"/>
      <c r="FP1" s="650"/>
      <c r="FQ1" s="650"/>
      <c r="FR1" s="650"/>
      <c r="FS1" s="650"/>
      <c r="FT1" s="650"/>
      <c r="FU1" s="650"/>
      <c r="FV1" s="650"/>
      <c r="FW1" s="650"/>
      <c r="FX1" s="650"/>
      <c r="FY1" s="650"/>
      <c r="FZ1" s="650"/>
      <c r="GA1" s="650"/>
      <c r="GB1" s="650"/>
      <c r="GC1" s="650"/>
      <c r="GD1" s="650"/>
      <c r="GE1" s="650"/>
      <c r="GF1" s="650"/>
      <c r="GG1" s="650"/>
      <c r="GH1" s="650"/>
      <c r="GI1" s="650"/>
      <c r="GJ1" s="650"/>
      <c r="GK1" s="650"/>
      <c r="GL1" s="650"/>
      <c r="GM1" s="650"/>
      <c r="GN1" s="650"/>
      <c r="GO1" s="650"/>
      <c r="GP1" s="650"/>
      <c r="GQ1" s="650"/>
      <c r="GR1" s="650"/>
      <c r="GS1" s="650"/>
      <c r="GT1" s="650"/>
      <c r="GU1" s="650"/>
      <c r="GV1" s="650"/>
      <c r="GW1" s="650"/>
      <c r="GX1" s="650"/>
      <c r="GY1" s="650"/>
    </row>
    <row r="2" spans="5:207" s="645" customFormat="1" ht="15" customHeight="1">
      <c r="E2" s="937" t="s">
        <v>2384</v>
      </c>
      <c r="F2" s="938"/>
      <c r="G2" s="938"/>
      <c r="H2" s="938"/>
      <c r="I2" s="938"/>
      <c r="J2" s="938"/>
      <c r="K2" s="938"/>
      <c r="L2" s="1052"/>
      <c r="M2" s="938"/>
      <c r="N2" s="938"/>
      <c r="O2" s="646"/>
      <c r="P2" s="647"/>
      <c r="Q2" s="648"/>
      <c r="R2" s="649"/>
      <c r="S2" s="649"/>
      <c r="T2" s="649"/>
      <c r="U2" s="649"/>
      <c r="V2" s="649"/>
      <c r="W2" s="649"/>
      <c r="X2" s="649"/>
      <c r="Y2" s="649"/>
      <c r="Z2" s="649"/>
      <c r="AA2" s="649"/>
      <c r="AB2" s="649"/>
      <c r="AC2" s="649"/>
      <c r="AD2" s="649"/>
      <c r="AE2" s="649"/>
      <c r="AF2" s="649"/>
      <c r="AG2" s="649"/>
      <c r="AH2" s="649"/>
      <c r="AI2" s="649"/>
      <c r="AJ2" s="649"/>
      <c r="AK2" s="649"/>
      <c r="AL2" s="649"/>
      <c r="AM2" s="649"/>
      <c r="AN2" s="649"/>
      <c r="AO2" s="649"/>
      <c r="AP2" s="649"/>
      <c r="AQ2" s="649"/>
      <c r="AR2" s="649"/>
      <c r="AS2" s="649"/>
      <c r="AT2" s="649"/>
      <c r="AU2" s="649"/>
      <c r="AV2" s="649"/>
      <c r="AW2" s="649"/>
      <c r="AX2" s="649"/>
      <c r="AY2" s="649"/>
      <c r="AZ2" s="649"/>
      <c r="BA2" s="649"/>
      <c r="BB2" s="649"/>
      <c r="BC2" s="649"/>
      <c r="BD2" s="649"/>
      <c r="BE2" s="649"/>
      <c r="BF2" s="649"/>
      <c r="BG2" s="649"/>
      <c r="BH2" s="649"/>
      <c r="BI2" s="649"/>
      <c r="BJ2" s="649"/>
      <c r="BK2" s="649"/>
      <c r="BL2" s="649"/>
      <c r="BM2" s="649"/>
      <c r="BN2" s="649"/>
      <c r="BO2" s="649"/>
      <c r="BP2" s="649"/>
      <c r="BQ2" s="649"/>
      <c r="BR2" s="649"/>
      <c r="BS2" s="649"/>
      <c r="BT2" s="649"/>
      <c r="BU2" s="649"/>
      <c r="BV2" s="649"/>
      <c r="BW2" s="649"/>
      <c r="BX2" s="649"/>
      <c r="BY2" s="649"/>
      <c r="BZ2" s="649"/>
      <c r="CA2" s="649"/>
      <c r="CB2" s="649"/>
      <c r="CC2" s="649"/>
      <c r="CD2" s="649"/>
      <c r="CE2" s="649"/>
      <c r="CF2" s="649"/>
      <c r="CG2" s="649"/>
      <c r="CH2" s="649"/>
      <c r="CI2" s="649"/>
      <c r="CJ2" s="649"/>
      <c r="CK2" s="649"/>
      <c r="CL2" s="649"/>
      <c r="CM2" s="650"/>
      <c r="CN2" s="650"/>
      <c r="CO2" s="650"/>
      <c r="CP2" s="650"/>
      <c r="CQ2" s="650"/>
      <c r="CR2" s="650"/>
      <c r="CS2" s="650"/>
      <c r="CT2" s="650"/>
      <c r="CU2" s="650"/>
      <c r="CV2" s="650"/>
      <c r="CW2" s="650"/>
      <c r="CX2" s="650"/>
      <c r="CY2" s="650"/>
      <c r="CZ2" s="650"/>
      <c r="DA2" s="650"/>
      <c r="DB2" s="650"/>
      <c r="DC2" s="650"/>
      <c r="DD2" s="650"/>
      <c r="DE2" s="650"/>
      <c r="DF2" s="650"/>
      <c r="DG2" s="650"/>
      <c r="DH2" s="650"/>
      <c r="DI2" s="650"/>
      <c r="DJ2" s="650"/>
      <c r="DK2" s="650"/>
      <c r="DL2" s="650"/>
      <c r="DM2" s="650"/>
      <c r="DN2" s="650"/>
      <c r="DO2" s="650"/>
      <c r="DP2" s="650"/>
      <c r="DQ2" s="650"/>
      <c r="DR2" s="650"/>
      <c r="DS2" s="650"/>
      <c r="DT2" s="650"/>
      <c r="DU2" s="650"/>
      <c r="DV2" s="650"/>
      <c r="DW2" s="650"/>
      <c r="DX2" s="650"/>
      <c r="DY2" s="650"/>
      <c r="DZ2" s="650"/>
      <c r="EA2" s="650"/>
      <c r="EB2" s="650"/>
      <c r="EC2" s="650"/>
      <c r="ED2" s="650"/>
      <c r="EE2" s="650"/>
      <c r="EF2" s="650"/>
      <c r="EG2" s="650"/>
      <c r="EH2" s="650"/>
      <c r="EI2" s="650"/>
      <c r="EJ2" s="650"/>
      <c r="EK2" s="650"/>
      <c r="EL2" s="650"/>
      <c r="EM2" s="650"/>
      <c r="EN2" s="650"/>
      <c r="EO2" s="650"/>
      <c r="EP2" s="650"/>
      <c r="EQ2" s="650"/>
      <c r="ER2" s="650"/>
      <c r="ES2" s="650"/>
      <c r="ET2" s="650"/>
      <c r="EU2" s="650"/>
      <c r="EV2" s="650"/>
      <c r="EW2" s="650"/>
      <c r="EX2" s="650"/>
      <c r="EY2" s="650"/>
      <c r="EZ2" s="650"/>
      <c r="FA2" s="650"/>
      <c r="FB2" s="650"/>
      <c r="FC2" s="650"/>
      <c r="FD2" s="650"/>
      <c r="FE2" s="650"/>
      <c r="FF2" s="650"/>
      <c r="FG2" s="650"/>
      <c r="FH2" s="650"/>
      <c r="FI2" s="650"/>
      <c r="FJ2" s="650"/>
      <c r="FK2" s="650"/>
      <c r="FL2" s="650"/>
      <c r="FM2" s="650"/>
      <c r="FN2" s="650"/>
      <c r="FO2" s="650"/>
      <c r="FP2" s="650"/>
      <c r="FQ2" s="650"/>
      <c r="FR2" s="650"/>
      <c r="FS2" s="650"/>
      <c r="FT2" s="650"/>
      <c r="FU2" s="650"/>
      <c r="FV2" s="650"/>
      <c r="FW2" s="650"/>
      <c r="FX2" s="650"/>
      <c r="FY2" s="650"/>
      <c r="FZ2" s="650"/>
      <c r="GA2" s="650"/>
      <c r="GB2" s="650"/>
      <c r="GC2" s="650"/>
      <c r="GD2" s="650"/>
      <c r="GE2" s="650"/>
      <c r="GF2" s="650"/>
      <c r="GG2" s="650"/>
      <c r="GH2" s="650"/>
      <c r="GI2" s="650"/>
      <c r="GJ2" s="650"/>
      <c r="GK2" s="650"/>
      <c r="GL2" s="650"/>
      <c r="GM2" s="650"/>
      <c r="GN2" s="650"/>
      <c r="GO2" s="650"/>
      <c r="GP2" s="650"/>
      <c r="GQ2" s="650"/>
      <c r="GR2" s="650"/>
      <c r="GS2" s="650"/>
      <c r="GT2" s="650"/>
      <c r="GU2" s="650"/>
      <c r="GV2" s="650"/>
      <c r="GW2" s="650"/>
      <c r="GX2" s="650"/>
      <c r="GY2" s="650"/>
    </row>
    <row r="3" spans="5:207" s="645" customFormat="1" ht="15" customHeight="1">
      <c r="E3" s="938"/>
      <c r="F3" s="938"/>
      <c r="G3" s="938"/>
      <c r="H3" s="938"/>
      <c r="I3" s="938"/>
      <c r="J3" s="938"/>
      <c r="K3" s="938"/>
      <c r="L3" s="1052"/>
      <c r="M3" s="938"/>
      <c r="N3" s="938"/>
      <c r="O3" s="646"/>
      <c r="P3" s="647"/>
      <c r="Q3" s="648"/>
      <c r="R3" s="649"/>
      <c r="S3" s="649"/>
      <c r="T3" s="649"/>
      <c r="U3" s="649"/>
      <c r="V3" s="649"/>
      <c r="W3" s="649"/>
      <c r="X3" s="649"/>
      <c r="Y3" s="649"/>
      <c r="Z3" s="649"/>
      <c r="AA3" s="649"/>
      <c r="AB3" s="649"/>
      <c r="AC3" s="649"/>
      <c r="AD3" s="649"/>
      <c r="AE3" s="649"/>
      <c r="AF3" s="649"/>
      <c r="AG3" s="649"/>
      <c r="AH3" s="649"/>
      <c r="AI3" s="649"/>
      <c r="AJ3" s="649"/>
      <c r="AK3" s="649"/>
      <c r="AL3" s="649"/>
      <c r="AM3" s="649"/>
      <c r="AN3" s="649"/>
      <c r="AO3" s="649"/>
      <c r="AP3" s="649"/>
      <c r="AQ3" s="649"/>
      <c r="AR3" s="649"/>
      <c r="AS3" s="649"/>
      <c r="AT3" s="649"/>
      <c r="AU3" s="649"/>
      <c r="AV3" s="649"/>
      <c r="AW3" s="649"/>
      <c r="AX3" s="649"/>
      <c r="AY3" s="649"/>
      <c r="AZ3" s="649"/>
      <c r="BA3" s="649"/>
      <c r="BB3" s="649"/>
      <c r="BC3" s="649"/>
      <c r="BD3" s="649"/>
      <c r="BE3" s="649"/>
      <c r="BF3" s="649"/>
      <c r="BG3" s="649"/>
      <c r="BH3" s="649"/>
      <c r="BI3" s="649"/>
      <c r="BJ3" s="649"/>
      <c r="BK3" s="649"/>
      <c r="BL3" s="649"/>
      <c r="BM3" s="649"/>
      <c r="BN3" s="649"/>
      <c r="BO3" s="649"/>
      <c r="BP3" s="649"/>
      <c r="BQ3" s="649"/>
      <c r="BR3" s="649"/>
      <c r="BS3" s="649"/>
      <c r="BT3" s="649"/>
      <c r="BU3" s="649"/>
      <c r="BV3" s="649"/>
      <c r="BW3" s="649"/>
      <c r="BX3" s="649"/>
      <c r="BY3" s="649"/>
      <c r="BZ3" s="649"/>
      <c r="CA3" s="649"/>
      <c r="CB3" s="649"/>
      <c r="CC3" s="649"/>
      <c r="CD3" s="649"/>
      <c r="CE3" s="649"/>
      <c r="CF3" s="649"/>
      <c r="CG3" s="649"/>
      <c r="CH3" s="649"/>
      <c r="CI3" s="649"/>
      <c r="CJ3" s="649"/>
      <c r="CK3" s="649"/>
      <c r="CL3" s="649"/>
      <c r="CM3" s="650"/>
      <c r="CN3" s="650"/>
      <c r="CO3" s="650"/>
      <c r="CP3" s="650"/>
      <c r="CQ3" s="650"/>
      <c r="CR3" s="650"/>
      <c r="CS3" s="650"/>
      <c r="CT3" s="650"/>
      <c r="CU3" s="650"/>
      <c r="CV3" s="650"/>
      <c r="CW3" s="650"/>
      <c r="CX3" s="650"/>
      <c r="CY3" s="650"/>
      <c r="CZ3" s="650"/>
      <c r="DA3" s="650"/>
      <c r="DB3" s="650"/>
      <c r="DC3" s="650"/>
      <c r="DD3" s="650"/>
      <c r="DE3" s="650"/>
      <c r="DF3" s="650"/>
      <c r="DG3" s="650"/>
      <c r="DH3" s="650"/>
      <c r="DI3" s="650"/>
      <c r="DJ3" s="650"/>
      <c r="DK3" s="650"/>
      <c r="DL3" s="650"/>
      <c r="DM3" s="650"/>
      <c r="DN3" s="650"/>
      <c r="DO3" s="650"/>
      <c r="DP3" s="650"/>
      <c r="DQ3" s="650"/>
      <c r="DR3" s="650"/>
      <c r="DS3" s="650"/>
      <c r="DT3" s="650"/>
      <c r="DU3" s="650"/>
      <c r="DV3" s="650"/>
      <c r="DW3" s="650"/>
      <c r="DX3" s="650"/>
      <c r="DY3" s="650"/>
      <c r="DZ3" s="650"/>
      <c r="EA3" s="650"/>
      <c r="EB3" s="650"/>
      <c r="EC3" s="650"/>
      <c r="ED3" s="650"/>
      <c r="EE3" s="650"/>
      <c r="EF3" s="650"/>
      <c r="EG3" s="650"/>
      <c r="EH3" s="650"/>
      <c r="EI3" s="650"/>
      <c r="EJ3" s="650"/>
      <c r="EK3" s="650"/>
      <c r="EL3" s="650"/>
      <c r="EM3" s="650"/>
      <c r="EN3" s="650"/>
      <c r="EO3" s="650"/>
      <c r="EP3" s="650"/>
      <c r="EQ3" s="650"/>
      <c r="ER3" s="650"/>
      <c r="ES3" s="650"/>
      <c r="ET3" s="650"/>
      <c r="EU3" s="650"/>
      <c r="EV3" s="650"/>
      <c r="EW3" s="650"/>
      <c r="EX3" s="650"/>
      <c r="EY3" s="650"/>
      <c r="EZ3" s="650"/>
      <c r="FA3" s="650"/>
      <c r="FB3" s="650"/>
      <c r="FC3" s="650"/>
      <c r="FD3" s="650"/>
      <c r="FE3" s="650"/>
      <c r="FF3" s="650"/>
      <c r="FG3" s="650"/>
      <c r="FH3" s="650"/>
      <c r="FI3" s="650"/>
      <c r="FJ3" s="650"/>
      <c r="FK3" s="650"/>
      <c r="FL3" s="650"/>
      <c r="FM3" s="650"/>
      <c r="FN3" s="650"/>
      <c r="FO3" s="650"/>
      <c r="FP3" s="650"/>
      <c r="FQ3" s="650"/>
      <c r="FR3" s="650"/>
      <c r="FS3" s="650"/>
      <c r="FT3" s="650"/>
      <c r="FU3" s="650"/>
      <c r="FV3" s="650"/>
      <c r="FW3" s="650"/>
      <c r="FX3" s="650"/>
      <c r="FY3" s="650"/>
      <c r="FZ3" s="650"/>
      <c r="GA3" s="650"/>
      <c r="GB3" s="650"/>
      <c r="GC3" s="650"/>
      <c r="GD3" s="650"/>
      <c r="GE3" s="650"/>
      <c r="GF3" s="650"/>
      <c r="GG3" s="650"/>
      <c r="GH3" s="650"/>
      <c r="GI3" s="650"/>
      <c r="GJ3" s="650"/>
      <c r="GK3" s="650"/>
      <c r="GL3" s="650"/>
      <c r="GM3" s="650"/>
      <c r="GN3" s="650"/>
      <c r="GO3" s="650"/>
      <c r="GP3" s="650"/>
      <c r="GQ3" s="650"/>
      <c r="GR3" s="650"/>
      <c r="GS3" s="650"/>
      <c r="GT3" s="650"/>
      <c r="GU3" s="650"/>
      <c r="GV3" s="650"/>
      <c r="GW3" s="650"/>
      <c r="GX3" s="650"/>
      <c r="GY3" s="650"/>
    </row>
    <row r="5" spans="5:207" ht="15" customHeight="1">
      <c r="E5" s="1152" t="s">
        <v>136</v>
      </c>
      <c r="F5" s="1152" t="s">
        <v>137</v>
      </c>
      <c r="G5" s="1153"/>
      <c r="H5" s="883" t="s">
        <v>1795</v>
      </c>
      <c r="I5" s="884" t="s">
        <v>1796</v>
      </c>
      <c r="J5" s="885" t="s">
        <v>1797</v>
      </c>
      <c r="K5" s="884" t="s">
        <v>2009</v>
      </c>
      <c r="L5" s="1061" t="s">
        <v>1798</v>
      </c>
      <c r="M5" s="1154" t="s">
        <v>1799</v>
      </c>
      <c r="N5" s="1155"/>
      <c r="O5" s="113"/>
      <c r="P5" s="1156" t="s">
        <v>1</v>
      </c>
      <c r="Q5" s="107" t="s">
        <v>56</v>
      </c>
      <c r="R5" s="1149" t="s">
        <v>1800</v>
      </c>
      <c r="S5" s="1149"/>
      <c r="T5" s="1149"/>
      <c r="U5" s="1149"/>
      <c r="V5" s="1149"/>
      <c r="W5" s="1149"/>
      <c r="X5" s="1149"/>
      <c r="Y5" s="1149"/>
      <c r="Z5" s="1149"/>
      <c r="AA5" s="1149"/>
      <c r="AB5" s="1149"/>
      <c r="AC5" s="1149"/>
      <c r="AD5" s="1149"/>
      <c r="AE5" s="1149"/>
      <c r="AF5" s="1149"/>
      <c r="AG5" s="1149"/>
      <c r="AH5" s="1149"/>
      <c r="AI5" s="1149"/>
      <c r="AJ5" s="1149"/>
      <c r="AK5" s="1149"/>
      <c r="AL5" s="1149"/>
      <c r="AM5" s="1149"/>
      <c r="AN5" s="1149"/>
      <c r="AO5" s="1149"/>
      <c r="AP5" s="1149"/>
      <c r="AQ5" s="1149"/>
      <c r="AR5" s="1149"/>
      <c r="AS5" s="1149"/>
      <c r="AT5" s="1149"/>
      <c r="AU5" s="1149"/>
      <c r="AV5" s="1149"/>
      <c r="AW5" s="1149"/>
      <c r="AX5" s="1149"/>
      <c r="AY5" s="1149"/>
      <c r="AZ5" s="1149"/>
      <c r="BA5" s="1149"/>
      <c r="BB5" s="1149"/>
      <c r="BC5" s="1149"/>
      <c r="BD5" s="1149"/>
      <c r="BE5" s="1149"/>
      <c r="BF5" s="1149"/>
      <c r="BG5" s="1149"/>
      <c r="BH5" s="1149"/>
      <c r="BI5" s="1149"/>
      <c r="BJ5" s="1149"/>
      <c r="BK5" s="1149"/>
      <c r="BL5" s="1149"/>
      <c r="BM5" s="1149"/>
      <c r="BN5" s="1149"/>
      <c r="BO5" s="1149"/>
      <c r="BP5" s="1149"/>
      <c r="BQ5" s="1149"/>
      <c r="BR5" s="1149"/>
      <c r="BS5" s="1149"/>
      <c r="BT5" s="1149"/>
      <c r="BU5" s="1149"/>
      <c r="BV5" s="1149"/>
      <c r="BW5" s="1149"/>
      <c r="BX5" s="1149"/>
      <c r="BY5" s="1149"/>
      <c r="BZ5" s="1149"/>
      <c r="CA5" s="1149"/>
      <c r="CB5" s="1149"/>
      <c r="CC5" s="1149"/>
      <c r="CD5" s="1149"/>
      <c r="CE5" s="1149"/>
      <c r="CF5" s="1149"/>
      <c r="CG5" s="1149"/>
      <c r="CH5" s="1149"/>
      <c r="CI5" s="1149"/>
      <c r="CJ5" s="1149"/>
      <c r="CK5" s="1149"/>
      <c r="CL5" s="1149"/>
      <c r="CM5" s="1149"/>
      <c r="CN5" s="1149"/>
      <c r="CO5" s="1149"/>
      <c r="CP5" s="1149"/>
      <c r="CQ5" s="1149"/>
      <c r="CR5" s="1149"/>
      <c r="CS5" s="1149"/>
      <c r="CT5" s="1149"/>
      <c r="CU5" s="1149"/>
      <c r="CV5" s="1149"/>
      <c r="CW5" s="1149"/>
      <c r="CX5" s="1149"/>
      <c r="CY5" s="1149"/>
      <c r="CZ5" s="1149"/>
      <c r="DA5" s="1149"/>
      <c r="DB5" s="1149"/>
      <c r="DC5" s="1149"/>
      <c r="DD5" s="1149"/>
      <c r="DE5" s="1149"/>
      <c r="DF5" s="1149"/>
      <c r="DG5" s="1149"/>
      <c r="DH5" s="1149"/>
      <c r="DI5" s="1149"/>
      <c r="DJ5" s="1149"/>
      <c r="DK5" s="1149"/>
      <c r="DL5" s="1149"/>
      <c r="DM5" s="1149"/>
      <c r="DN5" s="1149"/>
      <c r="DO5" s="1149"/>
      <c r="DP5" s="1149"/>
      <c r="DQ5" s="1149"/>
      <c r="DR5" s="1149"/>
      <c r="DS5" s="1149"/>
      <c r="DT5" s="1149"/>
      <c r="DU5" s="1149"/>
      <c r="DV5" s="1149"/>
      <c r="DW5" s="1149"/>
      <c r="DX5" s="1149"/>
      <c r="DY5" s="1149"/>
      <c r="DZ5" s="1149"/>
      <c r="EA5" s="1149"/>
      <c r="EB5" s="1149"/>
      <c r="EC5" s="1149"/>
      <c r="ED5" s="1149"/>
      <c r="EE5" s="1149"/>
      <c r="EF5" s="1149"/>
      <c r="EG5" s="1149"/>
      <c r="EH5" s="1149"/>
      <c r="EI5" s="1149"/>
      <c r="EJ5" s="1149"/>
      <c r="EK5" s="1149"/>
      <c r="EL5" s="1149"/>
      <c r="EM5" s="1149"/>
      <c r="EN5" s="1149"/>
      <c r="EO5" s="1149"/>
      <c r="EP5" s="1149"/>
      <c r="EQ5" s="1149"/>
      <c r="ER5" s="1149"/>
      <c r="ES5" s="1149"/>
      <c r="ET5" s="1149"/>
      <c r="EU5" s="1149"/>
      <c r="EV5" s="1149"/>
      <c r="EW5" s="1149"/>
      <c r="EX5" s="1149"/>
      <c r="EY5" s="1149"/>
      <c r="EZ5" s="1149"/>
      <c r="FA5" s="1149"/>
      <c r="FB5" s="1149"/>
      <c r="FC5" s="1149"/>
      <c r="FD5" s="1149"/>
      <c r="FE5" s="1149"/>
      <c r="FF5" s="1149"/>
      <c r="FG5" s="1149"/>
      <c r="FH5" s="1149"/>
      <c r="FI5" s="1149"/>
      <c r="FJ5" s="1149"/>
      <c r="FK5" s="1149"/>
      <c r="FL5" s="1149"/>
      <c r="FM5" s="1149"/>
      <c r="FN5" s="1149"/>
      <c r="FO5" s="1149"/>
      <c r="FP5" s="1149"/>
      <c r="FQ5" s="1149"/>
      <c r="FR5" s="1149"/>
      <c r="FS5" s="1149"/>
      <c r="FT5" s="1149"/>
      <c r="FU5" s="1149"/>
      <c r="FV5" s="1149"/>
      <c r="FW5" s="1149"/>
      <c r="FX5" s="1149"/>
      <c r="FY5" s="1149"/>
      <c r="FZ5" s="1149"/>
      <c r="GA5" s="1149"/>
      <c r="GB5" s="1149"/>
      <c r="GC5" s="1149"/>
      <c r="GD5" s="1149"/>
      <c r="GE5" s="1149"/>
      <c r="GF5" s="1149"/>
      <c r="GG5" s="1149"/>
      <c r="GH5" s="1149"/>
      <c r="GI5" s="1149"/>
      <c r="GJ5" s="1149"/>
      <c r="GK5" s="1149"/>
      <c r="GL5" s="1149"/>
      <c r="GM5" s="1149"/>
      <c r="GN5" s="1149"/>
      <c r="GO5" s="1149"/>
      <c r="GP5" s="1149"/>
      <c r="GQ5" s="1149"/>
      <c r="GR5" s="1149"/>
      <c r="GS5" s="1149"/>
      <c r="GT5" s="1149"/>
      <c r="GU5" s="1149"/>
      <c r="GV5" s="1149"/>
      <c r="GW5" s="1149"/>
      <c r="GX5" s="1149"/>
      <c r="GY5" s="1149"/>
    </row>
    <row r="6" spans="5:207" ht="15" customHeight="1">
      <c r="E6" s="1152"/>
      <c r="F6" s="1152"/>
      <c r="G6" s="1153"/>
      <c r="H6" s="886" t="s">
        <v>1801</v>
      </c>
      <c r="I6" s="887" t="s">
        <v>1802</v>
      </c>
      <c r="J6" s="888"/>
      <c r="K6" s="887" t="s">
        <v>1803</v>
      </c>
      <c r="L6" s="1062" t="s">
        <v>1804</v>
      </c>
      <c r="M6" s="1150" t="s">
        <v>1805</v>
      </c>
      <c r="N6" s="1151"/>
      <c r="O6" s="113"/>
      <c r="P6" s="1156"/>
      <c r="Q6" s="107" t="s">
        <v>1628</v>
      </c>
      <c r="R6" s="115">
        <v>1</v>
      </c>
      <c r="S6" s="115">
        <v>2</v>
      </c>
      <c r="T6" s="115">
        <v>3</v>
      </c>
      <c r="U6" s="115">
        <v>4</v>
      </c>
      <c r="V6" s="115">
        <v>5</v>
      </c>
      <c r="W6" s="115">
        <v>6</v>
      </c>
      <c r="X6" s="115">
        <v>7</v>
      </c>
      <c r="Y6" s="115">
        <v>8</v>
      </c>
      <c r="Z6" s="115">
        <v>9</v>
      </c>
      <c r="AA6" s="115">
        <v>10</v>
      </c>
      <c r="AB6" s="115">
        <v>11</v>
      </c>
      <c r="AC6" s="115">
        <v>12</v>
      </c>
      <c r="AD6" s="115">
        <v>13</v>
      </c>
      <c r="AE6" s="115">
        <v>14</v>
      </c>
      <c r="AF6" s="115">
        <v>15</v>
      </c>
      <c r="AG6" s="115">
        <v>16</v>
      </c>
      <c r="AH6" s="115">
        <v>17</v>
      </c>
      <c r="AI6" s="115">
        <v>18</v>
      </c>
      <c r="AJ6" s="115">
        <v>19</v>
      </c>
      <c r="AK6" s="115">
        <v>20</v>
      </c>
      <c r="AL6" s="115">
        <v>21</v>
      </c>
      <c r="AM6" s="115">
        <v>22</v>
      </c>
      <c r="AN6" s="115">
        <v>23</v>
      </c>
      <c r="AO6" s="115">
        <v>24</v>
      </c>
      <c r="AP6" s="115">
        <v>25</v>
      </c>
      <c r="AQ6" s="115">
        <v>26</v>
      </c>
      <c r="AR6" s="115">
        <v>27</v>
      </c>
      <c r="AS6" s="115">
        <v>28</v>
      </c>
      <c r="AT6" s="115">
        <v>29</v>
      </c>
      <c r="AU6" s="115">
        <v>30</v>
      </c>
      <c r="AV6" s="115">
        <v>31</v>
      </c>
      <c r="AW6" s="115">
        <v>32</v>
      </c>
      <c r="AX6" s="115">
        <v>33</v>
      </c>
      <c r="AY6" s="115">
        <v>34</v>
      </c>
      <c r="AZ6" s="115">
        <v>35</v>
      </c>
      <c r="BA6" s="115">
        <v>36</v>
      </c>
      <c r="BB6" s="115">
        <v>37</v>
      </c>
      <c r="BC6" s="115">
        <v>38</v>
      </c>
      <c r="BD6" s="115">
        <v>39</v>
      </c>
      <c r="BE6" s="115">
        <v>40</v>
      </c>
      <c r="BF6" s="115">
        <v>41</v>
      </c>
      <c r="BG6" s="115">
        <v>42</v>
      </c>
      <c r="BH6" s="115">
        <v>43</v>
      </c>
      <c r="BI6" s="115">
        <v>44</v>
      </c>
      <c r="BJ6" s="115">
        <v>45</v>
      </c>
      <c r="BK6" s="115">
        <v>46</v>
      </c>
      <c r="BL6" s="115">
        <v>47</v>
      </c>
      <c r="BM6" s="115">
        <v>48</v>
      </c>
      <c r="BN6" s="115">
        <v>49</v>
      </c>
      <c r="BO6" s="115">
        <v>50</v>
      </c>
      <c r="BP6" s="115">
        <v>51</v>
      </c>
      <c r="BQ6" s="115">
        <v>52</v>
      </c>
      <c r="BR6" s="115">
        <v>53</v>
      </c>
      <c r="BS6" s="115">
        <v>54</v>
      </c>
      <c r="BT6" s="115">
        <v>55</v>
      </c>
      <c r="BU6" s="115">
        <v>56</v>
      </c>
      <c r="BV6" s="115">
        <v>57</v>
      </c>
      <c r="BW6" s="115">
        <v>58</v>
      </c>
      <c r="BX6" s="115">
        <v>59</v>
      </c>
      <c r="BY6" s="115">
        <v>60</v>
      </c>
      <c r="BZ6" s="115">
        <v>61</v>
      </c>
      <c r="CA6" s="115">
        <v>62</v>
      </c>
      <c r="CB6" s="115">
        <v>63</v>
      </c>
      <c r="CC6" s="115">
        <v>64</v>
      </c>
      <c r="CD6" s="115">
        <v>65</v>
      </c>
      <c r="CE6" s="115">
        <v>66</v>
      </c>
      <c r="CF6" s="115">
        <v>67</v>
      </c>
      <c r="CG6" s="115">
        <v>68</v>
      </c>
      <c r="CH6" s="115">
        <v>69</v>
      </c>
      <c r="CI6" s="115">
        <v>70</v>
      </c>
      <c r="CJ6" s="115">
        <v>71</v>
      </c>
      <c r="CK6" s="115">
        <v>72</v>
      </c>
      <c r="CL6" s="115">
        <v>73</v>
      </c>
      <c r="CM6" s="115">
        <v>74</v>
      </c>
      <c r="CN6" s="115">
        <v>75</v>
      </c>
      <c r="CO6" s="115">
        <v>76</v>
      </c>
      <c r="CP6" s="115">
        <v>77</v>
      </c>
      <c r="CQ6" s="115">
        <v>78</v>
      </c>
      <c r="CR6" s="115">
        <v>79</v>
      </c>
      <c r="CS6" s="115">
        <v>80</v>
      </c>
      <c r="CT6" s="115">
        <v>81</v>
      </c>
      <c r="CU6" s="115">
        <v>82</v>
      </c>
      <c r="CV6" s="115">
        <v>83</v>
      </c>
      <c r="CW6" s="115">
        <v>84</v>
      </c>
      <c r="CX6" s="115">
        <v>85</v>
      </c>
      <c r="CY6" s="115">
        <v>86</v>
      </c>
      <c r="CZ6" s="115">
        <v>87</v>
      </c>
      <c r="DA6" s="115">
        <v>88</v>
      </c>
      <c r="DB6" s="115">
        <v>89</v>
      </c>
      <c r="DC6" s="115">
        <v>90</v>
      </c>
      <c r="DD6" s="115">
        <v>91</v>
      </c>
      <c r="DE6" s="115">
        <v>92</v>
      </c>
      <c r="DF6" s="115">
        <v>93</v>
      </c>
      <c r="DG6" s="115">
        <v>94</v>
      </c>
      <c r="DH6" s="115">
        <v>95</v>
      </c>
      <c r="DI6" s="115">
        <v>96</v>
      </c>
      <c r="DJ6" s="115">
        <v>97</v>
      </c>
      <c r="DK6" s="115">
        <v>98</v>
      </c>
      <c r="DL6" s="115">
        <v>99</v>
      </c>
      <c r="DM6" s="115">
        <v>100</v>
      </c>
      <c r="DN6" s="115">
        <v>101</v>
      </c>
      <c r="DO6" s="115">
        <v>102</v>
      </c>
      <c r="DP6" s="115">
        <v>103</v>
      </c>
      <c r="DQ6" s="115">
        <v>104</v>
      </c>
      <c r="DR6" s="115">
        <v>105</v>
      </c>
      <c r="DS6" s="115">
        <v>106</v>
      </c>
      <c r="DT6" s="115">
        <v>107</v>
      </c>
      <c r="DU6" s="115">
        <v>108</v>
      </c>
      <c r="DV6" s="115">
        <v>109</v>
      </c>
      <c r="DW6" s="115">
        <v>110</v>
      </c>
      <c r="DX6" s="115">
        <v>111</v>
      </c>
      <c r="DY6" s="115">
        <v>112</v>
      </c>
      <c r="DZ6" s="115">
        <v>113</v>
      </c>
      <c r="EA6" s="115">
        <v>114</v>
      </c>
      <c r="EB6" s="115">
        <v>115</v>
      </c>
      <c r="EC6" s="115">
        <v>116</v>
      </c>
      <c r="ED6" s="115">
        <v>117</v>
      </c>
      <c r="EE6" s="115">
        <v>118</v>
      </c>
      <c r="EF6" s="115">
        <v>119</v>
      </c>
      <c r="EG6" s="115">
        <v>120</v>
      </c>
      <c r="EH6" s="115">
        <v>121</v>
      </c>
      <c r="EI6" s="115">
        <v>122</v>
      </c>
      <c r="EJ6" s="115">
        <v>123</v>
      </c>
      <c r="EK6" s="115">
        <v>124</v>
      </c>
      <c r="EL6" s="115">
        <v>125</v>
      </c>
      <c r="EM6" s="115">
        <v>126</v>
      </c>
      <c r="EN6" s="115">
        <v>127</v>
      </c>
      <c r="EO6" s="115">
        <v>128</v>
      </c>
      <c r="EP6" s="115">
        <v>129</v>
      </c>
      <c r="EQ6" s="115">
        <v>130</v>
      </c>
      <c r="ER6" s="115">
        <v>131</v>
      </c>
      <c r="ES6" s="115">
        <v>132</v>
      </c>
      <c r="ET6" s="115">
        <v>133</v>
      </c>
      <c r="EU6" s="115">
        <v>134</v>
      </c>
      <c r="EV6" s="115">
        <v>135</v>
      </c>
      <c r="EW6" s="115">
        <v>136</v>
      </c>
      <c r="EX6" s="115">
        <v>137</v>
      </c>
      <c r="EY6" s="115">
        <v>138</v>
      </c>
      <c r="EZ6" s="115">
        <v>139</v>
      </c>
      <c r="FA6" s="115">
        <v>140</v>
      </c>
      <c r="FB6" s="115">
        <v>141</v>
      </c>
      <c r="FC6" s="115">
        <v>142</v>
      </c>
      <c r="FD6" s="115">
        <v>143</v>
      </c>
      <c r="FE6" s="115">
        <v>144</v>
      </c>
      <c r="FF6" s="115">
        <v>145</v>
      </c>
      <c r="FG6" s="115">
        <v>146</v>
      </c>
      <c r="FH6" s="115">
        <v>147</v>
      </c>
      <c r="FI6" s="115">
        <v>148</v>
      </c>
      <c r="FJ6" s="115">
        <v>149</v>
      </c>
      <c r="FK6" s="115">
        <v>150</v>
      </c>
      <c r="FL6" s="115">
        <v>151</v>
      </c>
      <c r="FM6" s="115">
        <v>152</v>
      </c>
      <c r="FN6" s="115">
        <v>153</v>
      </c>
      <c r="FO6" s="115">
        <v>154</v>
      </c>
      <c r="FP6" s="115">
        <v>155</v>
      </c>
      <c r="FQ6" s="115">
        <v>156</v>
      </c>
      <c r="FR6" s="115">
        <v>157</v>
      </c>
      <c r="FS6" s="115">
        <v>158</v>
      </c>
      <c r="FT6" s="115">
        <v>159</v>
      </c>
      <c r="FU6" s="115">
        <v>160</v>
      </c>
      <c r="FV6" s="115">
        <v>161</v>
      </c>
      <c r="FW6" s="115">
        <v>162</v>
      </c>
      <c r="FX6" s="115">
        <v>163</v>
      </c>
      <c r="FY6" s="115">
        <v>164</v>
      </c>
      <c r="FZ6" s="115">
        <v>165</v>
      </c>
      <c r="GA6" s="115">
        <v>166</v>
      </c>
      <c r="GB6" s="115">
        <v>167</v>
      </c>
      <c r="GC6" s="115">
        <v>168</v>
      </c>
      <c r="GD6" s="115">
        <v>169</v>
      </c>
      <c r="GE6" s="115">
        <v>170</v>
      </c>
      <c r="GF6" s="115">
        <v>171</v>
      </c>
      <c r="GG6" s="115">
        <v>172</v>
      </c>
      <c r="GH6" s="115">
        <v>173</v>
      </c>
      <c r="GI6" s="115">
        <v>174</v>
      </c>
      <c r="GJ6" s="115">
        <v>175</v>
      </c>
      <c r="GK6" s="115">
        <v>176</v>
      </c>
      <c r="GL6" s="115">
        <v>177</v>
      </c>
      <c r="GM6" s="115">
        <v>178</v>
      </c>
      <c r="GN6" s="115">
        <v>179</v>
      </c>
      <c r="GO6" s="115">
        <v>180</v>
      </c>
      <c r="GP6" s="115">
        <v>181</v>
      </c>
      <c r="GQ6" s="115">
        <v>182</v>
      </c>
      <c r="GR6" s="115">
        <v>183</v>
      </c>
      <c r="GS6" s="115">
        <v>184</v>
      </c>
      <c r="GT6" s="115">
        <v>185</v>
      </c>
      <c r="GU6" s="115">
        <v>186</v>
      </c>
      <c r="GV6" s="115">
        <v>187</v>
      </c>
      <c r="GW6" s="115">
        <v>188</v>
      </c>
      <c r="GX6" s="115">
        <v>189</v>
      </c>
      <c r="GY6" s="115">
        <v>190</v>
      </c>
    </row>
    <row r="7" spans="5:207" ht="15" customHeight="1">
      <c r="E7" s="1152"/>
      <c r="F7" s="1152"/>
      <c r="G7" s="1153"/>
      <c r="H7" s="886" t="s">
        <v>1806</v>
      </c>
      <c r="I7" s="887" t="s">
        <v>1807</v>
      </c>
      <c r="J7" s="888" t="s">
        <v>1808</v>
      </c>
      <c r="K7" s="887" t="s">
        <v>1809</v>
      </c>
      <c r="L7" s="1062" t="s">
        <v>1810</v>
      </c>
      <c r="M7" s="884" t="s">
        <v>1811</v>
      </c>
      <c r="N7" s="889" t="s">
        <v>1812</v>
      </c>
      <c r="O7" s="128"/>
      <c r="P7" s="133" t="s">
        <v>4</v>
      </c>
      <c r="BA7" s="116"/>
      <c r="BB7" s="116"/>
      <c r="BC7" s="116"/>
      <c r="BD7" s="116"/>
      <c r="BE7" s="116"/>
      <c r="BF7" s="116"/>
      <c r="BG7" s="116"/>
      <c r="BH7" s="116"/>
      <c r="BI7" s="116"/>
      <c r="BJ7" s="116"/>
      <c r="BK7" s="116"/>
      <c r="BL7" s="116"/>
      <c r="BM7" s="116"/>
      <c r="BN7" s="116"/>
      <c r="BO7" s="116"/>
      <c r="BP7" s="116"/>
      <c r="BQ7" s="116"/>
      <c r="BR7" s="116"/>
      <c r="BS7" s="116"/>
      <c r="BT7" s="116"/>
      <c r="BU7" s="116"/>
      <c r="BV7" s="116"/>
      <c r="BW7" s="116"/>
      <c r="BX7" s="116"/>
      <c r="BY7" s="116"/>
      <c r="BZ7" s="116"/>
      <c r="CA7" s="116"/>
    </row>
    <row r="8" spans="5:207" ht="15" customHeight="1">
      <c r="E8" s="1152"/>
      <c r="F8" s="1152"/>
      <c r="G8" s="1153"/>
      <c r="H8" s="890"/>
      <c r="I8" s="891" t="s">
        <v>1813</v>
      </c>
      <c r="J8" s="892"/>
      <c r="K8" s="891" t="s">
        <v>1814</v>
      </c>
      <c r="L8" s="1063"/>
      <c r="M8" s="891" t="s">
        <v>1815</v>
      </c>
      <c r="N8" s="893"/>
      <c r="O8" s="129"/>
      <c r="P8" s="131" t="s">
        <v>1816</v>
      </c>
      <c r="R8" s="117"/>
      <c r="S8" s="117"/>
      <c r="T8" s="117"/>
      <c r="U8" s="117"/>
      <c r="BA8" s="116"/>
      <c r="BB8" s="116"/>
      <c r="BC8" s="116"/>
      <c r="BD8" s="116"/>
      <c r="BE8" s="116"/>
      <c r="BF8" s="116"/>
      <c r="BG8" s="116"/>
      <c r="BH8" s="116"/>
      <c r="BI8" s="116"/>
      <c r="BJ8" s="116"/>
      <c r="BK8" s="116"/>
      <c r="BL8" s="116"/>
      <c r="BM8" s="116"/>
      <c r="BN8" s="116"/>
      <c r="BO8" s="116"/>
      <c r="BP8" s="116"/>
      <c r="BQ8" s="116"/>
      <c r="BR8" s="116"/>
      <c r="BS8" s="116"/>
      <c r="BT8" s="116"/>
      <c r="BU8" s="116"/>
      <c r="BV8" s="116"/>
      <c r="BW8" s="116"/>
      <c r="BX8" s="116"/>
      <c r="BY8" s="116"/>
      <c r="BZ8" s="116"/>
      <c r="CA8" s="116"/>
    </row>
    <row r="9" spans="5:207" ht="15" customHeight="1">
      <c r="E9" s="56"/>
      <c r="F9" s="136" t="s">
        <v>4</v>
      </c>
      <c r="G9" s="139"/>
      <c r="H9" s="137"/>
      <c r="I9" s="138"/>
      <c r="J9" s="160"/>
      <c r="K9" s="139"/>
      <c r="L9" s="1053"/>
      <c r="M9" s="139"/>
      <c r="N9" s="140"/>
      <c r="P9" s="131" t="s">
        <v>1817</v>
      </c>
      <c r="V9" s="117"/>
      <c r="W9" s="117"/>
      <c r="BA9" s="116"/>
      <c r="BB9" s="116"/>
      <c r="BC9" s="116"/>
      <c r="BD9" s="116"/>
      <c r="BE9" s="116"/>
      <c r="BF9" s="116"/>
      <c r="BG9" s="116"/>
      <c r="BH9" s="116"/>
      <c r="BI9" s="116"/>
      <c r="BJ9" s="116"/>
      <c r="BK9" s="116"/>
      <c r="BL9" s="116"/>
      <c r="BM9" s="116"/>
      <c r="BN9" s="116"/>
      <c r="BO9" s="116"/>
      <c r="BP9" s="116"/>
      <c r="BQ9" s="116"/>
      <c r="BR9" s="116"/>
      <c r="BS9" s="116"/>
      <c r="BT9" s="116"/>
      <c r="BU9" s="116"/>
      <c r="BV9" s="116"/>
      <c r="BW9" s="116"/>
      <c r="BX9" s="116"/>
      <c r="BY9" s="116"/>
      <c r="BZ9" s="116"/>
      <c r="CA9" s="116"/>
    </row>
    <row r="10" spans="5:207" ht="15" customHeight="1">
      <c r="E10" s="57"/>
      <c r="F10" s="141" t="s">
        <v>1818</v>
      </c>
      <c r="G10" s="144" t="s">
        <v>1819</v>
      </c>
      <c r="H10" s="142">
        <f>AHSP!J174</f>
        <v>0.1</v>
      </c>
      <c r="I10" s="143">
        <f>1/H10</f>
        <v>10</v>
      </c>
      <c r="J10" s="161">
        <f>'REKAP VOLUME'!H7</f>
        <v>200</v>
      </c>
      <c r="K10" s="144">
        <f>J10/I10</f>
        <v>20</v>
      </c>
      <c r="L10" s="1054">
        <v>4</v>
      </c>
      <c r="M10" s="144">
        <f>K10/L10</f>
        <v>5</v>
      </c>
      <c r="N10" s="155">
        <f>M10</f>
        <v>5</v>
      </c>
      <c r="P10" s="131" t="s">
        <v>1820</v>
      </c>
      <c r="S10" s="117"/>
      <c r="T10" s="117"/>
      <c r="U10" s="117"/>
      <c r="V10" s="117"/>
      <c r="W10" s="117"/>
      <c r="X10" s="117"/>
      <c r="Y10" s="117"/>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row>
    <row r="11" spans="5:207" ht="15" customHeight="1">
      <c r="E11" s="57"/>
      <c r="F11" s="57"/>
      <c r="G11" s="144" t="s">
        <v>20</v>
      </c>
      <c r="H11" s="142">
        <f>AHSP!J175</f>
        <v>0.05</v>
      </c>
      <c r="I11" s="143">
        <f>1/H11</f>
        <v>20</v>
      </c>
      <c r="J11" s="161">
        <f>'REKAP VOLUME'!H7</f>
        <v>200</v>
      </c>
      <c r="K11" s="144">
        <f t="shared" ref="K11:K45" si="0">J11/I11</f>
        <v>10</v>
      </c>
      <c r="L11" s="1054">
        <v>4</v>
      </c>
      <c r="M11" s="144">
        <f>K11/L11</f>
        <v>2.5</v>
      </c>
      <c r="N11" s="155">
        <f>M11</f>
        <v>2.5</v>
      </c>
      <c r="P11" s="133" t="s">
        <v>1821</v>
      </c>
      <c r="BA11" s="116"/>
      <c r="BB11" s="116"/>
      <c r="BC11" s="116"/>
      <c r="BD11" s="116"/>
      <c r="BE11" s="116"/>
      <c r="BF11" s="116"/>
      <c r="BG11" s="116"/>
      <c r="BH11" s="116"/>
      <c r="BI11" s="116"/>
      <c r="BJ11" s="116"/>
      <c r="BK11" s="116"/>
      <c r="BL11" s="116"/>
      <c r="BM11" s="116"/>
      <c r="BN11" s="116"/>
      <c r="BO11" s="116"/>
      <c r="BP11" s="116"/>
      <c r="BQ11" s="116"/>
      <c r="BR11" s="116"/>
      <c r="BS11" s="116"/>
      <c r="BT11" s="116"/>
      <c r="BU11" s="116"/>
      <c r="BV11" s="116"/>
      <c r="BW11" s="116"/>
      <c r="BX11" s="116"/>
      <c r="BY11" s="116"/>
      <c r="BZ11" s="116"/>
      <c r="CA11" s="116"/>
    </row>
    <row r="12" spans="5:207" ht="15" customHeight="1">
      <c r="E12" s="57"/>
      <c r="F12" s="57"/>
      <c r="G12" s="144"/>
      <c r="H12" s="142"/>
      <c r="I12" s="143"/>
      <c r="J12" s="161"/>
      <c r="K12" s="144"/>
      <c r="L12" s="1054"/>
      <c r="M12" s="144"/>
      <c r="N12" s="155"/>
      <c r="P12" s="131" t="s">
        <v>86</v>
      </c>
      <c r="X12" s="117"/>
      <c r="Y12" s="117"/>
      <c r="Z12" s="117"/>
      <c r="AA12" s="117"/>
      <c r="AB12" s="117"/>
      <c r="AC12" s="117"/>
      <c r="AD12" s="117"/>
      <c r="BA12" s="116"/>
      <c r="BB12" s="116"/>
      <c r="BC12" s="116"/>
      <c r="BD12" s="116"/>
      <c r="BE12" s="116"/>
      <c r="BF12" s="116"/>
      <c r="BG12" s="116"/>
      <c r="BH12" s="116"/>
      <c r="BI12" s="116"/>
      <c r="BJ12" s="116"/>
      <c r="BK12" s="116"/>
      <c r="BL12" s="116"/>
      <c r="BM12" s="116"/>
      <c r="BN12" s="116"/>
      <c r="BO12" s="116"/>
      <c r="BP12" s="116"/>
      <c r="BQ12" s="116"/>
      <c r="BR12" s="116"/>
      <c r="BS12" s="116"/>
      <c r="BT12" s="116"/>
      <c r="BU12" s="116"/>
      <c r="BV12" s="116"/>
      <c r="BW12" s="116"/>
      <c r="BX12" s="116"/>
      <c r="BY12" s="116"/>
      <c r="BZ12" s="116"/>
      <c r="CA12" s="116"/>
    </row>
    <row r="13" spans="5:207" ht="15" customHeight="1">
      <c r="E13" s="57"/>
      <c r="F13" s="57" t="s">
        <v>1822</v>
      </c>
      <c r="G13" s="144" t="s">
        <v>1819</v>
      </c>
      <c r="H13" s="142">
        <f>AHSP!J80</f>
        <v>0.1</v>
      </c>
      <c r="I13" s="143">
        <f>1/H13</f>
        <v>10</v>
      </c>
      <c r="J13" s="161">
        <f>'REKAP VOLUME'!H8</f>
        <v>48</v>
      </c>
      <c r="K13" s="144">
        <f t="shared" si="0"/>
        <v>4.8</v>
      </c>
      <c r="L13" s="1055">
        <v>2</v>
      </c>
      <c r="M13" s="144">
        <f>K13/L13</f>
        <v>2.4</v>
      </c>
      <c r="N13" s="155">
        <f>M13</f>
        <v>2.4</v>
      </c>
      <c r="P13" s="131" t="s">
        <v>1823</v>
      </c>
      <c r="AO13" s="117"/>
      <c r="AP13" s="117"/>
      <c r="BA13" s="116"/>
      <c r="BB13" s="116"/>
      <c r="BC13" s="116"/>
      <c r="BD13" s="116"/>
      <c r="BE13" s="116"/>
      <c r="BF13" s="116"/>
      <c r="BG13" s="116"/>
      <c r="BH13" s="116"/>
      <c r="BI13" s="116"/>
      <c r="BJ13" s="116"/>
      <c r="BK13" s="116"/>
      <c r="BL13" s="116"/>
      <c r="BM13" s="116"/>
      <c r="BN13" s="116"/>
      <c r="BO13" s="116"/>
      <c r="BP13" s="116"/>
      <c r="BQ13" s="116"/>
      <c r="BR13" s="116"/>
      <c r="BS13" s="116"/>
      <c r="BT13" s="116"/>
      <c r="BU13" s="116"/>
      <c r="BV13" s="116"/>
      <c r="BW13" s="116"/>
      <c r="BX13" s="116"/>
      <c r="BY13" s="116"/>
      <c r="BZ13" s="116"/>
      <c r="CA13" s="116"/>
    </row>
    <row r="14" spans="5:207" ht="15" customHeight="1">
      <c r="E14" s="57"/>
      <c r="F14" s="57"/>
      <c r="G14" s="144" t="s">
        <v>1824</v>
      </c>
      <c r="H14" s="142">
        <f>AHSP!J81</f>
        <v>0.1</v>
      </c>
      <c r="I14" s="143">
        <f>1/H14</f>
        <v>10</v>
      </c>
      <c r="J14" s="161">
        <f>J13</f>
        <v>48</v>
      </c>
      <c r="K14" s="144">
        <f t="shared" si="0"/>
        <v>4.8</v>
      </c>
      <c r="L14" s="1054">
        <v>2</v>
      </c>
      <c r="M14" s="144">
        <f>K14/L14</f>
        <v>2.4</v>
      </c>
      <c r="N14" s="155">
        <f>M14</f>
        <v>2.4</v>
      </c>
      <c r="P14" s="134" t="s">
        <v>1825</v>
      </c>
      <c r="BA14" s="116"/>
      <c r="BB14" s="116"/>
      <c r="BC14" s="116"/>
      <c r="BD14" s="116"/>
      <c r="BE14" s="116"/>
      <c r="BF14" s="116"/>
      <c r="BG14" s="116"/>
      <c r="BH14" s="116"/>
      <c r="BI14" s="116"/>
      <c r="BJ14" s="116"/>
      <c r="BK14" s="116"/>
      <c r="BL14" s="116"/>
      <c r="BM14" s="116"/>
      <c r="BN14" s="116"/>
      <c r="BO14" s="116"/>
      <c r="BP14" s="116"/>
      <c r="BQ14" s="116"/>
      <c r="BR14" s="116"/>
      <c r="BS14" s="116"/>
      <c r="BT14" s="116"/>
      <c r="BU14" s="116"/>
      <c r="BV14" s="116"/>
      <c r="BW14" s="116"/>
      <c r="BX14" s="116"/>
      <c r="BY14" s="116"/>
      <c r="BZ14" s="116"/>
      <c r="CA14" s="116"/>
    </row>
    <row r="15" spans="5:207" ht="15" customHeight="1">
      <c r="E15" s="57"/>
      <c r="F15" s="57"/>
      <c r="G15" s="144" t="s">
        <v>1826</v>
      </c>
      <c r="H15" s="142">
        <f>AHSP!J82</f>
        <v>0.01</v>
      </c>
      <c r="I15" s="143">
        <f>1/H15</f>
        <v>100</v>
      </c>
      <c r="J15" s="161">
        <f>J14</f>
        <v>48</v>
      </c>
      <c r="K15" s="144">
        <f t="shared" si="0"/>
        <v>0.48</v>
      </c>
      <c r="L15" s="1054">
        <v>2</v>
      </c>
      <c r="M15" s="144">
        <f>K15/L15</f>
        <v>0.24</v>
      </c>
      <c r="N15" s="155">
        <v>1</v>
      </c>
      <c r="P15" s="131" t="s">
        <v>1827</v>
      </c>
      <c r="AE15" s="117"/>
      <c r="BA15" s="116"/>
      <c r="BB15" s="116"/>
      <c r="BC15" s="116"/>
      <c r="BD15" s="116"/>
      <c r="BE15" s="116"/>
      <c r="BF15" s="116"/>
      <c r="BG15" s="116"/>
      <c r="BH15" s="116"/>
      <c r="BI15" s="116"/>
      <c r="BJ15" s="116"/>
      <c r="BK15" s="116"/>
      <c r="BL15" s="116"/>
      <c r="BM15" s="116"/>
      <c r="BN15" s="116"/>
      <c r="BO15" s="116"/>
      <c r="BP15" s="116"/>
      <c r="BQ15" s="116"/>
      <c r="BR15" s="116"/>
      <c r="BS15" s="116"/>
      <c r="BT15" s="116"/>
      <c r="BU15" s="116"/>
      <c r="BV15" s="116"/>
      <c r="BW15" s="116"/>
      <c r="BX15" s="116"/>
      <c r="BY15" s="116"/>
      <c r="BZ15" s="116"/>
      <c r="CA15" s="116"/>
    </row>
    <row r="16" spans="5:207" ht="15" customHeight="1">
      <c r="E16" s="57"/>
      <c r="F16" s="57"/>
      <c r="G16" s="144" t="s">
        <v>20</v>
      </c>
      <c r="H16" s="142">
        <f>AHSP!J83</f>
        <v>5.0000000000000001E-3</v>
      </c>
      <c r="I16" s="143">
        <f>1/H16</f>
        <v>200</v>
      </c>
      <c r="J16" s="161">
        <f>J15</f>
        <v>48</v>
      </c>
      <c r="K16" s="144">
        <f t="shared" si="0"/>
        <v>0.24</v>
      </c>
      <c r="L16" s="1054">
        <v>2</v>
      </c>
      <c r="M16" s="144">
        <f>K16/L16</f>
        <v>0.12</v>
      </c>
      <c r="N16" s="155">
        <v>1</v>
      </c>
      <c r="P16" s="131" t="s">
        <v>1828</v>
      </c>
      <c r="AF16" s="117"/>
      <c r="AG16" s="117"/>
      <c r="AH16" s="117"/>
      <c r="BA16" s="116"/>
      <c r="BB16" s="116"/>
      <c r="BC16" s="116"/>
      <c r="BD16" s="116"/>
      <c r="BE16" s="116"/>
      <c r="BF16" s="116"/>
      <c r="BG16" s="116"/>
      <c r="BH16" s="116"/>
      <c r="BI16" s="116"/>
      <c r="BJ16" s="116"/>
      <c r="BK16" s="116"/>
      <c r="BL16" s="116"/>
      <c r="BM16" s="116"/>
      <c r="BN16" s="116"/>
      <c r="BO16" s="116"/>
      <c r="BP16" s="116"/>
      <c r="BQ16" s="116"/>
      <c r="BR16" s="116"/>
      <c r="BS16" s="116"/>
      <c r="BT16" s="116"/>
      <c r="BU16" s="116"/>
      <c r="BV16" s="116"/>
      <c r="BW16" s="116"/>
      <c r="BX16" s="116"/>
      <c r="BY16" s="116"/>
      <c r="BZ16" s="116"/>
      <c r="CA16" s="116"/>
    </row>
    <row r="17" spans="5:94" ht="15" customHeight="1">
      <c r="E17" s="57"/>
      <c r="F17" s="57"/>
      <c r="G17" s="144"/>
      <c r="H17" s="142"/>
      <c r="I17" s="143"/>
      <c r="J17" s="161"/>
      <c r="K17" s="144"/>
      <c r="L17" s="1054"/>
      <c r="M17" s="144"/>
      <c r="N17" s="155"/>
      <c r="P17" s="131" t="s">
        <v>1829</v>
      </c>
      <c r="AG17" s="117"/>
      <c r="AH17" s="117"/>
      <c r="AI17" s="117"/>
      <c r="AJ17" s="117"/>
      <c r="AK17" s="117"/>
      <c r="AL17" s="117"/>
      <c r="AM17" s="117"/>
      <c r="AN17" s="117"/>
      <c r="BA17" s="116"/>
      <c r="BB17" s="116"/>
      <c r="BC17" s="116"/>
      <c r="BD17" s="116"/>
      <c r="BE17" s="116"/>
      <c r="BF17" s="116"/>
      <c r="BG17" s="116"/>
      <c r="BH17" s="116"/>
      <c r="BI17" s="116"/>
      <c r="BJ17" s="116"/>
      <c r="BK17" s="116"/>
      <c r="BL17" s="116"/>
      <c r="BM17" s="116"/>
      <c r="BN17" s="116"/>
      <c r="BO17" s="116"/>
      <c r="BP17" s="116"/>
      <c r="BQ17" s="116"/>
      <c r="BR17" s="116"/>
      <c r="BS17" s="116"/>
      <c r="BT17" s="116"/>
      <c r="BU17" s="116"/>
      <c r="BV17" s="116"/>
      <c r="BW17" s="116"/>
      <c r="BX17" s="116"/>
      <c r="BY17" s="116"/>
      <c r="BZ17" s="116"/>
      <c r="CA17" s="116"/>
    </row>
    <row r="18" spans="5:94" ht="15" customHeight="1">
      <c r="E18" s="57"/>
      <c r="F18" s="57" t="s">
        <v>1830</v>
      </c>
      <c r="G18" s="144" t="s">
        <v>1819</v>
      </c>
      <c r="H18" s="142">
        <v>2</v>
      </c>
      <c r="I18" s="143">
        <f>1/H18</f>
        <v>0.5</v>
      </c>
      <c r="J18" s="161">
        <v>1</v>
      </c>
      <c r="K18" s="144">
        <f t="shared" si="0"/>
        <v>2</v>
      </c>
      <c r="L18" s="1054">
        <v>3</v>
      </c>
      <c r="M18" s="144">
        <f>K18/L18</f>
        <v>0.66666666666666663</v>
      </c>
      <c r="N18" s="155">
        <f>M18</f>
        <v>0.66666666666666663</v>
      </c>
      <c r="P18" s="135" t="s">
        <v>1831</v>
      </c>
      <c r="BA18" s="116"/>
      <c r="BB18" s="116"/>
      <c r="BC18" s="116"/>
      <c r="BD18" s="116"/>
      <c r="BE18" s="116"/>
      <c r="BF18" s="116"/>
      <c r="BG18" s="116"/>
      <c r="BH18" s="116"/>
      <c r="BI18" s="116"/>
      <c r="BJ18" s="116"/>
      <c r="BK18" s="116"/>
      <c r="BL18" s="116"/>
      <c r="BM18" s="116"/>
      <c r="BN18" s="116"/>
      <c r="BO18" s="116"/>
      <c r="BP18" s="116"/>
      <c r="BQ18" s="116"/>
      <c r="BR18" s="116"/>
      <c r="BS18" s="116"/>
      <c r="BT18" s="116"/>
      <c r="BU18" s="116"/>
      <c r="BV18" s="116"/>
      <c r="BW18" s="116"/>
      <c r="BX18" s="116"/>
      <c r="BY18" s="116"/>
      <c r="BZ18" s="116"/>
      <c r="CA18" s="116"/>
    </row>
    <row r="19" spans="5:94" ht="15" customHeight="1">
      <c r="E19" s="57"/>
      <c r="F19" s="57"/>
      <c r="G19" s="144" t="s">
        <v>1824</v>
      </c>
      <c r="H19" s="142">
        <v>1</v>
      </c>
      <c r="I19" s="143">
        <f>1/H19</f>
        <v>1</v>
      </c>
      <c r="J19" s="161">
        <v>1</v>
      </c>
      <c r="K19" s="144">
        <f t="shared" si="0"/>
        <v>1</v>
      </c>
      <c r="L19" s="1054">
        <v>3</v>
      </c>
      <c r="M19" s="144">
        <f>K19/L19</f>
        <v>0.33333333333333331</v>
      </c>
      <c r="N19" s="155">
        <f>M19</f>
        <v>0.33333333333333331</v>
      </c>
      <c r="P19" s="131" t="s">
        <v>1787</v>
      </c>
      <c r="AI19" s="117"/>
      <c r="AJ19" s="117"/>
      <c r="AK19" s="117"/>
      <c r="AL19" s="117"/>
      <c r="AM19" s="117"/>
      <c r="BA19" s="116"/>
      <c r="BB19" s="116"/>
      <c r="BC19" s="116"/>
      <c r="BD19" s="116"/>
      <c r="BE19" s="116"/>
      <c r="BF19" s="116"/>
      <c r="BG19" s="116"/>
      <c r="BH19" s="116"/>
      <c r="BI19" s="116"/>
      <c r="BJ19" s="116"/>
      <c r="BK19" s="116"/>
      <c r="BL19" s="116"/>
      <c r="BM19" s="116"/>
      <c r="BN19" s="116"/>
      <c r="BO19" s="116"/>
      <c r="BP19" s="116"/>
      <c r="BQ19" s="116"/>
      <c r="BR19" s="116"/>
      <c r="BS19" s="116"/>
      <c r="BT19" s="116"/>
      <c r="BU19" s="116"/>
      <c r="BV19" s="116"/>
      <c r="BW19" s="116"/>
      <c r="BX19" s="116"/>
      <c r="BY19" s="116"/>
      <c r="BZ19" s="116"/>
      <c r="CA19" s="116"/>
    </row>
    <row r="20" spans="5:94" ht="15" customHeight="1">
      <c r="E20" s="57"/>
      <c r="F20" s="57"/>
      <c r="G20" s="144" t="s">
        <v>1826</v>
      </c>
      <c r="H20" s="142">
        <v>0.2</v>
      </c>
      <c r="I20" s="143">
        <f>1/H20</f>
        <v>5</v>
      </c>
      <c r="J20" s="161">
        <v>1</v>
      </c>
      <c r="K20" s="144">
        <f t="shared" si="0"/>
        <v>0.2</v>
      </c>
      <c r="L20" s="1054">
        <v>3</v>
      </c>
      <c r="M20" s="144">
        <f>K20/L20</f>
        <v>6.6666666666666666E-2</v>
      </c>
      <c r="N20" s="155">
        <f>M20</f>
        <v>6.6666666666666666E-2</v>
      </c>
      <c r="P20" s="131" t="s">
        <v>19</v>
      </c>
      <c r="AO20" s="117"/>
      <c r="AP20" s="117"/>
      <c r="AQ20" s="117"/>
      <c r="BA20" s="116"/>
      <c r="BB20" s="116"/>
      <c r="BC20" s="116"/>
      <c r="BD20" s="116"/>
      <c r="BE20" s="116"/>
      <c r="BF20" s="116"/>
      <c r="BG20" s="116"/>
      <c r="BH20" s="116"/>
      <c r="BI20" s="116"/>
      <c r="BJ20" s="116"/>
      <c r="BK20" s="116"/>
      <c r="BL20" s="116"/>
      <c r="BM20" s="116"/>
      <c r="BN20" s="116"/>
      <c r="BO20" s="116"/>
      <c r="BP20" s="116"/>
      <c r="BQ20" s="116"/>
      <c r="BR20" s="116"/>
      <c r="BS20" s="116"/>
      <c r="BT20" s="116"/>
      <c r="BU20" s="116"/>
      <c r="BV20" s="116"/>
      <c r="BW20" s="116"/>
      <c r="BX20" s="116"/>
      <c r="BY20" s="116"/>
      <c r="BZ20" s="116"/>
      <c r="CA20" s="116"/>
    </row>
    <row r="21" spans="5:94" ht="15" customHeight="1">
      <c r="E21" s="57"/>
      <c r="F21" s="57"/>
      <c r="G21" s="144" t="s">
        <v>20</v>
      </c>
      <c r="H21" s="142">
        <v>0.05</v>
      </c>
      <c r="I21" s="143">
        <f>1/H21</f>
        <v>20</v>
      </c>
      <c r="J21" s="161">
        <v>1</v>
      </c>
      <c r="K21" s="144">
        <f t="shared" si="0"/>
        <v>0.05</v>
      </c>
      <c r="L21" s="1054">
        <v>3</v>
      </c>
      <c r="M21" s="144">
        <f>K21/L21</f>
        <v>1.6666666666666666E-2</v>
      </c>
      <c r="N21" s="155">
        <f>M21</f>
        <v>1.6666666666666666E-2</v>
      </c>
      <c r="P21" s="131" t="s">
        <v>1832</v>
      </c>
      <c r="AR21" s="117"/>
      <c r="AS21" s="117"/>
      <c r="AT21" s="117"/>
      <c r="AU21" s="117"/>
      <c r="AV21" s="117"/>
      <c r="AW21" s="117"/>
      <c r="AX21" s="117"/>
      <c r="AY21" s="117"/>
      <c r="AZ21" s="117"/>
      <c r="BA21" s="117"/>
      <c r="BB21" s="117"/>
      <c r="BC21" s="117"/>
      <c r="BD21" s="117"/>
      <c r="BE21" s="116"/>
      <c r="BF21" s="116"/>
      <c r="BG21" s="116"/>
      <c r="BH21" s="116"/>
      <c r="BI21" s="116"/>
      <c r="BJ21" s="116"/>
      <c r="BK21" s="116"/>
      <c r="BL21" s="116"/>
      <c r="BM21" s="116"/>
      <c r="BN21" s="116"/>
      <c r="BO21" s="117"/>
      <c r="BP21" s="117"/>
      <c r="BQ21" s="117"/>
      <c r="BR21" s="117"/>
      <c r="BS21" s="117"/>
      <c r="BT21" s="117"/>
      <c r="BU21" s="117"/>
      <c r="BV21" s="117"/>
      <c r="BW21" s="117"/>
      <c r="BX21" s="116"/>
      <c r="BY21" s="116"/>
      <c r="BZ21" s="116"/>
      <c r="CA21" s="116"/>
    </row>
    <row r="22" spans="5:94" ht="15" customHeight="1">
      <c r="E22" s="57"/>
      <c r="F22" s="145" t="s">
        <v>1821</v>
      </c>
      <c r="G22" s="144"/>
      <c r="H22" s="142"/>
      <c r="I22" s="143"/>
      <c r="J22" s="161"/>
      <c r="K22" s="144"/>
      <c r="L22" s="1054"/>
      <c r="M22" s="144"/>
      <c r="N22" s="155"/>
      <c r="P22" s="131" t="s">
        <v>1833</v>
      </c>
      <c r="BA22" s="116"/>
      <c r="BB22" s="116"/>
      <c r="BC22" s="116"/>
      <c r="BD22" s="116"/>
      <c r="BE22" s="117"/>
      <c r="BF22" s="117"/>
      <c r="BG22" s="117"/>
      <c r="BH22" s="117"/>
      <c r="BI22" s="117"/>
      <c r="BJ22" s="117"/>
      <c r="BK22" s="117"/>
      <c r="BL22" s="117"/>
      <c r="BM22" s="117"/>
      <c r="BN22" s="117"/>
      <c r="BO22" s="116"/>
      <c r="BP22" s="116"/>
      <c r="BQ22" s="116"/>
      <c r="BR22" s="116"/>
      <c r="BS22" s="116"/>
      <c r="BT22" s="116"/>
      <c r="BU22" s="116"/>
      <c r="BV22" s="116"/>
      <c r="BW22" s="116"/>
      <c r="BX22" s="116"/>
      <c r="BY22" s="116"/>
      <c r="BZ22" s="116"/>
      <c r="CA22" s="116"/>
    </row>
    <row r="23" spans="5:94" ht="15" customHeight="1">
      <c r="E23" s="57"/>
      <c r="F23" s="57" t="s">
        <v>1834</v>
      </c>
      <c r="G23" s="144" t="s">
        <v>1819</v>
      </c>
      <c r="H23" s="142">
        <f>AHSP!J332</f>
        <v>0.75</v>
      </c>
      <c r="I23" s="143">
        <f>1/H23</f>
        <v>1.3333333333333333</v>
      </c>
      <c r="J23" s="161">
        <f>'REKAP VOLUME'!H13</f>
        <v>30.712500000000006</v>
      </c>
      <c r="K23" s="144">
        <f t="shared" si="0"/>
        <v>23.034375000000004</v>
      </c>
      <c r="L23" s="1054">
        <v>7</v>
      </c>
      <c r="M23" s="144">
        <f>K23/L23</f>
        <v>3.2906250000000008</v>
      </c>
      <c r="N23" s="155">
        <f>M23</f>
        <v>3.2906250000000008</v>
      </c>
      <c r="P23" s="131" t="s">
        <v>1835</v>
      </c>
      <c r="BA23" s="116"/>
      <c r="BB23" s="116"/>
      <c r="BC23" s="116"/>
      <c r="BD23" s="116"/>
      <c r="BE23" s="117"/>
      <c r="BF23" s="117"/>
      <c r="BG23" s="117"/>
      <c r="BH23" s="117"/>
      <c r="BI23" s="117"/>
      <c r="BJ23" s="117"/>
      <c r="BK23" s="117"/>
      <c r="BL23" s="117"/>
      <c r="BM23" s="117"/>
      <c r="BN23" s="117"/>
      <c r="BO23" s="116"/>
      <c r="BP23" s="116"/>
      <c r="BQ23" s="116"/>
      <c r="BR23" s="116"/>
      <c r="BS23" s="116"/>
      <c r="BT23" s="116"/>
      <c r="BU23" s="116"/>
      <c r="BV23" s="116"/>
      <c r="BW23" s="116"/>
      <c r="BX23" s="116"/>
      <c r="BY23" s="116"/>
      <c r="BZ23" s="116"/>
      <c r="CA23" s="116"/>
    </row>
    <row r="24" spans="5:94" ht="15" customHeight="1">
      <c r="E24" s="57"/>
      <c r="F24" s="57"/>
      <c r="G24" s="144" t="s">
        <v>20</v>
      </c>
      <c r="H24" s="142">
        <f>AHSP!J333</f>
        <v>2.5000000000000001E-2</v>
      </c>
      <c r="I24" s="143">
        <f>1/H24</f>
        <v>40</v>
      </c>
      <c r="J24" s="161">
        <f>J23</f>
        <v>30.712500000000006</v>
      </c>
      <c r="K24" s="144">
        <f t="shared" si="0"/>
        <v>0.76781250000000012</v>
      </c>
      <c r="L24" s="1054">
        <v>7</v>
      </c>
      <c r="M24" s="144">
        <f>K24/L24</f>
        <v>0.10968750000000002</v>
      </c>
      <c r="N24" s="155">
        <f>M24</f>
        <v>0.10968750000000002</v>
      </c>
      <c r="P24" s="131" t="s">
        <v>1836</v>
      </c>
      <c r="BA24" s="117"/>
      <c r="BB24" s="117"/>
      <c r="BC24" s="117"/>
      <c r="BD24" s="117"/>
      <c r="BE24" s="116"/>
      <c r="BF24" s="116"/>
      <c r="BG24" s="116"/>
      <c r="BH24" s="116"/>
      <c r="BI24" s="116"/>
      <c r="BJ24" s="116"/>
      <c r="BK24" s="116"/>
      <c r="BL24" s="116"/>
      <c r="BM24" s="116"/>
      <c r="BN24" s="116"/>
      <c r="BO24" s="116"/>
      <c r="BP24" s="116"/>
      <c r="BQ24" s="116"/>
      <c r="BR24" s="116"/>
      <c r="BS24" s="116"/>
      <c r="BT24" s="116"/>
      <c r="BU24" s="116"/>
      <c r="BV24" s="116"/>
      <c r="BW24" s="116"/>
      <c r="BX24" s="116"/>
      <c r="BY24" s="116"/>
      <c r="BZ24" s="116"/>
      <c r="CA24" s="116"/>
    </row>
    <row r="25" spans="5:94" ht="15" customHeight="1">
      <c r="E25" s="57"/>
      <c r="F25" s="57"/>
      <c r="G25" s="144"/>
      <c r="H25" s="142"/>
      <c r="I25" s="143"/>
      <c r="J25" s="161"/>
      <c r="K25" s="144"/>
      <c r="L25" s="1054"/>
      <c r="M25" s="144"/>
      <c r="N25" s="155"/>
      <c r="P25" s="131" t="s">
        <v>1837</v>
      </c>
      <c r="BA25" s="116"/>
      <c r="BB25" s="116"/>
      <c r="BC25" s="116"/>
      <c r="BD25" s="116"/>
      <c r="BE25" s="116"/>
      <c r="BF25" s="116"/>
      <c r="BG25" s="116"/>
      <c r="BH25" s="116"/>
      <c r="BI25" s="116"/>
      <c r="BJ25" s="116"/>
      <c r="BK25" s="116"/>
      <c r="BL25" s="116"/>
      <c r="BM25" s="116"/>
      <c r="BN25" s="116"/>
      <c r="BO25" s="116"/>
      <c r="BP25" s="116"/>
      <c r="BQ25" s="116"/>
      <c r="BR25" s="116"/>
      <c r="BS25" s="116"/>
      <c r="BT25" s="116"/>
      <c r="BU25" s="116"/>
      <c r="BV25" s="116"/>
      <c r="BW25" s="116"/>
      <c r="BX25" s="117"/>
      <c r="BY25" s="117" t="s">
        <v>19</v>
      </c>
      <c r="BZ25" s="117"/>
      <c r="CA25" s="117"/>
    </row>
    <row r="26" spans="5:94" ht="15" customHeight="1">
      <c r="E26" s="57"/>
      <c r="F26" s="57" t="s">
        <v>1838</v>
      </c>
      <c r="G26" s="144" t="s">
        <v>1819</v>
      </c>
      <c r="H26" s="142">
        <f>AHSP!J346</f>
        <v>0.9</v>
      </c>
      <c r="I26" s="143">
        <f>1/H26</f>
        <v>1.1111111111111112</v>
      </c>
      <c r="J26" s="161">
        <v>0</v>
      </c>
      <c r="K26" s="144">
        <f t="shared" si="0"/>
        <v>0</v>
      </c>
      <c r="L26" s="1054">
        <v>0</v>
      </c>
      <c r="M26" s="144" t="e">
        <f>K26/L26</f>
        <v>#DIV/0!</v>
      </c>
      <c r="N26" s="155" t="e">
        <f>M26</f>
        <v>#DIV/0!</v>
      </c>
      <c r="P26" s="133" t="s">
        <v>1839</v>
      </c>
      <c r="BA26" s="116"/>
      <c r="BB26" s="116"/>
      <c r="BC26" s="116"/>
      <c r="BD26" s="116"/>
      <c r="BE26" s="116"/>
      <c r="BF26" s="116"/>
      <c r="BG26" s="116"/>
      <c r="BH26" s="116"/>
      <c r="BI26" s="116"/>
      <c r="BJ26" s="116"/>
      <c r="BK26" s="116"/>
      <c r="BL26" s="116"/>
      <c r="BM26" s="116"/>
      <c r="BN26" s="116"/>
      <c r="BO26" s="116"/>
      <c r="BP26" s="116"/>
      <c r="BQ26" s="116"/>
      <c r="BR26" s="116"/>
      <c r="BS26" s="116"/>
      <c r="BT26" s="116"/>
      <c r="BU26" s="116"/>
      <c r="BV26" s="116"/>
      <c r="BW26" s="116"/>
      <c r="BX26" s="116"/>
      <c r="BY26" s="116"/>
      <c r="BZ26" s="116"/>
      <c r="CA26" s="116"/>
    </row>
    <row r="27" spans="5:94" ht="15" customHeight="1">
      <c r="E27" s="57"/>
      <c r="F27" s="57"/>
      <c r="G27" s="144" t="s">
        <v>20</v>
      </c>
      <c r="H27" s="142">
        <f>AHSP!J347</f>
        <v>4.4999999999999998E-2</v>
      </c>
      <c r="I27" s="143">
        <f>1/H27</f>
        <v>22.222222222222221</v>
      </c>
      <c r="J27" s="161">
        <v>0</v>
      </c>
      <c r="K27" s="144">
        <f t="shared" si="0"/>
        <v>0</v>
      </c>
      <c r="L27" s="1054">
        <v>0</v>
      </c>
      <c r="M27" s="144" t="e">
        <f>K27/L27</f>
        <v>#DIV/0!</v>
      </c>
      <c r="N27" s="155" t="e">
        <f>M27</f>
        <v>#DIV/0!</v>
      </c>
      <c r="P27" s="131" t="s">
        <v>1840</v>
      </c>
      <c r="BA27" s="116"/>
      <c r="BB27" s="116"/>
      <c r="BC27" s="116"/>
      <c r="BD27" s="116"/>
      <c r="BE27" s="116"/>
      <c r="BF27" s="116"/>
      <c r="BG27" s="116"/>
      <c r="BH27" s="116"/>
      <c r="BI27" s="116"/>
      <c r="BJ27" s="116"/>
      <c r="BK27" s="116"/>
      <c r="BL27" s="116"/>
      <c r="BM27" s="116"/>
      <c r="BN27" s="116"/>
      <c r="BO27" s="116"/>
      <c r="BP27" s="116"/>
      <c r="BQ27" s="116"/>
      <c r="BR27" s="116"/>
      <c r="BS27" s="116"/>
      <c r="BT27" s="116"/>
      <c r="BU27" s="116"/>
      <c r="BV27" s="116"/>
      <c r="BW27" s="116"/>
      <c r="BX27" s="116"/>
      <c r="BY27" s="116"/>
      <c r="BZ27" s="116"/>
      <c r="CA27" s="116"/>
    </row>
    <row r="28" spans="5:94" ht="15" customHeight="1">
      <c r="E28" s="57"/>
      <c r="F28" s="57"/>
      <c r="G28" s="144"/>
      <c r="H28" s="142"/>
      <c r="I28" s="143"/>
      <c r="J28" s="161"/>
      <c r="K28" s="144"/>
      <c r="L28" s="1054"/>
      <c r="M28" s="144"/>
      <c r="N28" s="155"/>
      <c r="P28" s="131" t="s">
        <v>1841</v>
      </c>
      <c r="BA28" s="116"/>
      <c r="BB28" s="116"/>
      <c r="BC28" s="116"/>
      <c r="BD28" s="117"/>
      <c r="BE28" s="117"/>
      <c r="BF28" s="117"/>
      <c r="BG28" s="117"/>
      <c r="BH28" s="117"/>
      <c r="BI28" s="117"/>
      <c r="BJ28" s="117"/>
      <c r="BK28" s="117"/>
      <c r="BL28" s="117"/>
      <c r="BM28" s="117"/>
      <c r="BN28" s="117"/>
      <c r="BO28" s="117"/>
      <c r="BP28" s="117"/>
      <c r="BQ28" s="117"/>
      <c r="BR28" s="117"/>
      <c r="BS28" s="117"/>
      <c r="BT28" s="117"/>
      <c r="BU28" s="117"/>
      <c r="BV28" s="117"/>
      <c r="BW28" s="117"/>
      <c r="BX28" s="117"/>
      <c r="BY28" s="117"/>
      <c r="BZ28" s="117"/>
      <c r="CA28" s="117"/>
      <c r="CB28" s="117"/>
      <c r="CC28" s="117"/>
      <c r="CD28" s="117"/>
      <c r="CE28" s="117"/>
      <c r="CF28" s="117"/>
      <c r="CG28" s="117"/>
      <c r="CH28" s="118"/>
      <c r="CI28" s="118"/>
      <c r="CJ28" s="118"/>
      <c r="CK28" s="118"/>
    </row>
    <row r="29" spans="5:94" ht="15" customHeight="1">
      <c r="E29" s="57"/>
      <c r="F29" s="57" t="s">
        <v>1842</v>
      </c>
      <c r="G29" s="144" t="s">
        <v>1819</v>
      </c>
      <c r="H29" s="142">
        <f>AHSP!J360</f>
        <v>1.05</v>
      </c>
      <c r="I29" s="143">
        <f>1/H29</f>
        <v>0.95238095238095233</v>
      </c>
      <c r="J29" s="161">
        <v>0</v>
      </c>
      <c r="K29" s="144">
        <f t="shared" si="0"/>
        <v>0</v>
      </c>
      <c r="L29" s="1054">
        <v>0</v>
      </c>
      <c r="M29" s="144" t="e">
        <f>K29/L29</f>
        <v>#DIV/0!</v>
      </c>
      <c r="N29" s="155" t="e">
        <f>M29</f>
        <v>#DIV/0!</v>
      </c>
      <c r="P29" s="131" t="s">
        <v>1843</v>
      </c>
      <c r="AX29" s="117"/>
      <c r="AY29" s="117"/>
      <c r="AZ29" s="117"/>
      <c r="BA29" s="117"/>
      <c r="BB29" s="117"/>
      <c r="BC29" s="117"/>
      <c r="BD29" s="116"/>
      <c r="BE29" s="116"/>
      <c r="BF29" s="116"/>
      <c r="BG29" s="116"/>
      <c r="BH29" s="116"/>
      <c r="BI29" s="116"/>
      <c r="BJ29" s="116"/>
      <c r="BK29" s="116"/>
      <c r="BL29" s="116"/>
      <c r="BM29" s="116"/>
      <c r="BN29" s="116"/>
      <c r="BO29" s="116"/>
      <c r="BP29" s="116"/>
      <c r="BQ29" s="116"/>
      <c r="BR29" s="116"/>
      <c r="BS29" s="116"/>
      <c r="BT29" s="116"/>
      <c r="BU29" s="116"/>
      <c r="BV29" s="116"/>
      <c r="BW29" s="116"/>
      <c r="BX29" s="116"/>
      <c r="BY29" s="116"/>
      <c r="BZ29" s="116"/>
      <c r="CA29" s="116"/>
      <c r="CI29" s="109"/>
      <c r="CJ29" s="109"/>
      <c r="CK29" s="109"/>
    </row>
    <row r="30" spans="5:94" ht="15" customHeight="1">
      <c r="E30" s="57"/>
      <c r="F30" s="57"/>
      <c r="G30" s="144" t="s">
        <v>20</v>
      </c>
      <c r="H30" s="142">
        <f>AHSP!J361</f>
        <v>6.7000000000000004E-2</v>
      </c>
      <c r="I30" s="143">
        <f>1/H30</f>
        <v>14.925373134328357</v>
      </c>
      <c r="J30" s="161">
        <v>0</v>
      </c>
      <c r="K30" s="144">
        <f t="shared" si="0"/>
        <v>0</v>
      </c>
      <c r="L30" s="1054">
        <v>0</v>
      </c>
      <c r="M30" s="144" t="e">
        <f>K30/L30</f>
        <v>#DIV/0!</v>
      </c>
      <c r="N30" s="155" t="e">
        <f>M30</f>
        <v>#DIV/0!</v>
      </c>
      <c r="P30" s="135" t="s">
        <v>1844</v>
      </c>
      <c r="BA30" s="116"/>
      <c r="BB30" s="117"/>
      <c r="BC30" s="117"/>
      <c r="BD30" s="117"/>
      <c r="BE30" s="117"/>
      <c r="BF30" s="117"/>
      <c r="BG30" s="117"/>
      <c r="BH30" s="116"/>
      <c r="BI30" s="116"/>
      <c r="BJ30" s="116"/>
      <c r="BK30" s="116"/>
      <c r="BL30" s="116"/>
      <c r="BM30" s="116"/>
      <c r="BN30" s="116"/>
      <c r="BO30" s="116"/>
      <c r="BP30" s="116"/>
      <c r="BQ30" s="117"/>
      <c r="BR30" s="117"/>
      <c r="BS30" s="117"/>
      <c r="BT30" s="116"/>
      <c r="BU30" s="116"/>
      <c r="BV30" s="116"/>
      <c r="BW30" s="116"/>
      <c r="BX30" s="116"/>
      <c r="BY30" s="116"/>
      <c r="BZ30" s="116"/>
      <c r="CA30" s="116"/>
      <c r="CI30" s="109"/>
      <c r="CJ30" s="109"/>
      <c r="CK30" s="109"/>
      <c r="CL30" s="109"/>
    </row>
    <row r="31" spans="5:94" ht="15" customHeight="1">
      <c r="E31" s="57"/>
      <c r="F31" s="57"/>
      <c r="G31" s="144"/>
      <c r="H31" s="142"/>
      <c r="I31" s="143"/>
      <c r="J31" s="161"/>
      <c r="K31" s="144"/>
      <c r="L31" s="1054"/>
      <c r="M31" s="144"/>
      <c r="N31" s="155"/>
      <c r="P31" s="131" t="s">
        <v>1845</v>
      </c>
      <c r="BA31" s="116"/>
      <c r="BB31" s="116"/>
      <c r="BC31" s="116"/>
      <c r="BD31" s="116"/>
      <c r="BE31" s="116"/>
      <c r="BF31" s="116"/>
      <c r="BG31" s="116"/>
      <c r="BH31" s="116"/>
      <c r="BI31" s="116"/>
      <c r="BJ31" s="116"/>
      <c r="BK31" s="116"/>
      <c r="BL31" s="116"/>
      <c r="BM31" s="116"/>
      <c r="BN31" s="116"/>
      <c r="BO31" s="116"/>
      <c r="BP31" s="116"/>
      <c r="BQ31" s="116"/>
      <c r="BR31" s="116"/>
      <c r="BS31" s="116"/>
      <c r="BT31" s="116"/>
      <c r="BU31" s="116"/>
      <c r="BV31" s="116"/>
      <c r="BW31" s="116"/>
      <c r="BX31" s="117"/>
      <c r="BY31" s="117"/>
      <c r="BZ31" s="116"/>
      <c r="CA31" s="116"/>
      <c r="CM31" s="108"/>
      <c r="CN31" s="108"/>
      <c r="CO31" s="108"/>
      <c r="CP31" s="108"/>
    </row>
    <row r="32" spans="5:94" ht="15" customHeight="1">
      <c r="E32" s="57"/>
      <c r="F32" s="57" t="s">
        <v>1846</v>
      </c>
      <c r="G32" s="144" t="s">
        <v>1819</v>
      </c>
      <c r="H32" s="142">
        <f>AHSP!J374</f>
        <v>1</v>
      </c>
      <c r="I32" s="143">
        <f>1/H32</f>
        <v>1</v>
      </c>
      <c r="J32" s="161">
        <v>0</v>
      </c>
      <c r="K32" s="144">
        <f t="shared" si="0"/>
        <v>0</v>
      </c>
      <c r="L32" s="1054">
        <v>0</v>
      </c>
      <c r="M32" s="144" t="e">
        <f>K32/L32</f>
        <v>#DIV/0!</v>
      </c>
      <c r="N32" s="155" t="e">
        <f>M32</f>
        <v>#DIV/0!</v>
      </c>
      <c r="P32" s="131" t="s">
        <v>1847</v>
      </c>
      <c r="BA32" s="116"/>
      <c r="BB32" s="116"/>
      <c r="BC32" s="116"/>
      <c r="BD32" s="116"/>
      <c r="BE32" s="116"/>
      <c r="BF32" s="116"/>
      <c r="BG32" s="116"/>
      <c r="BH32" s="116"/>
      <c r="BI32" s="116"/>
      <c r="BJ32" s="116"/>
      <c r="BK32" s="116"/>
      <c r="BL32" s="116"/>
      <c r="BM32" s="116"/>
      <c r="BN32" s="116"/>
      <c r="BO32" s="116"/>
      <c r="BP32" s="116"/>
      <c r="BQ32" s="116"/>
      <c r="BR32" s="116"/>
      <c r="BS32" s="116"/>
      <c r="BT32" s="116"/>
      <c r="BU32" s="116"/>
      <c r="BV32" s="116"/>
      <c r="BW32" s="116"/>
      <c r="BX32" s="116"/>
      <c r="BY32" s="116"/>
      <c r="BZ32" s="117"/>
      <c r="CA32" s="117"/>
      <c r="CB32" s="117"/>
      <c r="CC32" s="117"/>
      <c r="CM32" s="108"/>
      <c r="CN32" s="108"/>
      <c r="CO32" s="108"/>
      <c r="CP32" s="108"/>
    </row>
    <row r="33" spans="1:145" ht="15" customHeight="1">
      <c r="E33" s="57"/>
      <c r="F33" s="57"/>
      <c r="G33" s="144" t="s">
        <v>20</v>
      </c>
      <c r="H33" s="142">
        <f>AHSP!J375</f>
        <v>3.2000000000000001E-2</v>
      </c>
      <c r="I33" s="143">
        <f>1/H33</f>
        <v>31.25</v>
      </c>
      <c r="J33" s="161">
        <v>0</v>
      </c>
      <c r="K33" s="144">
        <f t="shared" si="0"/>
        <v>0</v>
      </c>
      <c r="L33" s="1054">
        <v>0</v>
      </c>
      <c r="M33" s="144" t="e">
        <f>K33/L33</f>
        <v>#DIV/0!</v>
      </c>
      <c r="N33" s="155" t="e">
        <f>M33</f>
        <v>#DIV/0!</v>
      </c>
      <c r="P33" s="131" t="s">
        <v>1848</v>
      </c>
      <c r="BA33" s="116"/>
      <c r="BB33" s="116"/>
      <c r="BC33" s="116"/>
      <c r="BD33" s="116"/>
      <c r="BE33" s="116"/>
      <c r="BF33" s="116"/>
      <c r="BG33" s="116"/>
      <c r="BH33" s="116"/>
      <c r="BI33" s="116"/>
      <c r="BJ33" s="116"/>
      <c r="BK33" s="116"/>
      <c r="BL33" s="116"/>
      <c r="BM33" s="116"/>
      <c r="BN33" s="116"/>
      <c r="BO33" s="116"/>
      <c r="BP33" s="116"/>
      <c r="BQ33" s="116"/>
      <c r="BR33" s="116"/>
      <c r="BS33" s="116"/>
      <c r="BT33" s="116"/>
      <c r="BU33" s="116"/>
      <c r="BV33" s="116"/>
      <c r="BW33" s="116"/>
      <c r="BX33" s="116"/>
      <c r="BY33" s="116"/>
      <c r="BZ33" s="116"/>
      <c r="CA33" s="116"/>
      <c r="CM33" s="108"/>
      <c r="CN33" s="108"/>
      <c r="CO33" s="108"/>
      <c r="CP33" s="108"/>
      <c r="CQ33" s="108"/>
      <c r="CR33" s="117"/>
      <c r="CS33" s="117"/>
      <c r="CT33" s="117"/>
      <c r="CU33" s="117"/>
      <c r="CV33" s="117"/>
      <c r="CW33" s="118"/>
      <c r="CX33" s="118"/>
    </row>
    <row r="34" spans="1:145" ht="15" customHeight="1">
      <c r="E34" s="57"/>
      <c r="F34" s="57"/>
      <c r="G34" s="144"/>
      <c r="H34" s="142"/>
      <c r="I34" s="143"/>
      <c r="J34" s="161"/>
      <c r="K34" s="144"/>
      <c r="L34" s="1054"/>
      <c r="M34" s="144"/>
      <c r="N34" s="155"/>
      <c r="P34" s="131" t="s">
        <v>1849</v>
      </c>
      <c r="BA34" s="116"/>
      <c r="BB34" s="116"/>
      <c r="BC34" s="116"/>
      <c r="BD34" s="116"/>
      <c r="BE34" s="116"/>
      <c r="BF34" s="116"/>
      <c r="BG34" s="116"/>
      <c r="BH34" s="116"/>
      <c r="BI34" s="116"/>
      <c r="BJ34" s="116"/>
      <c r="BK34" s="116"/>
      <c r="BL34" s="116"/>
      <c r="BM34" s="116"/>
      <c r="BN34" s="116"/>
      <c r="BO34" s="116"/>
      <c r="BP34" s="116"/>
      <c r="BQ34" s="116"/>
      <c r="BR34" s="116"/>
      <c r="BS34" s="116"/>
      <c r="BT34" s="116"/>
      <c r="BU34" s="116"/>
      <c r="BV34" s="116"/>
      <c r="BW34" s="116"/>
      <c r="BX34" s="116"/>
      <c r="BY34" s="116"/>
      <c r="BZ34" s="116"/>
      <c r="CA34" s="116"/>
      <c r="CM34" s="108"/>
      <c r="CN34" s="108"/>
      <c r="CO34" s="108"/>
      <c r="CP34" s="108"/>
      <c r="CQ34" s="108"/>
      <c r="CR34" s="108"/>
      <c r="CT34" s="108"/>
      <c r="CU34" s="108"/>
      <c r="DF34" s="118"/>
      <c r="DG34" s="118"/>
      <c r="DH34" s="118"/>
    </row>
    <row r="35" spans="1:145" ht="15" customHeight="1">
      <c r="A35" s="1096" t="s">
        <v>2381</v>
      </c>
      <c r="B35" s="1096"/>
      <c r="C35" s="1096"/>
      <c r="E35" s="57"/>
      <c r="F35" s="57" t="s">
        <v>1850</v>
      </c>
      <c r="G35" s="144" t="s">
        <v>1819</v>
      </c>
      <c r="H35" s="142">
        <f>AHSP!J388</f>
        <v>1.5</v>
      </c>
      <c r="I35" s="143">
        <f>1/H35</f>
        <v>0.66666666666666663</v>
      </c>
      <c r="J35" s="161">
        <v>0</v>
      </c>
      <c r="K35" s="144">
        <f t="shared" si="0"/>
        <v>0</v>
      </c>
      <c r="L35" s="1054">
        <v>0</v>
      </c>
      <c r="M35" s="144" t="e">
        <f>K35/L35</f>
        <v>#DIV/0!</v>
      </c>
      <c r="N35" s="155" t="e">
        <f>M35</f>
        <v>#DIV/0!</v>
      </c>
      <c r="P35" s="131" t="s">
        <v>1851</v>
      </c>
      <c r="BA35" s="116"/>
      <c r="BB35" s="116"/>
      <c r="BC35" s="116"/>
      <c r="BD35" s="116"/>
      <c r="BE35" s="116"/>
      <c r="BF35" s="116"/>
      <c r="BG35" s="116"/>
      <c r="BH35" s="116"/>
      <c r="BI35" s="116"/>
      <c r="BJ35" s="116"/>
      <c r="BK35" s="116"/>
      <c r="BL35" s="116"/>
      <c r="BM35" s="116"/>
      <c r="BN35" s="116"/>
      <c r="BO35" s="116"/>
      <c r="BP35" s="116"/>
      <c r="BQ35" s="116"/>
      <c r="BR35" s="116"/>
      <c r="BS35" s="116"/>
      <c r="BT35" s="116"/>
      <c r="BU35" s="116"/>
      <c r="BV35" s="116"/>
      <c r="BW35" s="116"/>
      <c r="BX35" s="116"/>
      <c r="BY35" s="116"/>
      <c r="BZ35" s="116"/>
      <c r="CA35" s="116"/>
      <c r="CD35" s="117"/>
      <c r="CE35" s="117"/>
      <c r="CF35" s="117"/>
      <c r="CG35" s="117"/>
      <c r="CH35" s="117"/>
      <c r="CI35" s="117"/>
      <c r="CJ35" s="117"/>
      <c r="CK35" s="117"/>
      <c r="CL35" s="117"/>
      <c r="CM35" s="117"/>
      <c r="CN35" s="117"/>
      <c r="CO35" s="117"/>
      <c r="CP35" s="117"/>
      <c r="CQ35" s="117"/>
      <c r="CR35" s="108"/>
      <c r="CT35" s="108"/>
      <c r="CU35" s="108"/>
      <c r="CY35" s="108"/>
    </row>
    <row r="36" spans="1:145" ht="15" customHeight="1">
      <c r="E36" s="57"/>
      <c r="F36" s="57"/>
      <c r="G36" s="144" t="s">
        <v>20</v>
      </c>
      <c r="H36" s="142">
        <f>AHSP!J389</f>
        <v>0.06</v>
      </c>
      <c r="I36" s="143">
        <f>1/H36</f>
        <v>16.666666666666668</v>
      </c>
      <c r="J36" s="161">
        <v>0</v>
      </c>
      <c r="K36" s="144">
        <f t="shared" si="0"/>
        <v>0</v>
      </c>
      <c r="L36" s="1054">
        <v>0</v>
      </c>
      <c r="M36" s="144" t="e">
        <f>K36/L36</f>
        <v>#DIV/0!</v>
      </c>
      <c r="N36" s="155" t="e">
        <f>M36</f>
        <v>#DIV/0!</v>
      </c>
      <c r="P36" s="131" t="s">
        <v>1852</v>
      </c>
      <c r="BA36" s="116"/>
      <c r="BB36" s="116"/>
      <c r="BC36" s="116"/>
      <c r="BD36" s="116"/>
      <c r="BE36" s="116"/>
      <c r="BF36" s="116"/>
      <c r="BG36" s="116"/>
      <c r="BH36" s="116"/>
      <c r="BI36" s="116"/>
      <c r="BJ36" s="116"/>
      <c r="BK36" s="116"/>
      <c r="BL36" s="116"/>
      <c r="BM36" s="116"/>
      <c r="BN36" s="116"/>
      <c r="BO36" s="116"/>
      <c r="BP36" s="116"/>
      <c r="BQ36" s="116"/>
      <c r="BR36" s="116"/>
      <c r="BS36" s="116"/>
      <c r="BT36" s="116"/>
      <c r="BU36" s="116"/>
      <c r="BV36" s="116"/>
      <c r="BW36" s="116"/>
      <c r="BX36" s="116"/>
      <c r="BY36" s="116"/>
      <c r="BZ36" s="116"/>
      <c r="CA36" s="116"/>
      <c r="CM36" s="108"/>
      <c r="CN36" s="108"/>
      <c r="CO36" s="108"/>
      <c r="CP36" s="108"/>
      <c r="CQ36" s="108"/>
      <c r="CR36" s="108"/>
      <c r="CT36" s="108"/>
      <c r="CU36" s="108"/>
      <c r="CY36" s="108"/>
      <c r="DD36" s="118"/>
      <c r="DE36" s="118"/>
    </row>
    <row r="37" spans="1:145" ht="15" customHeight="1">
      <c r="E37" s="57"/>
      <c r="F37" s="57"/>
      <c r="G37" s="144"/>
      <c r="H37" s="142"/>
      <c r="I37" s="143"/>
      <c r="J37" s="161"/>
      <c r="K37" s="144"/>
      <c r="L37" s="1054"/>
      <c r="M37" s="144"/>
      <c r="N37" s="155"/>
      <c r="P37" s="131" t="s">
        <v>1853</v>
      </c>
      <c r="BA37" s="116"/>
      <c r="BB37" s="116"/>
      <c r="BC37" s="116"/>
      <c r="BD37" s="116"/>
      <c r="BE37" s="116"/>
      <c r="BF37" s="116"/>
      <c r="BG37" s="116"/>
      <c r="BH37" s="116"/>
      <c r="BI37" s="116"/>
      <c r="BJ37" s="116"/>
      <c r="BK37" s="116"/>
      <c r="BL37" s="116"/>
      <c r="BM37" s="116"/>
      <c r="BN37" s="116"/>
      <c r="BO37" s="116"/>
      <c r="BP37" s="116"/>
      <c r="BQ37" s="116"/>
      <c r="BR37" s="116"/>
      <c r="BS37" s="116"/>
      <c r="BT37" s="116"/>
      <c r="BU37" s="116"/>
      <c r="BV37" s="116"/>
      <c r="BW37" s="116"/>
      <c r="BX37" s="116"/>
      <c r="BY37" s="116"/>
      <c r="BZ37" s="116"/>
      <c r="CA37" s="116"/>
      <c r="CM37" s="108"/>
      <c r="CN37" s="108"/>
      <c r="CO37" s="108"/>
      <c r="CP37" s="108"/>
      <c r="CQ37" s="108"/>
      <c r="CR37" s="108"/>
      <c r="CT37" s="108"/>
      <c r="CU37" s="108"/>
      <c r="CY37" s="118"/>
      <c r="CZ37" s="118"/>
      <c r="DA37" s="118"/>
      <c r="DB37" s="118"/>
    </row>
    <row r="38" spans="1:145" ht="15" customHeight="1">
      <c r="E38" s="57"/>
      <c r="F38" s="57" t="s">
        <v>1854</v>
      </c>
      <c r="G38" s="144" t="s">
        <v>1819</v>
      </c>
      <c r="H38" s="142">
        <f>AHSP!J402</f>
        <v>1.2</v>
      </c>
      <c r="I38" s="143">
        <f>1/H38</f>
        <v>0.83333333333333337</v>
      </c>
      <c r="J38" s="161">
        <v>0</v>
      </c>
      <c r="K38" s="144">
        <f t="shared" si="0"/>
        <v>0</v>
      </c>
      <c r="L38" s="1054">
        <v>0</v>
      </c>
      <c r="M38" s="144" t="e">
        <f>K38/L38</f>
        <v>#DIV/0!</v>
      </c>
      <c r="N38" s="155" t="e">
        <f>M38</f>
        <v>#DIV/0!</v>
      </c>
      <c r="P38" s="131" t="s">
        <v>1855</v>
      </c>
      <c r="BA38" s="116"/>
      <c r="BB38" s="116"/>
      <c r="BC38" s="116"/>
      <c r="BD38" s="116"/>
      <c r="BE38" s="116"/>
      <c r="BF38" s="116"/>
      <c r="BG38" s="116"/>
      <c r="BH38" s="116"/>
      <c r="BI38" s="116"/>
      <c r="BJ38" s="116"/>
      <c r="BK38" s="116"/>
      <c r="BL38" s="116"/>
      <c r="BM38" s="116"/>
      <c r="BN38" s="116"/>
      <c r="BO38" s="116"/>
      <c r="BP38" s="116"/>
      <c r="BQ38" s="116"/>
      <c r="BR38" s="116"/>
      <c r="BS38" s="116"/>
      <c r="BT38" s="116"/>
      <c r="BU38" s="116"/>
      <c r="BV38" s="116"/>
      <c r="BW38" s="116"/>
      <c r="BX38" s="116"/>
      <c r="BY38" s="116"/>
      <c r="BZ38" s="116"/>
      <c r="CA38" s="116"/>
      <c r="CM38" s="108"/>
      <c r="CN38" s="108"/>
      <c r="CO38" s="108"/>
      <c r="CP38" s="108"/>
      <c r="CQ38" s="108"/>
      <c r="CR38" s="108"/>
      <c r="CT38" s="108"/>
      <c r="CU38" s="108"/>
      <c r="CY38" s="108"/>
      <c r="DC38" s="118"/>
    </row>
    <row r="39" spans="1:145" ht="15" customHeight="1">
      <c r="E39" s="57"/>
      <c r="F39" s="57"/>
      <c r="G39" s="144" t="s">
        <v>20</v>
      </c>
      <c r="H39" s="142">
        <f>AHSP!J403</f>
        <v>4.4999999999999998E-2</v>
      </c>
      <c r="I39" s="143">
        <f>1/H39</f>
        <v>22.222222222222221</v>
      </c>
      <c r="J39" s="161">
        <v>0</v>
      </c>
      <c r="K39" s="144">
        <f t="shared" si="0"/>
        <v>0</v>
      </c>
      <c r="L39" s="1054">
        <v>0</v>
      </c>
      <c r="M39" s="144" t="e">
        <f>K39/L39</f>
        <v>#DIV/0!</v>
      </c>
      <c r="N39" s="155" t="e">
        <f>M39</f>
        <v>#DIV/0!</v>
      </c>
      <c r="P39" s="135" t="s">
        <v>1856</v>
      </c>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L39" s="109"/>
      <c r="CM39" s="108"/>
      <c r="CN39" s="108"/>
    </row>
    <row r="40" spans="1:145" ht="15" customHeight="1">
      <c r="E40" s="57"/>
      <c r="F40" s="57"/>
      <c r="G40" s="144"/>
      <c r="H40" s="142"/>
      <c r="I40" s="143"/>
      <c r="J40" s="161"/>
      <c r="K40" s="144"/>
      <c r="L40" s="1054"/>
      <c r="M40" s="144"/>
      <c r="N40" s="155"/>
      <c r="P40" s="131" t="s">
        <v>1857</v>
      </c>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DH40" s="118"/>
      <c r="DI40" s="118"/>
      <c r="DJ40" s="118"/>
      <c r="DK40" s="118"/>
      <c r="DL40" s="118"/>
      <c r="DM40" s="118"/>
      <c r="DN40" s="118"/>
      <c r="DO40" s="118"/>
      <c r="DP40" s="118"/>
      <c r="DQ40" s="118"/>
      <c r="DR40" s="118"/>
      <c r="DS40" s="118"/>
    </row>
    <row r="41" spans="1:145" ht="15" customHeight="1">
      <c r="E41" s="57"/>
      <c r="F41" s="57" t="s">
        <v>1858</v>
      </c>
      <c r="G41" s="144" t="s">
        <v>1819</v>
      </c>
      <c r="H41" s="142">
        <f>AHSP!J445</f>
        <v>0.25</v>
      </c>
      <c r="I41" s="143">
        <f>1/H41</f>
        <v>4</v>
      </c>
      <c r="J41" s="161">
        <f>'REKAP VOLUME'!H14</f>
        <v>26.878125000000004</v>
      </c>
      <c r="K41" s="144">
        <f t="shared" si="0"/>
        <v>6.7195312500000011</v>
      </c>
      <c r="L41" s="1054">
        <v>2</v>
      </c>
      <c r="M41" s="144">
        <f>K41/L41</f>
        <v>3.3597656250000005</v>
      </c>
      <c r="N41" s="155">
        <f>M41</f>
        <v>3.3597656250000005</v>
      </c>
      <c r="P41" s="131" t="s">
        <v>1859</v>
      </c>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DT41" s="118"/>
      <c r="DU41" s="118"/>
      <c r="DV41" s="118"/>
      <c r="DW41" s="118"/>
      <c r="DX41" s="118"/>
      <c r="DY41" s="118"/>
      <c r="DZ41" s="118"/>
      <c r="EA41" s="118"/>
      <c r="EB41" s="118"/>
      <c r="EC41" s="118"/>
      <c r="ED41" s="118"/>
      <c r="EE41" s="118"/>
      <c r="EF41" s="118"/>
      <c r="EG41" s="118"/>
      <c r="EH41" s="118"/>
      <c r="EI41" s="118"/>
      <c r="EJ41" s="118"/>
      <c r="EK41" s="118"/>
      <c r="EL41" s="118"/>
    </row>
    <row r="42" spans="1:145" ht="15" customHeight="1">
      <c r="E42" s="57"/>
      <c r="F42" s="57"/>
      <c r="G42" s="144" t="s">
        <v>20</v>
      </c>
      <c r="H42" s="142">
        <f>AHSP!J446</f>
        <v>2.5000000000000001E-2</v>
      </c>
      <c r="I42" s="143">
        <f>1/H42</f>
        <v>40</v>
      </c>
      <c r="J42" s="161">
        <f>J41</f>
        <v>26.878125000000004</v>
      </c>
      <c r="K42" s="144">
        <f t="shared" si="0"/>
        <v>0.67195312500000015</v>
      </c>
      <c r="L42" s="1054">
        <v>2</v>
      </c>
      <c r="M42" s="144">
        <f>K42/L42</f>
        <v>0.33597656250000008</v>
      </c>
      <c r="N42" s="155">
        <v>1</v>
      </c>
      <c r="P42" s="131" t="s">
        <v>1860</v>
      </c>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EM42" s="118"/>
      <c r="EN42" s="118"/>
      <c r="EO42" s="118"/>
    </row>
    <row r="43" spans="1:145" ht="15" customHeight="1">
      <c r="E43" s="57"/>
      <c r="F43" s="57"/>
      <c r="G43" s="144"/>
      <c r="H43" s="142"/>
      <c r="I43" s="143"/>
      <c r="J43" s="161"/>
      <c r="K43" s="144"/>
      <c r="L43" s="1054"/>
      <c r="M43" s="144"/>
      <c r="N43" s="155"/>
      <c r="P43" s="135" t="s">
        <v>1861</v>
      </c>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M43" s="108"/>
      <c r="CN43" s="108"/>
      <c r="CO43" s="108"/>
      <c r="CP43" s="108"/>
      <c r="CQ43" s="108"/>
      <c r="CR43" s="108"/>
    </row>
    <row r="44" spans="1:145" ht="15" customHeight="1">
      <c r="E44" s="57"/>
      <c r="F44" s="57" t="s">
        <v>1862</v>
      </c>
      <c r="G44" s="144" t="s">
        <v>1819</v>
      </c>
      <c r="H44" s="142">
        <f>AHSP!J459</f>
        <v>0.5</v>
      </c>
      <c r="I44" s="143">
        <f>1/H44</f>
        <v>2</v>
      </c>
      <c r="J44" s="161">
        <v>0</v>
      </c>
      <c r="K44" s="144">
        <f t="shared" si="0"/>
        <v>0</v>
      </c>
      <c r="L44" s="1054">
        <v>0</v>
      </c>
      <c r="M44" s="144" t="e">
        <f>K44/L44</f>
        <v>#DIV/0!</v>
      </c>
      <c r="N44" s="155" t="e">
        <f>M44</f>
        <v>#DIV/0!</v>
      </c>
      <c r="P44" s="131" t="s">
        <v>1863</v>
      </c>
      <c r="BA44" s="116"/>
      <c r="BB44" s="116"/>
      <c r="BC44" s="116"/>
      <c r="BD44" s="116"/>
      <c r="BE44" s="116"/>
      <c r="BF44" s="116"/>
      <c r="BG44" s="116"/>
      <c r="BH44" s="116"/>
      <c r="BI44" s="116"/>
      <c r="BJ44" s="116"/>
      <c r="BK44" s="116"/>
      <c r="BL44" s="116"/>
      <c r="BM44" s="116"/>
      <c r="BN44" s="116"/>
      <c r="BO44" s="116"/>
      <c r="BP44" s="116"/>
      <c r="BQ44" s="116"/>
      <c r="BR44" s="116"/>
      <c r="BS44" s="116"/>
      <c r="BT44" s="116"/>
      <c r="BU44" s="116"/>
      <c r="BV44" s="116"/>
      <c r="BW44" s="117"/>
      <c r="BX44" s="117"/>
      <c r="BY44" s="117"/>
      <c r="BZ44" s="117"/>
      <c r="CA44" s="117"/>
      <c r="CM44" s="108"/>
      <c r="CN44" s="108"/>
      <c r="CO44" s="108"/>
      <c r="CP44" s="108"/>
      <c r="CQ44" s="108"/>
      <c r="CR44" s="108"/>
      <c r="CS44" s="117"/>
      <c r="CT44" s="117"/>
      <c r="CU44" s="117"/>
      <c r="CV44" s="117"/>
      <c r="CY44" s="108"/>
      <c r="CZ44" s="108"/>
      <c r="DA44" s="108"/>
    </row>
    <row r="45" spans="1:145" ht="15" customHeight="1">
      <c r="E45" s="57"/>
      <c r="F45" s="57"/>
      <c r="G45" s="144" t="s">
        <v>20</v>
      </c>
      <c r="H45" s="142">
        <f>AHSP!J460</f>
        <v>0.05</v>
      </c>
      <c r="I45" s="143">
        <f>1/H45</f>
        <v>20</v>
      </c>
      <c r="J45" s="161">
        <v>0</v>
      </c>
      <c r="K45" s="144">
        <f t="shared" si="0"/>
        <v>0</v>
      </c>
      <c r="L45" s="1054">
        <v>0</v>
      </c>
      <c r="M45" s="144" t="e">
        <f>K45/L45</f>
        <v>#DIV/0!</v>
      </c>
      <c r="N45" s="155" t="e">
        <f>M45</f>
        <v>#DIV/0!</v>
      </c>
      <c r="P45" s="131" t="s">
        <v>1864</v>
      </c>
      <c r="BA45" s="116"/>
      <c r="BB45" s="116"/>
      <c r="BC45" s="116"/>
      <c r="BD45" s="116"/>
      <c r="BE45" s="116"/>
      <c r="BF45" s="116"/>
      <c r="BG45" s="116"/>
      <c r="BH45" s="116"/>
      <c r="BI45" s="116"/>
      <c r="BJ45" s="116"/>
      <c r="BK45" s="116"/>
      <c r="BL45" s="116"/>
      <c r="BM45" s="116"/>
      <c r="BN45" s="116"/>
      <c r="BO45" s="116"/>
      <c r="BP45" s="116"/>
      <c r="BQ45" s="116"/>
      <c r="BR45" s="116"/>
      <c r="BS45" s="116"/>
      <c r="BT45" s="116"/>
      <c r="BU45" s="116"/>
      <c r="BV45" s="116"/>
      <c r="BW45" s="116"/>
      <c r="BX45" s="116"/>
      <c r="BY45" s="116"/>
      <c r="BZ45" s="116"/>
      <c r="CA45" s="116"/>
      <c r="CB45" s="117"/>
      <c r="CC45" s="117"/>
      <c r="CD45" s="117"/>
      <c r="CE45" s="117"/>
      <c r="CF45" s="117"/>
      <c r="CG45" s="117"/>
      <c r="CH45" s="117"/>
      <c r="CI45" s="117"/>
      <c r="CJ45" s="117"/>
      <c r="CK45" s="117"/>
      <c r="CL45" s="117"/>
      <c r="CM45" s="117"/>
      <c r="CN45" s="117"/>
      <c r="CO45" s="117"/>
      <c r="CP45" s="117"/>
      <c r="CQ45" s="117"/>
      <c r="CR45" s="117"/>
      <c r="CS45" s="108"/>
      <c r="CT45" s="108"/>
      <c r="CV45" s="108"/>
      <c r="CW45" s="117"/>
      <c r="CX45" s="117"/>
      <c r="CY45" s="117"/>
      <c r="CZ45" s="117"/>
      <c r="DA45" s="118"/>
      <c r="DB45" s="118"/>
      <c r="DC45" s="118"/>
      <c r="DD45" s="118"/>
      <c r="DE45" s="118"/>
      <c r="DF45" s="118"/>
      <c r="DG45" s="118"/>
      <c r="DH45" s="118"/>
    </row>
    <row r="46" spans="1:145" ht="15" customHeight="1">
      <c r="E46" s="57"/>
      <c r="F46" s="57"/>
      <c r="G46" s="144"/>
      <c r="H46" s="142"/>
      <c r="I46" s="143"/>
      <c r="J46" s="161"/>
      <c r="K46" s="144"/>
      <c r="L46" s="1054"/>
      <c r="M46" s="144"/>
      <c r="N46" s="155"/>
      <c r="P46" s="131" t="s">
        <v>1865</v>
      </c>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M46" s="108"/>
      <c r="CN46" s="108"/>
      <c r="CO46" s="108"/>
      <c r="CP46" s="108"/>
      <c r="CQ46" s="108"/>
      <c r="CR46" s="108"/>
      <c r="CS46" s="108"/>
      <c r="CT46" s="108"/>
      <c r="CU46" s="108"/>
      <c r="CV46" s="108"/>
      <c r="DI46" s="117"/>
      <c r="DJ46" s="117"/>
      <c r="DK46" s="117"/>
      <c r="DL46" s="118"/>
      <c r="DM46" s="118"/>
    </row>
    <row r="47" spans="1:145" ht="15" customHeight="1">
      <c r="E47" s="57"/>
      <c r="F47" s="146" t="s">
        <v>1866</v>
      </c>
      <c r="G47" s="148"/>
      <c r="H47" s="146"/>
      <c r="I47" s="147"/>
      <c r="J47" s="162"/>
      <c r="K47" s="148"/>
      <c r="L47" s="1056"/>
      <c r="M47" s="148"/>
      <c r="N47" s="156"/>
      <c r="O47" s="130"/>
      <c r="P47" s="131" t="s">
        <v>26</v>
      </c>
      <c r="BA47" s="116"/>
      <c r="BB47" s="116"/>
      <c r="BC47" s="116"/>
      <c r="BD47" s="116"/>
      <c r="BE47" s="116"/>
      <c r="BF47" s="116"/>
      <c r="BG47" s="116"/>
      <c r="BH47" s="116"/>
      <c r="BI47" s="116"/>
      <c r="BJ47" s="116"/>
      <c r="BK47" s="116"/>
      <c r="BL47" s="116"/>
      <c r="BM47" s="116"/>
      <c r="BN47" s="116"/>
      <c r="BO47" s="116"/>
      <c r="BP47" s="116"/>
      <c r="BQ47" s="116"/>
      <c r="BR47" s="116"/>
      <c r="BS47" s="116"/>
      <c r="BT47" s="116"/>
      <c r="BU47" s="116"/>
      <c r="BV47" s="116"/>
      <c r="BW47" s="116"/>
      <c r="BX47" s="116"/>
      <c r="BY47" s="116"/>
      <c r="BZ47" s="116"/>
      <c r="CA47" s="116"/>
      <c r="CM47" s="108"/>
      <c r="CN47" s="108"/>
      <c r="CO47" s="108"/>
      <c r="CP47" s="108"/>
      <c r="CQ47" s="108"/>
      <c r="CR47" s="108"/>
    </row>
    <row r="48" spans="1:145" ht="15" customHeight="1">
      <c r="E48" s="57"/>
      <c r="F48" s="57" t="s">
        <v>1867</v>
      </c>
      <c r="G48" s="144" t="s">
        <v>1819</v>
      </c>
      <c r="H48" s="142">
        <f>AHSP!J473</f>
        <v>0.3</v>
      </c>
      <c r="I48" s="143">
        <f>1/H48</f>
        <v>3.3333333333333335</v>
      </c>
      <c r="J48" s="161">
        <f>'REKAP VOLUME'!H15</f>
        <v>2.0249999999999999</v>
      </c>
      <c r="K48" s="144">
        <f>J48/I48</f>
        <v>0.60749999999999993</v>
      </c>
      <c r="L48" s="1054">
        <v>1</v>
      </c>
      <c r="M48" s="144">
        <f>K48/L48</f>
        <v>0.60749999999999993</v>
      </c>
      <c r="N48" s="155">
        <f>M48</f>
        <v>0.60749999999999993</v>
      </c>
      <c r="P48" s="135" t="s">
        <v>1868</v>
      </c>
      <c r="BA48" s="116"/>
      <c r="BB48" s="116"/>
      <c r="BC48" s="116"/>
      <c r="BD48" s="116"/>
      <c r="BE48" s="116"/>
      <c r="BF48" s="116"/>
      <c r="BG48" s="116"/>
      <c r="BH48" s="116"/>
      <c r="BI48" s="116"/>
      <c r="BJ48" s="116"/>
      <c r="BK48" s="116"/>
      <c r="BL48" s="116"/>
      <c r="BM48" s="116"/>
      <c r="BN48" s="116"/>
      <c r="BO48" s="116"/>
      <c r="BP48" s="116"/>
      <c r="BQ48" s="116"/>
      <c r="BR48" s="116"/>
      <c r="BS48" s="116"/>
      <c r="BT48" s="116"/>
      <c r="BU48" s="116"/>
      <c r="BV48" s="116"/>
      <c r="BW48" s="116"/>
      <c r="BX48" s="116"/>
      <c r="BY48" s="116"/>
      <c r="BZ48" s="116"/>
      <c r="CA48" s="116"/>
      <c r="CM48" s="108"/>
    </row>
    <row r="49" spans="5:210" ht="15" customHeight="1">
      <c r="E49" s="57"/>
      <c r="F49" s="57"/>
      <c r="G49" s="144" t="s">
        <v>20</v>
      </c>
      <c r="H49" s="142">
        <f>AHSP!J474</f>
        <v>0.01</v>
      </c>
      <c r="I49" s="143">
        <f>1/H49</f>
        <v>100</v>
      </c>
      <c r="J49" s="161">
        <f>J48</f>
        <v>2.0249999999999999</v>
      </c>
      <c r="K49" s="144">
        <f>J49/I49</f>
        <v>2.0250000000000001E-2</v>
      </c>
      <c r="L49" s="1054">
        <v>1</v>
      </c>
      <c r="M49" s="144">
        <f>K49/L49</f>
        <v>2.0250000000000001E-2</v>
      </c>
      <c r="N49" s="155">
        <f>M49</f>
        <v>2.0250000000000001E-2</v>
      </c>
      <c r="P49" s="131" t="s">
        <v>1869</v>
      </c>
      <c r="BA49" s="116"/>
      <c r="BB49" s="116"/>
      <c r="BC49" s="116"/>
      <c r="BD49" s="116"/>
      <c r="BE49" s="116"/>
      <c r="BF49" s="116"/>
      <c r="BG49" s="116"/>
      <c r="BH49" s="116"/>
      <c r="BI49" s="116"/>
      <c r="BJ49" s="116"/>
      <c r="BK49" s="116"/>
      <c r="BL49" s="116"/>
      <c r="BM49" s="116"/>
      <c r="BN49" s="116"/>
      <c r="BO49" s="116"/>
      <c r="BP49" s="116"/>
      <c r="BQ49" s="116"/>
      <c r="BR49" s="116"/>
      <c r="BS49" s="116"/>
      <c r="BT49" s="116"/>
      <c r="BU49" s="116"/>
      <c r="BV49" s="116"/>
      <c r="BW49" s="116"/>
      <c r="BX49" s="116"/>
      <c r="BY49" s="116"/>
      <c r="BZ49" s="116"/>
      <c r="CA49" s="116"/>
      <c r="CT49" s="118"/>
      <c r="CU49" s="108"/>
      <c r="CV49" s="108"/>
      <c r="CW49" s="108"/>
      <c r="CX49" s="108"/>
      <c r="CY49" s="108"/>
      <c r="CZ49" s="108"/>
      <c r="DA49" s="108"/>
    </row>
    <row r="50" spans="5:210" ht="15" customHeight="1">
      <c r="E50" s="57"/>
      <c r="F50" s="57"/>
      <c r="G50" s="144"/>
      <c r="H50" s="142"/>
      <c r="I50" s="143"/>
      <c r="J50" s="161"/>
      <c r="K50" s="144"/>
      <c r="L50" s="1054"/>
      <c r="M50" s="144"/>
      <c r="N50" s="155"/>
      <c r="P50" s="131" t="s">
        <v>1870</v>
      </c>
      <c r="BA50" s="116"/>
      <c r="BB50" s="116"/>
      <c r="BC50" s="116"/>
      <c r="BD50" s="116"/>
      <c r="BE50" s="116"/>
      <c r="BF50" s="116"/>
      <c r="BG50" s="116"/>
      <c r="BH50" s="116"/>
      <c r="BI50" s="116"/>
      <c r="BJ50" s="116"/>
      <c r="BK50" s="116"/>
      <c r="BL50" s="116"/>
      <c r="BM50" s="116"/>
      <c r="BN50" s="116"/>
      <c r="BO50" s="116"/>
      <c r="BP50" s="116"/>
      <c r="BQ50" s="116"/>
      <c r="BR50" s="116"/>
      <c r="BS50" s="116"/>
      <c r="BT50" s="116"/>
      <c r="BU50" s="116"/>
      <c r="BV50" s="116"/>
      <c r="BW50" s="116"/>
      <c r="BX50" s="116"/>
      <c r="BY50" s="116"/>
      <c r="BZ50" s="116"/>
      <c r="CA50" s="116"/>
      <c r="CT50" s="108"/>
      <c r="CU50" s="118"/>
      <c r="CV50" s="118"/>
      <c r="CW50" s="118"/>
      <c r="CX50" s="118"/>
      <c r="CY50" s="118"/>
      <c r="CZ50" s="118"/>
      <c r="DA50" s="118"/>
      <c r="DB50" s="118"/>
      <c r="DC50" s="118"/>
      <c r="DD50" s="118"/>
      <c r="DE50" s="118"/>
      <c r="DF50" s="118"/>
      <c r="DG50" s="118"/>
      <c r="DH50" s="118"/>
      <c r="DI50" s="118"/>
      <c r="DJ50" s="118"/>
      <c r="DK50" s="118"/>
      <c r="DL50" s="118"/>
      <c r="DM50" s="118"/>
      <c r="DN50" s="118"/>
      <c r="DO50" s="118"/>
      <c r="DP50" s="118"/>
      <c r="DQ50" s="118"/>
      <c r="DR50" s="118"/>
      <c r="DS50" s="118"/>
      <c r="DT50" s="118"/>
      <c r="DU50" s="118"/>
      <c r="DV50" s="118"/>
      <c r="DW50" s="118"/>
      <c r="DX50" s="118"/>
      <c r="DY50" s="118"/>
      <c r="DZ50" s="118"/>
      <c r="EA50" s="118"/>
    </row>
    <row r="51" spans="5:210" ht="15" customHeight="1">
      <c r="E51" s="57"/>
      <c r="F51" s="57" t="s">
        <v>1871</v>
      </c>
      <c r="G51" s="144" t="s">
        <v>1819</v>
      </c>
      <c r="H51" s="142">
        <f>AHSP!J693</f>
        <v>0.78</v>
      </c>
      <c r="I51" s="143">
        <f>1/H51</f>
        <v>1.2820512820512819</v>
      </c>
      <c r="J51" s="161">
        <f>'REKAP VOLUME'!H19</f>
        <v>6.0750000000000002</v>
      </c>
      <c r="K51" s="144">
        <f>J51/I51</f>
        <v>4.7385000000000002</v>
      </c>
      <c r="L51" s="1054">
        <v>3</v>
      </c>
      <c r="M51" s="144">
        <f>K51/L51</f>
        <v>1.5795000000000001</v>
      </c>
      <c r="N51" s="155">
        <f>M51</f>
        <v>1.5795000000000001</v>
      </c>
      <c r="P51" s="135" t="s">
        <v>1872</v>
      </c>
      <c r="BA51" s="116"/>
      <c r="BB51" s="116"/>
      <c r="BC51" s="116"/>
      <c r="BD51" s="116"/>
      <c r="BE51" s="116"/>
      <c r="BF51" s="116"/>
      <c r="BG51" s="116"/>
      <c r="BH51" s="116"/>
      <c r="BI51" s="116"/>
      <c r="BJ51" s="116"/>
      <c r="BK51" s="116"/>
      <c r="BL51" s="116"/>
      <c r="BM51" s="116"/>
      <c r="BN51" s="116"/>
      <c r="BO51" s="116"/>
      <c r="BP51" s="116"/>
      <c r="BQ51" s="116"/>
      <c r="BR51" s="116"/>
      <c r="BS51" s="116"/>
      <c r="BT51" s="116"/>
      <c r="BU51" s="116"/>
      <c r="BV51" s="116"/>
      <c r="BW51" s="116"/>
      <c r="BX51" s="116"/>
      <c r="BY51" s="116"/>
      <c r="BZ51" s="116"/>
      <c r="CA51" s="116"/>
    </row>
    <row r="52" spans="5:210" ht="15" customHeight="1">
      <c r="E52" s="57"/>
      <c r="F52" s="57"/>
      <c r="G52" s="144" t="s">
        <v>1824</v>
      </c>
      <c r="H52" s="142">
        <f>AHSP!J694</f>
        <v>0.39</v>
      </c>
      <c r="I52" s="143">
        <f>1/H52</f>
        <v>2.5641025641025639</v>
      </c>
      <c r="J52" s="161">
        <f>J51</f>
        <v>6.0750000000000002</v>
      </c>
      <c r="K52" s="144">
        <f>J52/I52</f>
        <v>2.3692500000000001</v>
      </c>
      <c r="L52" s="1054">
        <v>3</v>
      </c>
      <c r="M52" s="144">
        <f>K52/L52</f>
        <v>0.78975000000000006</v>
      </c>
      <c r="N52" s="155">
        <f>M52</f>
        <v>0.78975000000000006</v>
      </c>
      <c r="P52" s="131" t="s">
        <v>1873</v>
      </c>
      <c r="BA52" s="116"/>
      <c r="BB52" s="116"/>
      <c r="BC52" s="116"/>
      <c r="BD52" s="116"/>
      <c r="BE52" s="116"/>
      <c r="BF52" s="116"/>
      <c r="BG52" s="116"/>
      <c r="BH52" s="116"/>
      <c r="BI52" s="116"/>
      <c r="BJ52" s="116"/>
      <c r="BK52" s="116"/>
      <c r="BL52" s="116"/>
      <c r="BM52" s="116"/>
      <c r="BN52" s="116"/>
      <c r="BO52" s="116"/>
      <c r="BP52" s="116"/>
      <c r="BQ52" s="116"/>
      <c r="BR52" s="116"/>
      <c r="BS52" s="116"/>
      <c r="BT52" s="116"/>
      <c r="BU52" s="116"/>
      <c r="BV52" s="116"/>
      <c r="BW52" s="116"/>
      <c r="BX52" s="116"/>
      <c r="BY52" s="116"/>
      <c r="BZ52" s="116"/>
      <c r="CA52" s="116"/>
      <c r="DS52" s="108"/>
      <c r="DT52" s="108"/>
      <c r="DU52" s="108"/>
      <c r="DV52" s="108"/>
      <c r="DW52" s="108"/>
      <c r="DX52" s="117"/>
      <c r="DY52" s="117"/>
      <c r="DZ52" s="117"/>
      <c r="EA52" s="117"/>
      <c r="EB52" s="117"/>
      <c r="EC52" s="117"/>
      <c r="ED52" s="117"/>
      <c r="EE52" s="117"/>
      <c r="EF52" s="117"/>
      <c r="EG52" s="117"/>
      <c r="EH52" s="117"/>
      <c r="EI52" s="117"/>
      <c r="EJ52" s="117"/>
      <c r="EK52" s="118"/>
      <c r="EL52" s="118"/>
      <c r="EM52" s="118"/>
      <c r="EN52" s="118"/>
      <c r="EO52" s="118"/>
      <c r="EP52" s="118"/>
      <c r="EQ52" s="118"/>
      <c r="ER52" s="118"/>
      <c r="ES52" s="118"/>
      <c r="ET52" s="118"/>
      <c r="EU52" s="118"/>
      <c r="EV52" s="118"/>
      <c r="EW52" s="118"/>
      <c r="EX52" s="118"/>
      <c r="EY52" s="118"/>
      <c r="EZ52" s="118"/>
      <c r="FA52" s="118"/>
      <c r="FB52" s="118"/>
      <c r="FC52" s="118"/>
      <c r="FD52" s="118"/>
      <c r="GZ52" s="109"/>
      <c r="HA52" s="109"/>
      <c r="HB52" s="109"/>
    </row>
    <row r="53" spans="5:210" ht="15" customHeight="1">
      <c r="E53" s="57"/>
      <c r="F53" s="57"/>
      <c r="G53" s="144" t="s">
        <v>1826</v>
      </c>
      <c r="H53" s="142">
        <f>AHSP!J695</f>
        <v>3.9E-2</v>
      </c>
      <c r="I53" s="143">
        <f>1/H53</f>
        <v>25.641025641025642</v>
      </c>
      <c r="J53" s="161">
        <f>J52</f>
        <v>6.0750000000000002</v>
      </c>
      <c r="K53" s="144">
        <f>J53/I53</f>
        <v>0.236925</v>
      </c>
      <c r="L53" s="1054">
        <v>3</v>
      </c>
      <c r="M53" s="144">
        <f>K53/L53</f>
        <v>7.8975000000000004E-2</v>
      </c>
      <c r="N53" s="155">
        <f>M53</f>
        <v>7.8975000000000004E-2</v>
      </c>
      <c r="P53" s="131" t="s">
        <v>1874</v>
      </c>
      <c r="BA53" s="116"/>
      <c r="BB53" s="116"/>
      <c r="BC53" s="116"/>
      <c r="BD53" s="116"/>
      <c r="BE53" s="116"/>
      <c r="BF53" s="116"/>
      <c r="BG53" s="116"/>
      <c r="BH53" s="116"/>
      <c r="BI53" s="116"/>
      <c r="BJ53" s="116"/>
      <c r="BK53" s="116"/>
      <c r="BL53" s="116"/>
      <c r="BM53" s="116"/>
      <c r="BN53" s="116"/>
      <c r="BO53" s="116"/>
      <c r="BP53" s="116"/>
      <c r="BQ53" s="116"/>
      <c r="BR53" s="116"/>
      <c r="BS53" s="116"/>
      <c r="BT53" s="116"/>
      <c r="BU53" s="116"/>
      <c r="BV53" s="116"/>
      <c r="BW53" s="116"/>
      <c r="BX53" s="116"/>
      <c r="BY53" s="116"/>
      <c r="BZ53" s="116"/>
      <c r="CA53" s="116"/>
      <c r="DS53" s="108"/>
      <c r="DT53" s="108"/>
      <c r="DU53" s="108"/>
      <c r="DV53" s="108"/>
      <c r="DW53" s="108"/>
      <c r="DX53" s="108"/>
      <c r="DY53" s="108"/>
      <c r="DZ53" s="108"/>
      <c r="EA53" s="108"/>
      <c r="EB53" s="108"/>
      <c r="EC53" s="108"/>
      <c r="ED53" s="108"/>
      <c r="EE53" s="108"/>
      <c r="EF53" s="108"/>
      <c r="EG53" s="108"/>
      <c r="FE53" s="118"/>
      <c r="FF53" s="118"/>
      <c r="FG53" s="118"/>
      <c r="FH53" s="118"/>
    </row>
    <row r="54" spans="5:210" ht="15" customHeight="1">
      <c r="E54" s="57"/>
      <c r="F54" s="57"/>
      <c r="G54" s="144" t="s">
        <v>20</v>
      </c>
      <c r="H54" s="142">
        <f>AHSP!J696</f>
        <v>3.9E-2</v>
      </c>
      <c r="I54" s="143">
        <f>1/H54</f>
        <v>25.641025641025642</v>
      </c>
      <c r="J54" s="161">
        <f>J53</f>
        <v>6.0750000000000002</v>
      </c>
      <c r="K54" s="144">
        <f>J54/I54</f>
        <v>0.236925</v>
      </c>
      <c r="L54" s="1054">
        <v>3</v>
      </c>
      <c r="M54" s="144">
        <f>K54/L54</f>
        <v>7.8975000000000004E-2</v>
      </c>
      <c r="N54" s="155">
        <f>M54</f>
        <v>7.8975000000000004E-2</v>
      </c>
      <c r="P54" s="131" t="s">
        <v>1875</v>
      </c>
      <c r="BA54" s="116"/>
      <c r="BB54" s="116"/>
      <c r="BC54" s="116"/>
      <c r="BD54" s="116"/>
      <c r="BE54" s="116"/>
      <c r="BF54" s="116"/>
      <c r="BG54" s="116"/>
      <c r="BH54" s="116"/>
      <c r="BI54" s="116"/>
      <c r="BJ54" s="116"/>
      <c r="BK54" s="116"/>
      <c r="BL54" s="116"/>
      <c r="BM54" s="116"/>
      <c r="BN54" s="116"/>
      <c r="BO54" s="116"/>
      <c r="BP54" s="116"/>
      <c r="BQ54" s="116"/>
      <c r="BR54" s="116"/>
      <c r="BS54" s="116"/>
      <c r="BT54" s="116"/>
      <c r="BU54" s="116"/>
      <c r="BV54" s="116"/>
      <c r="BW54" s="116"/>
      <c r="BX54" s="116"/>
      <c r="BY54" s="116"/>
      <c r="BZ54" s="116"/>
      <c r="CA54" s="116"/>
      <c r="DS54" s="118"/>
      <c r="DT54" s="118"/>
      <c r="DU54" s="118"/>
      <c r="DV54" s="118"/>
      <c r="DW54" s="118"/>
      <c r="DX54" s="108"/>
      <c r="DY54" s="108"/>
      <c r="DZ54" s="108"/>
      <c r="EA54" s="108"/>
      <c r="EB54" s="108"/>
      <c r="EC54" s="108"/>
      <c r="ED54" s="108"/>
      <c r="EE54" s="108"/>
      <c r="EF54" s="108"/>
      <c r="EG54" s="108"/>
    </row>
    <row r="55" spans="5:210" ht="15" customHeight="1">
      <c r="E55" s="57"/>
      <c r="F55" s="57"/>
      <c r="G55" s="144"/>
      <c r="H55" s="142"/>
      <c r="I55" s="143"/>
      <c r="J55" s="161"/>
      <c r="K55" s="144"/>
      <c r="L55" s="1054"/>
      <c r="M55" s="144"/>
      <c r="N55" s="155"/>
      <c r="P55" s="131" t="s">
        <v>1876</v>
      </c>
      <c r="BA55" s="116"/>
      <c r="BB55" s="116"/>
      <c r="BC55" s="116"/>
      <c r="BD55" s="116"/>
      <c r="BE55" s="116"/>
      <c r="BF55" s="116"/>
      <c r="BG55" s="116"/>
      <c r="BH55" s="116"/>
      <c r="BI55" s="116"/>
      <c r="BJ55" s="116"/>
      <c r="BK55" s="116"/>
      <c r="BL55" s="116"/>
      <c r="BM55" s="116"/>
      <c r="BN55" s="116"/>
      <c r="BO55" s="116"/>
      <c r="BP55" s="116"/>
      <c r="BQ55" s="116"/>
      <c r="BR55" s="116"/>
      <c r="BS55" s="116"/>
      <c r="BT55" s="116"/>
      <c r="BU55" s="116"/>
      <c r="BV55" s="116"/>
      <c r="BW55" s="116"/>
      <c r="BX55" s="116"/>
      <c r="BY55" s="116"/>
      <c r="BZ55" s="116"/>
      <c r="CA55" s="116"/>
      <c r="DS55" s="108"/>
      <c r="DT55" s="108"/>
      <c r="DU55" s="108"/>
      <c r="DV55" s="108"/>
      <c r="DW55" s="108"/>
      <c r="DX55" s="108"/>
      <c r="DY55" s="108"/>
      <c r="DZ55" s="108"/>
      <c r="EA55" s="108"/>
      <c r="EB55" s="108"/>
      <c r="EC55" s="108"/>
      <c r="ED55" s="108"/>
      <c r="EE55" s="108"/>
      <c r="EF55" s="108"/>
      <c r="EG55" s="108"/>
      <c r="FC55" s="118"/>
      <c r="FD55" s="118"/>
    </row>
    <row r="56" spans="5:210" ht="15" customHeight="1">
      <c r="E56" s="57"/>
      <c r="F56" s="57" t="s">
        <v>1877</v>
      </c>
      <c r="G56" s="144" t="s">
        <v>1819</v>
      </c>
      <c r="H56" s="142">
        <f>AHSP!J538</f>
        <v>1.5</v>
      </c>
      <c r="I56" s="143">
        <f>1/H56</f>
        <v>0.66666666666666663</v>
      </c>
      <c r="J56" s="161">
        <f>'REKAP VOLUME'!H20</f>
        <v>18</v>
      </c>
      <c r="K56" s="144">
        <f>J56/I56</f>
        <v>27</v>
      </c>
      <c r="L56" s="1054">
        <v>10</v>
      </c>
      <c r="M56" s="144">
        <f>K56/L56</f>
        <v>2.7</v>
      </c>
      <c r="N56" s="155">
        <f>M56</f>
        <v>2.7</v>
      </c>
      <c r="P56" s="135" t="s">
        <v>1878</v>
      </c>
      <c r="BA56" s="116"/>
      <c r="BB56" s="116"/>
      <c r="BC56" s="116"/>
      <c r="BD56" s="116"/>
      <c r="BE56" s="116"/>
      <c r="BF56" s="116"/>
      <c r="BG56" s="116"/>
      <c r="BH56" s="116"/>
      <c r="BI56" s="116"/>
      <c r="BJ56" s="116"/>
      <c r="BK56" s="116"/>
      <c r="BL56" s="116"/>
      <c r="BM56" s="116"/>
      <c r="BN56" s="116"/>
      <c r="BO56" s="116"/>
      <c r="BP56" s="116"/>
      <c r="BQ56" s="116"/>
      <c r="BR56" s="116"/>
      <c r="BS56" s="116"/>
      <c r="BT56" s="116"/>
      <c r="BU56" s="116"/>
      <c r="BV56" s="116"/>
      <c r="BW56" s="116"/>
      <c r="BX56" s="116"/>
      <c r="BY56" s="116"/>
      <c r="BZ56" s="116"/>
      <c r="CA56" s="116"/>
      <c r="CP56" s="108"/>
      <c r="CQ56" s="108"/>
      <c r="CR56" s="108"/>
      <c r="CS56" s="108"/>
      <c r="CT56" s="108"/>
      <c r="CU56" s="108"/>
      <c r="CV56" s="108"/>
    </row>
    <row r="57" spans="5:210" ht="15" customHeight="1">
      <c r="E57" s="57"/>
      <c r="F57" s="57"/>
      <c r="G57" s="144" t="s">
        <v>1824</v>
      </c>
      <c r="H57" s="142">
        <f>AHSP!J539</f>
        <v>0.75</v>
      </c>
      <c r="I57" s="143">
        <f>1/H57</f>
        <v>1.3333333333333333</v>
      </c>
      <c r="J57" s="161">
        <f>J56</f>
        <v>18</v>
      </c>
      <c r="K57" s="144">
        <f>J57/I57</f>
        <v>13.5</v>
      </c>
      <c r="L57" s="1054">
        <v>10</v>
      </c>
      <c r="M57" s="144">
        <f>K57/L57</f>
        <v>1.35</v>
      </c>
      <c r="N57" s="155">
        <f>M57</f>
        <v>1.35</v>
      </c>
      <c r="P57" s="131" t="s">
        <v>1879</v>
      </c>
      <c r="BA57" s="116"/>
      <c r="BB57" s="116"/>
      <c r="BC57" s="116"/>
      <c r="BD57" s="116"/>
      <c r="BE57" s="116"/>
      <c r="BF57" s="116"/>
      <c r="BG57" s="116"/>
      <c r="BH57" s="116"/>
      <c r="BI57" s="116"/>
      <c r="BJ57" s="116"/>
      <c r="BK57" s="116"/>
      <c r="BL57" s="116"/>
      <c r="BM57" s="116"/>
      <c r="BN57" s="116"/>
      <c r="BO57" s="117"/>
      <c r="BP57" s="116"/>
      <c r="BQ57" s="116"/>
      <c r="BR57" s="116"/>
      <c r="BS57" s="116"/>
      <c r="BT57" s="116"/>
      <c r="BU57" s="116"/>
      <c r="BV57" s="116"/>
      <c r="BW57" s="116"/>
      <c r="BX57" s="116"/>
      <c r="BY57" s="116"/>
      <c r="BZ57" s="116"/>
      <c r="CA57" s="116"/>
    </row>
    <row r="58" spans="5:210" ht="15" customHeight="1">
      <c r="E58" s="57"/>
      <c r="F58" s="57"/>
      <c r="G58" s="144" t="s">
        <v>1826</v>
      </c>
      <c r="H58" s="142">
        <f>AHSP!J540</f>
        <v>7.4999999999999997E-2</v>
      </c>
      <c r="I58" s="143">
        <f>1/H58</f>
        <v>13.333333333333334</v>
      </c>
      <c r="J58" s="161">
        <f>J57</f>
        <v>18</v>
      </c>
      <c r="K58" s="144">
        <f>J58/I58</f>
        <v>1.3499999999999999</v>
      </c>
      <c r="L58" s="1054">
        <v>10</v>
      </c>
      <c r="M58" s="144">
        <f>K58/L58</f>
        <v>0.13499999999999998</v>
      </c>
      <c r="N58" s="155">
        <f>M58</f>
        <v>0.13499999999999998</v>
      </c>
      <c r="P58" s="131" t="s">
        <v>1880</v>
      </c>
      <c r="BA58" s="116"/>
      <c r="BB58" s="116"/>
      <c r="BC58" s="116"/>
      <c r="BD58" s="116"/>
      <c r="BE58" s="116"/>
      <c r="BF58" s="116"/>
      <c r="BG58" s="116"/>
      <c r="BH58" s="116"/>
      <c r="BI58" s="116"/>
      <c r="BJ58" s="116"/>
      <c r="BK58" s="116"/>
      <c r="BL58" s="116"/>
      <c r="BM58" s="116"/>
      <c r="BN58" s="116"/>
      <c r="BO58" s="116"/>
      <c r="BP58" s="117"/>
      <c r="BQ58" s="117"/>
      <c r="BR58" s="116"/>
      <c r="BS58" s="116"/>
      <c r="BT58" s="116"/>
      <c r="BU58" s="116"/>
      <c r="BV58" s="116"/>
      <c r="BW58" s="116"/>
      <c r="BX58" s="116"/>
      <c r="BY58" s="116"/>
      <c r="BZ58" s="116"/>
      <c r="CA58" s="116"/>
      <c r="EB58" s="117"/>
      <c r="EC58" s="117"/>
      <c r="ED58" s="117"/>
      <c r="EE58" s="118"/>
      <c r="EF58" s="118"/>
      <c r="EG58" s="118"/>
    </row>
    <row r="59" spans="5:210" ht="15" customHeight="1">
      <c r="E59" s="57"/>
      <c r="F59" s="57"/>
      <c r="G59" s="144" t="s">
        <v>20</v>
      </c>
      <c r="H59" s="142">
        <f>AHSP!J541</f>
        <v>7.4999999999999997E-2</v>
      </c>
      <c r="I59" s="143">
        <f>1/H59</f>
        <v>13.333333333333334</v>
      </c>
      <c r="J59" s="161">
        <f>J58</f>
        <v>18</v>
      </c>
      <c r="K59" s="144">
        <f>J59/I59</f>
        <v>1.3499999999999999</v>
      </c>
      <c r="L59" s="1054">
        <v>10</v>
      </c>
      <c r="M59" s="144">
        <f>K59/L59</f>
        <v>0.13499999999999998</v>
      </c>
      <c r="N59" s="155">
        <f>M59</f>
        <v>0.13499999999999998</v>
      </c>
      <c r="P59" s="131" t="s">
        <v>1881</v>
      </c>
      <c r="BA59" s="116"/>
      <c r="BB59" s="116"/>
      <c r="BC59" s="116"/>
      <c r="BD59" s="116"/>
      <c r="BE59" s="116"/>
      <c r="BF59" s="116"/>
      <c r="BG59" s="116"/>
      <c r="BH59" s="116"/>
      <c r="BI59" s="116"/>
      <c r="BJ59" s="116"/>
      <c r="BK59" s="116"/>
      <c r="BL59" s="116"/>
      <c r="BM59" s="116"/>
      <c r="BN59" s="116"/>
      <c r="BO59" s="116"/>
      <c r="BP59" s="116"/>
      <c r="BQ59" s="116"/>
      <c r="BR59" s="116"/>
      <c r="BS59" s="116"/>
      <c r="BT59" s="116"/>
      <c r="BU59" s="116"/>
      <c r="BV59" s="116"/>
      <c r="BW59" s="116"/>
      <c r="BX59" s="116"/>
      <c r="BY59" s="116"/>
      <c r="BZ59" s="116"/>
      <c r="CA59" s="116"/>
      <c r="EH59" s="118"/>
      <c r="EI59" s="118"/>
      <c r="EJ59" s="118"/>
      <c r="EK59" s="118"/>
      <c r="EL59" s="118"/>
      <c r="EM59" s="118"/>
    </row>
    <row r="60" spans="5:210" ht="15" customHeight="1">
      <c r="E60" s="57"/>
      <c r="F60" s="57"/>
      <c r="G60" s="144"/>
      <c r="H60" s="142"/>
      <c r="I60" s="143"/>
      <c r="J60" s="161"/>
      <c r="K60" s="144"/>
      <c r="L60" s="1054"/>
      <c r="M60" s="144"/>
      <c r="N60" s="155"/>
      <c r="P60" s="133" t="s">
        <v>1882</v>
      </c>
      <c r="BA60" s="116"/>
      <c r="BB60" s="116"/>
      <c r="BC60" s="116"/>
      <c r="BD60" s="116"/>
      <c r="BE60" s="116"/>
      <c r="BF60" s="116"/>
      <c r="BG60" s="116"/>
      <c r="BH60" s="116"/>
      <c r="BI60" s="116"/>
      <c r="BJ60" s="116"/>
      <c r="BK60" s="116"/>
      <c r="BL60" s="116"/>
      <c r="BM60" s="116"/>
      <c r="BN60" s="116"/>
      <c r="BO60" s="116"/>
      <c r="BP60" s="116"/>
      <c r="BQ60" s="116"/>
      <c r="BR60" s="116"/>
      <c r="BS60" s="116"/>
      <c r="BT60" s="116"/>
      <c r="BU60" s="116"/>
      <c r="BV60" s="116"/>
      <c r="BW60" s="116"/>
      <c r="BX60" s="116"/>
      <c r="BY60" s="116"/>
      <c r="BZ60" s="116"/>
      <c r="CA60" s="116"/>
    </row>
    <row r="61" spans="5:210" ht="15" customHeight="1">
      <c r="E61" s="57"/>
      <c r="F61" s="57"/>
      <c r="G61" s="144"/>
      <c r="H61" s="142"/>
      <c r="I61" s="143"/>
      <c r="J61" s="161"/>
      <c r="K61" s="144"/>
      <c r="L61" s="1054"/>
      <c r="M61" s="144"/>
      <c r="N61" s="155"/>
      <c r="P61" s="132" t="s">
        <v>1883</v>
      </c>
      <c r="BA61" s="116"/>
      <c r="BB61" s="116"/>
      <c r="BC61" s="116"/>
      <c r="BD61" s="116"/>
      <c r="BE61" s="116"/>
      <c r="BF61" s="116"/>
      <c r="BG61" s="116"/>
      <c r="BH61" s="116"/>
      <c r="BI61" s="116"/>
      <c r="BJ61" s="116"/>
      <c r="BK61" s="116"/>
      <c r="BL61" s="116"/>
      <c r="BM61" s="116"/>
      <c r="BN61" s="116"/>
      <c r="BO61" s="116"/>
      <c r="BP61" s="116"/>
      <c r="BQ61" s="116"/>
      <c r="BR61" s="117"/>
      <c r="BS61" s="117"/>
      <c r="BT61" s="117"/>
      <c r="BU61" s="117"/>
      <c r="BV61" s="117"/>
      <c r="BW61" s="117"/>
      <c r="BX61" s="116"/>
      <c r="BY61" s="116"/>
      <c r="BZ61" s="116"/>
      <c r="CA61" s="116"/>
    </row>
    <row r="62" spans="5:210" ht="15" customHeight="1">
      <c r="E62" s="57"/>
      <c r="F62" s="57"/>
      <c r="G62" s="144"/>
      <c r="H62" s="142"/>
      <c r="I62" s="143"/>
      <c r="J62" s="161"/>
      <c r="K62" s="144"/>
      <c r="L62" s="1054"/>
      <c r="M62" s="144"/>
      <c r="N62" s="155"/>
      <c r="P62" s="132" t="s">
        <v>1885</v>
      </c>
      <c r="BA62" s="116"/>
      <c r="BB62" s="116"/>
      <c r="BC62" s="116"/>
      <c r="BD62" s="116"/>
      <c r="BE62" s="116"/>
      <c r="BF62" s="116"/>
      <c r="BG62" s="116"/>
      <c r="BH62" s="116"/>
      <c r="BI62" s="116"/>
      <c r="BJ62" s="116"/>
      <c r="BK62" s="116"/>
      <c r="BL62" s="116"/>
      <c r="BM62" s="116"/>
      <c r="BN62" s="116"/>
      <c r="BO62" s="116"/>
      <c r="BP62" s="116"/>
      <c r="BQ62" s="116"/>
      <c r="BR62" s="116"/>
      <c r="BS62" s="116"/>
      <c r="BT62" s="116"/>
      <c r="BU62" s="116"/>
      <c r="BV62" s="116"/>
      <c r="BW62" s="116"/>
      <c r="BX62" s="116"/>
      <c r="BY62" s="116"/>
      <c r="BZ62" s="116"/>
      <c r="CA62" s="116"/>
      <c r="EN62" s="118"/>
      <c r="EO62" s="118"/>
      <c r="EP62" s="118"/>
      <c r="EQ62" s="118"/>
      <c r="ER62" s="118"/>
      <c r="ES62" s="118"/>
      <c r="ET62" s="118"/>
    </row>
    <row r="63" spans="5:210" ht="15" customHeight="1">
      <c r="E63" s="57"/>
      <c r="F63" s="57"/>
      <c r="G63" s="144"/>
      <c r="H63" s="142"/>
      <c r="I63" s="143"/>
      <c r="J63" s="161"/>
      <c r="K63" s="144"/>
      <c r="L63" s="1054"/>
      <c r="M63" s="144"/>
      <c r="N63" s="155"/>
      <c r="P63" s="135" t="s">
        <v>1886</v>
      </c>
      <c r="BA63" s="116"/>
      <c r="BB63" s="116"/>
      <c r="BC63" s="116"/>
      <c r="BD63" s="116"/>
      <c r="BE63" s="116"/>
      <c r="BF63" s="116"/>
      <c r="BG63" s="116"/>
      <c r="BH63" s="116"/>
      <c r="BI63" s="116"/>
      <c r="BJ63" s="116"/>
      <c r="BK63" s="116"/>
      <c r="BL63" s="116"/>
      <c r="BM63" s="116"/>
      <c r="BN63" s="116"/>
      <c r="BO63" s="116"/>
      <c r="BP63" s="116"/>
      <c r="BQ63" s="116"/>
      <c r="BR63" s="116"/>
      <c r="BS63" s="116"/>
      <c r="BT63" s="116"/>
      <c r="BU63" s="116"/>
      <c r="BV63" s="116"/>
      <c r="BW63" s="116"/>
      <c r="BX63" s="116"/>
      <c r="BY63" s="116"/>
      <c r="BZ63" s="116"/>
      <c r="CA63" s="116"/>
      <c r="CQ63" s="108"/>
      <c r="CR63" s="108"/>
      <c r="CS63" s="108"/>
    </row>
    <row r="64" spans="5:210" ht="15" customHeight="1">
      <c r="E64" s="57"/>
      <c r="F64" s="57"/>
      <c r="G64" s="144"/>
      <c r="H64" s="142"/>
      <c r="I64" s="143"/>
      <c r="J64" s="161"/>
      <c r="K64" s="144"/>
      <c r="L64" s="1054"/>
      <c r="M64" s="144"/>
      <c r="N64" s="155"/>
      <c r="P64" s="132" t="s">
        <v>1887</v>
      </c>
      <c r="BA64" s="116"/>
      <c r="BB64" s="116"/>
      <c r="BC64" s="116"/>
      <c r="BD64" s="116"/>
      <c r="BE64" s="116"/>
      <c r="BF64" s="116"/>
      <c r="BG64" s="116"/>
      <c r="BH64" s="116"/>
      <c r="BI64" s="116"/>
      <c r="BJ64" s="116"/>
      <c r="BK64" s="116"/>
      <c r="BL64" s="116"/>
      <c r="BM64" s="116"/>
      <c r="BN64" s="116"/>
      <c r="BO64" s="116"/>
      <c r="BP64" s="116"/>
      <c r="BQ64" s="116"/>
      <c r="BR64" s="116"/>
      <c r="BS64" s="116"/>
      <c r="BT64" s="116"/>
      <c r="BU64" s="116"/>
      <c r="BV64" s="116"/>
      <c r="BW64" s="116"/>
      <c r="BX64" s="116"/>
      <c r="BY64" s="116"/>
      <c r="BZ64" s="116"/>
      <c r="CA64" s="116"/>
      <c r="EU64" s="118"/>
      <c r="EV64" s="118"/>
      <c r="EW64" s="118"/>
      <c r="EX64" s="118"/>
      <c r="EY64" s="118"/>
      <c r="EZ64" s="118"/>
      <c r="FA64" s="118"/>
      <c r="FB64" s="118"/>
      <c r="FC64" s="118"/>
      <c r="FD64" s="118"/>
      <c r="FE64" s="118"/>
      <c r="FF64" s="118"/>
      <c r="FG64" s="118"/>
    </row>
    <row r="65" spans="5:169" ht="15" customHeight="1">
      <c r="E65" s="57"/>
      <c r="F65" s="57"/>
      <c r="G65" s="144"/>
      <c r="H65" s="142"/>
      <c r="I65" s="143"/>
      <c r="J65" s="161"/>
      <c r="K65" s="144"/>
      <c r="L65" s="1054"/>
      <c r="M65" s="144"/>
      <c r="N65" s="155"/>
      <c r="P65" s="132" t="s">
        <v>1888</v>
      </c>
      <c r="BA65" s="116"/>
      <c r="BB65" s="116"/>
      <c r="BC65" s="116"/>
      <c r="BD65" s="116"/>
      <c r="BE65" s="116"/>
      <c r="BF65" s="116"/>
      <c r="BG65" s="116"/>
      <c r="BH65" s="116"/>
      <c r="BI65" s="116"/>
      <c r="BJ65" s="116"/>
      <c r="BK65" s="116"/>
      <c r="BL65" s="116"/>
      <c r="BM65" s="116"/>
      <c r="BN65" s="116"/>
      <c r="BO65" s="116"/>
      <c r="BP65" s="116"/>
      <c r="BQ65" s="116"/>
      <c r="BR65" s="116"/>
      <c r="BS65" s="116"/>
      <c r="BT65" s="116"/>
      <c r="BU65" s="116"/>
      <c r="BV65" s="116"/>
      <c r="BW65" s="116"/>
      <c r="BX65" s="116"/>
      <c r="BY65" s="116"/>
      <c r="BZ65" s="116"/>
      <c r="CA65" s="116"/>
      <c r="FH65" s="118"/>
    </row>
    <row r="66" spans="5:169" ht="15" customHeight="1">
      <c r="E66" s="57"/>
      <c r="F66" s="57"/>
      <c r="G66" s="144"/>
      <c r="H66" s="142"/>
      <c r="I66" s="143"/>
      <c r="J66" s="161"/>
      <c r="K66" s="144"/>
      <c r="L66" s="1054"/>
      <c r="M66" s="144"/>
      <c r="N66" s="155"/>
      <c r="P66" s="132" t="s">
        <v>87</v>
      </c>
      <c r="BA66" s="116"/>
      <c r="BB66" s="116"/>
      <c r="BC66" s="116"/>
      <c r="BD66" s="116"/>
      <c r="BE66" s="116"/>
      <c r="BF66" s="116"/>
      <c r="BG66" s="116"/>
      <c r="BH66" s="116"/>
      <c r="BI66" s="116"/>
      <c r="BJ66" s="116"/>
      <c r="BK66" s="116"/>
      <c r="BL66" s="116"/>
      <c r="BM66" s="116"/>
      <c r="BN66" s="116"/>
      <c r="BO66" s="116"/>
      <c r="BP66" s="116"/>
      <c r="BQ66" s="116"/>
      <c r="BR66" s="116"/>
      <c r="BS66" s="116"/>
      <c r="BT66" s="116"/>
      <c r="BU66" s="116"/>
      <c r="BV66" s="116"/>
      <c r="BW66" s="116"/>
      <c r="BX66" s="116"/>
      <c r="BY66" s="116"/>
      <c r="BZ66" s="116"/>
      <c r="CA66" s="116"/>
      <c r="FI66" s="118"/>
      <c r="FJ66" s="118"/>
      <c r="FK66" s="118"/>
      <c r="FL66" s="118"/>
    </row>
    <row r="67" spans="5:169" ht="15" customHeight="1">
      <c r="E67" s="57"/>
      <c r="F67" s="57"/>
      <c r="G67" s="144"/>
      <c r="H67" s="142"/>
      <c r="I67" s="143"/>
      <c r="J67" s="161"/>
      <c r="K67" s="144"/>
      <c r="L67" s="1054"/>
      <c r="M67" s="144"/>
      <c r="N67" s="155"/>
      <c r="P67" s="132" t="s">
        <v>1890</v>
      </c>
      <c r="BA67" s="116"/>
      <c r="BB67" s="116"/>
      <c r="BC67" s="116"/>
      <c r="BD67" s="116"/>
      <c r="BE67" s="116"/>
      <c r="BF67" s="116"/>
      <c r="BG67" s="116"/>
      <c r="BH67" s="116"/>
      <c r="BI67" s="116"/>
      <c r="BJ67" s="116"/>
      <c r="BK67" s="116"/>
      <c r="BL67" s="116"/>
      <c r="BM67" s="116"/>
      <c r="BN67" s="116"/>
      <c r="BO67" s="116"/>
      <c r="BP67" s="116"/>
      <c r="BQ67" s="116"/>
      <c r="BR67" s="116"/>
      <c r="BS67" s="116"/>
      <c r="BT67" s="116"/>
      <c r="BU67" s="116"/>
      <c r="BV67" s="116"/>
      <c r="BW67" s="116"/>
      <c r="BX67" s="116"/>
      <c r="BY67" s="116"/>
      <c r="BZ67" s="116"/>
      <c r="CA67" s="116"/>
      <c r="FL67" s="118"/>
      <c r="FM67" s="118"/>
    </row>
    <row r="68" spans="5:169" ht="15" customHeight="1">
      <c r="E68" s="57"/>
      <c r="F68" s="57"/>
      <c r="G68" s="144"/>
      <c r="H68" s="142"/>
      <c r="I68" s="143"/>
      <c r="J68" s="161"/>
      <c r="K68" s="144"/>
      <c r="L68" s="1054"/>
      <c r="M68" s="144"/>
      <c r="N68" s="155"/>
      <c r="P68" s="132"/>
      <c r="BA68" s="116"/>
      <c r="BB68" s="116"/>
      <c r="BC68" s="116"/>
      <c r="BD68" s="116"/>
      <c r="BE68" s="116"/>
      <c r="BF68" s="116"/>
      <c r="BG68" s="116"/>
      <c r="BH68" s="116"/>
      <c r="BI68" s="116"/>
      <c r="BJ68" s="116"/>
      <c r="BK68" s="116"/>
      <c r="BL68" s="116"/>
      <c r="BM68" s="116"/>
      <c r="BN68" s="116"/>
      <c r="BO68" s="116"/>
      <c r="BP68" s="116"/>
      <c r="BQ68" s="116"/>
      <c r="BR68" s="116"/>
      <c r="BS68" s="116"/>
      <c r="BT68" s="116"/>
      <c r="BU68" s="116"/>
      <c r="BV68" s="116"/>
      <c r="BW68" s="116"/>
      <c r="BX68" s="116"/>
      <c r="BY68" s="116"/>
      <c r="BZ68" s="116"/>
      <c r="CA68" s="116"/>
      <c r="FL68" s="118"/>
      <c r="FM68" s="118"/>
    </row>
    <row r="69" spans="5:169" ht="15" customHeight="1">
      <c r="E69" s="57"/>
      <c r="F69" s="57"/>
      <c r="G69" s="144"/>
      <c r="H69" s="142"/>
      <c r="I69" s="143"/>
      <c r="J69" s="161"/>
      <c r="K69" s="144"/>
      <c r="L69" s="1054"/>
      <c r="M69" s="144"/>
      <c r="N69" s="155"/>
      <c r="P69" s="132"/>
      <c r="BA69" s="116"/>
      <c r="BB69" s="116"/>
      <c r="BC69" s="116"/>
      <c r="BD69" s="116"/>
      <c r="BE69" s="116"/>
      <c r="BF69" s="116"/>
      <c r="BG69" s="116"/>
      <c r="BH69" s="116"/>
      <c r="BI69" s="116"/>
      <c r="BJ69" s="116"/>
      <c r="BK69" s="116"/>
      <c r="BL69" s="116"/>
      <c r="BM69" s="116"/>
      <c r="BN69" s="116"/>
      <c r="BO69" s="116"/>
      <c r="BP69" s="116"/>
      <c r="BQ69" s="116"/>
      <c r="BR69" s="116"/>
      <c r="BS69" s="116"/>
      <c r="BT69" s="116"/>
      <c r="BU69" s="116"/>
      <c r="BV69" s="116"/>
      <c r="BW69" s="116"/>
      <c r="BX69" s="116"/>
      <c r="BY69" s="116"/>
      <c r="BZ69" s="116"/>
      <c r="CA69" s="116"/>
      <c r="FL69" s="118"/>
      <c r="FM69" s="118"/>
    </row>
    <row r="70" spans="5:169" ht="15" customHeight="1">
      <c r="E70" s="57"/>
      <c r="F70" s="57"/>
      <c r="G70" s="144"/>
      <c r="H70" s="142"/>
      <c r="I70" s="143"/>
      <c r="J70" s="161"/>
      <c r="K70" s="144"/>
      <c r="L70" s="1054"/>
      <c r="M70" s="144"/>
      <c r="N70" s="155"/>
      <c r="P70" s="132"/>
      <c r="BA70" s="116"/>
      <c r="BB70" s="116"/>
      <c r="BC70" s="116"/>
      <c r="BD70" s="116"/>
      <c r="BE70" s="116"/>
      <c r="BF70" s="116"/>
      <c r="BG70" s="116"/>
      <c r="BH70" s="116"/>
      <c r="BI70" s="116"/>
      <c r="BJ70" s="116"/>
      <c r="BK70" s="116"/>
      <c r="BL70" s="116"/>
      <c r="BM70" s="116"/>
      <c r="BN70" s="116"/>
      <c r="BO70" s="116"/>
      <c r="BP70" s="116"/>
      <c r="BQ70" s="116"/>
      <c r="BR70" s="116"/>
      <c r="BS70" s="116"/>
      <c r="BT70" s="116"/>
      <c r="BU70" s="116"/>
      <c r="BV70" s="116"/>
      <c r="BW70" s="116"/>
      <c r="BX70" s="116"/>
      <c r="BY70" s="116"/>
      <c r="BZ70" s="116"/>
      <c r="CA70" s="116"/>
      <c r="FL70" s="118"/>
      <c r="FM70" s="118"/>
    </row>
    <row r="71" spans="5:169" ht="15" customHeight="1">
      <c r="E71" s="57"/>
      <c r="F71" s="57"/>
      <c r="G71" s="144"/>
      <c r="H71" s="142"/>
      <c r="I71" s="143"/>
      <c r="J71" s="161"/>
      <c r="K71" s="144"/>
      <c r="L71" s="1054"/>
      <c r="M71" s="144"/>
      <c r="N71" s="155"/>
      <c r="P71" s="132"/>
      <c r="BA71" s="116"/>
      <c r="BB71" s="116"/>
      <c r="BC71" s="116"/>
      <c r="BD71" s="116"/>
      <c r="BE71" s="116"/>
      <c r="BF71" s="116"/>
      <c r="BG71" s="116"/>
      <c r="BH71" s="116"/>
      <c r="BI71" s="116"/>
      <c r="BJ71" s="116"/>
      <c r="BK71" s="116"/>
      <c r="BL71" s="116"/>
      <c r="BM71" s="116"/>
      <c r="BN71" s="116"/>
      <c r="BO71" s="116"/>
      <c r="BP71" s="116"/>
      <c r="BQ71" s="116"/>
      <c r="BR71" s="116"/>
      <c r="BS71" s="116"/>
      <c r="BT71" s="116"/>
      <c r="BU71" s="116"/>
      <c r="BV71" s="116"/>
      <c r="BW71" s="116"/>
      <c r="BX71" s="116"/>
      <c r="BY71" s="116"/>
      <c r="BZ71" s="116"/>
      <c r="CA71" s="116"/>
      <c r="FL71" s="118"/>
      <c r="FM71" s="118"/>
    </row>
    <row r="72" spans="5:169" ht="15" customHeight="1">
      <c r="E72" s="57"/>
      <c r="F72" s="57"/>
      <c r="G72" s="144"/>
      <c r="H72" s="142"/>
      <c r="I72" s="143"/>
      <c r="J72" s="161"/>
      <c r="K72" s="144"/>
      <c r="L72" s="1054"/>
      <c r="M72" s="144"/>
      <c r="N72" s="155"/>
      <c r="P72" s="132"/>
      <c r="BA72" s="116"/>
      <c r="BB72" s="116"/>
      <c r="BC72" s="116"/>
      <c r="BD72" s="116"/>
      <c r="BE72" s="116"/>
      <c r="BF72" s="116"/>
      <c r="BG72" s="116"/>
      <c r="BH72" s="116"/>
      <c r="BI72" s="116"/>
      <c r="BJ72" s="116"/>
      <c r="BK72" s="116"/>
      <c r="BL72" s="116"/>
      <c r="BM72" s="116"/>
      <c r="BN72" s="116"/>
      <c r="BO72" s="116"/>
      <c r="BP72" s="116"/>
      <c r="BQ72" s="116"/>
      <c r="BR72" s="116"/>
      <c r="BS72" s="116"/>
      <c r="BT72" s="116"/>
      <c r="BU72" s="116"/>
      <c r="BV72" s="116"/>
      <c r="BW72" s="116"/>
      <c r="BX72" s="116"/>
      <c r="BY72" s="116"/>
      <c r="BZ72" s="116"/>
      <c r="CA72" s="116"/>
      <c r="FL72" s="118"/>
      <c r="FM72" s="118"/>
    </row>
    <row r="73" spans="5:169" ht="15" customHeight="1">
      <c r="E73" s="57" t="s">
        <v>27</v>
      </c>
      <c r="F73" s="145" t="s">
        <v>28</v>
      </c>
      <c r="G73" s="144"/>
      <c r="H73" s="142"/>
      <c r="I73" s="143"/>
      <c r="J73" s="161"/>
      <c r="K73" s="144"/>
      <c r="L73" s="1054"/>
      <c r="M73" s="144"/>
      <c r="N73" s="155"/>
      <c r="P73" s="132"/>
      <c r="BA73" s="116"/>
      <c r="BB73" s="116"/>
      <c r="BC73" s="116"/>
      <c r="BD73" s="116"/>
      <c r="BE73" s="116"/>
      <c r="BF73" s="116"/>
      <c r="BG73" s="116"/>
      <c r="BH73" s="116"/>
      <c r="BI73" s="116"/>
      <c r="BJ73" s="116"/>
      <c r="BK73" s="116"/>
      <c r="BL73" s="116"/>
      <c r="BM73" s="116"/>
      <c r="BN73" s="116"/>
      <c r="BO73" s="116"/>
      <c r="BP73" s="116"/>
      <c r="BQ73" s="116"/>
      <c r="BR73" s="116"/>
      <c r="BS73" s="116"/>
      <c r="BT73" s="116"/>
      <c r="BU73" s="116"/>
      <c r="BV73" s="116"/>
      <c r="BW73" s="116"/>
      <c r="BX73" s="116"/>
      <c r="BY73" s="116"/>
      <c r="BZ73" s="116"/>
      <c r="CA73" s="116"/>
      <c r="FL73" s="118"/>
      <c r="FM73" s="118"/>
    </row>
    <row r="74" spans="5:169" ht="15" customHeight="1">
      <c r="E74" s="57"/>
      <c r="F74" s="57" t="s">
        <v>1663</v>
      </c>
      <c r="G74" s="144"/>
      <c r="H74" s="142"/>
      <c r="I74" s="143"/>
      <c r="J74" s="161"/>
      <c r="K74" s="144"/>
      <c r="L74" s="1054"/>
      <c r="M74" s="144"/>
      <c r="N74" s="155"/>
      <c r="P74" s="132"/>
      <c r="BA74" s="116"/>
      <c r="BB74" s="116"/>
      <c r="BC74" s="116"/>
      <c r="BD74" s="116"/>
      <c r="BE74" s="116"/>
      <c r="BF74" s="116"/>
      <c r="BG74" s="116"/>
      <c r="BH74" s="116"/>
      <c r="BI74" s="116"/>
      <c r="BJ74" s="116"/>
      <c r="BK74" s="116"/>
      <c r="BL74" s="116"/>
      <c r="BM74" s="116"/>
      <c r="BN74" s="116"/>
      <c r="BO74" s="116"/>
      <c r="BP74" s="116"/>
      <c r="BQ74" s="116"/>
      <c r="BR74" s="116"/>
      <c r="BS74" s="116"/>
      <c r="BT74" s="116"/>
      <c r="BU74" s="116"/>
      <c r="BV74" s="116"/>
      <c r="BW74" s="116"/>
      <c r="BX74" s="116"/>
      <c r="BY74" s="116"/>
      <c r="BZ74" s="116"/>
      <c r="CA74" s="116"/>
      <c r="FL74" s="118"/>
      <c r="FM74" s="118"/>
    </row>
    <row r="75" spans="5:169" ht="15" customHeight="1">
      <c r="E75" s="57"/>
      <c r="F75" s="57" t="s">
        <v>1664</v>
      </c>
      <c r="G75" s="144" t="s">
        <v>1819</v>
      </c>
      <c r="H75" s="142">
        <f>AHSP!J$1090</f>
        <v>7.0000000000000007E-2</v>
      </c>
      <c r="I75" s="143">
        <f>1/H75</f>
        <v>14.285714285714285</v>
      </c>
      <c r="J75" s="161">
        <f>'HITUNG RAB'!J$31</f>
        <v>189.58125000000001</v>
      </c>
      <c r="K75" s="144">
        <f t="shared" ref="K75:K86" si="1">J75/I75</f>
        <v>13.270687500000001</v>
      </c>
      <c r="L75" s="1054">
        <v>4</v>
      </c>
      <c r="M75" s="144">
        <f t="shared" ref="M75:M86" si="2">K75/L75</f>
        <v>3.3176718750000003</v>
      </c>
      <c r="N75" s="155">
        <f>M75</f>
        <v>3.3176718750000003</v>
      </c>
      <c r="P75" s="132"/>
      <c r="BA75" s="116"/>
      <c r="BB75" s="116"/>
      <c r="BC75" s="116"/>
      <c r="BD75" s="116"/>
      <c r="BE75" s="116"/>
      <c r="BF75" s="116"/>
      <c r="BG75" s="116"/>
      <c r="BH75" s="116"/>
      <c r="BI75" s="116"/>
      <c r="BJ75" s="116"/>
      <c r="BK75" s="116"/>
      <c r="BL75" s="116"/>
      <c r="BM75" s="116"/>
      <c r="BN75" s="116"/>
      <c r="BO75" s="116"/>
      <c r="BP75" s="116"/>
      <c r="BQ75" s="116"/>
      <c r="BR75" s="116"/>
      <c r="BS75" s="116"/>
      <c r="BT75" s="116"/>
      <c r="BU75" s="116"/>
      <c r="BV75" s="116"/>
      <c r="BW75" s="116"/>
      <c r="BX75" s="116"/>
      <c r="BY75" s="116"/>
      <c r="BZ75" s="116"/>
      <c r="CA75" s="116"/>
      <c r="FL75" s="118"/>
      <c r="FM75" s="118"/>
    </row>
    <row r="76" spans="5:169" ht="15" customHeight="1">
      <c r="E76" s="57"/>
      <c r="F76" s="57"/>
      <c r="G76" s="144" t="s">
        <v>1824</v>
      </c>
      <c r="H76" s="142">
        <f>AHSP!J$1091</f>
        <v>7.0000000000000007E-2</v>
      </c>
      <c r="I76" s="143">
        <f t="shared" ref="I76:I99" si="3">1/H76</f>
        <v>14.285714285714285</v>
      </c>
      <c r="J76" s="161">
        <f>'HITUNG RAB'!J$31</f>
        <v>189.58125000000001</v>
      </c>
      <c r="K76" s="144">
        <f t="shared" si="1"/>
        <v>13.270687500000001</v>
      </c>
      <c r="L76" s="1054">
        <v>4</v>
      </c>
      <c r="M76" s="144">
        <f t="shared" si="2"/>
        <v>3.3176718750000003</v>
      </c>
      <c r="N76" s="155">
        <f t="shared" ref="N76:N99" si="4">M76</f>
        <v>3.3176718750000003</v>
      </c>
      <c r="P76" s="132"/>
      <c r="BA76" s="116"/>
      <c r="BB76" s="116"/>
      <c r="BC76" s="116"/>
      <c r="BD76" s="116"/>
      <c r="BE76" s="116"/>
      <c r="BF76" s="116"/>
      <c r="BG76" s="116"/>
      <c r="BH76" s="116"/>
      <c r="BI76" s="116"/>
      <c r="BJ76" s="116"/>
      <c r="BK76" s="116"/>
      <c r="BL76" s="116"/>
      <c r="BM76" s="116"/>
      <c r="BN76" s="116"/>
      <c r="BO76" s="116"/>
      <c r="BP76" s="116"/>
      <c r="BQ76" s="116"/>
      <c r="BR76" s="116"/>
      <c r="BS76" s="116"/>
      <c r="BT76" s="116"/>
      <c r="BU76" s="116"/>
      <c r="BV76" s="116"/>
      <c r="BW76" s="116"/>
      <c r="BX76" s="116"/>
      <c r="BY76" s="116"/>
      <c r="BZ76" s="116"/>
      <c r="CA76" s="116"/>
      <c r="FL76" s="118"/>
      <c r="FM76" s="118"/>
    </row>
    <row r="77" spans="5:169" ht="15" customHeight="1">
      <c r="E77" s="57"/>
      <c r="F77" s="57"/>
      <c r="G77" s="144" t="s">
        <v>1826</v>
      </c>
      <c r="H77" s="142">
        <f>AHSP!J$1092</f>
        <v>7.0000000000000001E-3</v>
      </c>
      <c r="I77" s="143">
        <f t="shared" si="3"/>
        <v>142.85714285714286</v>
      </c>
      <c r="J77" s="161">
        <f>'HITUNG RAB'!J$31</f>
        <v>189.58125000000001</v>
      </c>
      <c r="K77" s="144">
        <f t="shared" si="1"/>
        <v>1.32706875</v>
      </c>
      <c r="L77" s="1054">
        <v>4</v>
      </c>
      <c r="M77" s="144">
        <f t="shared" si="2"/>
        <v>0.3317671875</v>
      </c>
      <c r="N77" s="155">
        <f t="shared" si="4"/>
        <v>0.3317671875</v>
      </c>
      <c r="P77" s="132"/>
      <c r="BA77" s="116"/>
      <c r="BB77" s="116"/>
      <c r="BC77" s="116"/>
      <c r="BD77" s="116"/>
      <c r="BE77" s="116"/>
      <c r="BF77" s="116"/>
      <c r="BG77" s="116"/>
      <c r="BH77" s="116"/>
      <c r="BI77" s="116"/>
      <c r="BJ77" s="116"/>
      <c r="BK77" s="116"/>
      <c r="BL77" s="116"/>
      <c r="BM77" s="116"/>
      <c r="BN77" s="116"/>
      <c r="BO77" s="116"/>
      <c r="BP77" s="116"/>
      <c r="BQ77" s="116"/>
      <c r="BR77" s="116"/>
      <c r="BS77" s="116"/>
      <c r="BT77" s="116"/>
      <c r="BU77" s="116"/>
      <c r="BV77" s="116"/>
      <c r="BW77" s="116"/>
      <c r="BX77" s="116"/>
      <c r="BY77" s="116"/>
      <c r="BZ77" s="116"/>
      <c r="CA77" s="116"/>
      <c r="FL77" s="118"/>
      <c r="FM77" s="118"/>
    </row>
    <row r="78" spans="5:169" ht="15" customHeight="1">
      <c r="E78" s="57"/>
      <c r="F78" s="57"/>
      <c r="G78" s="144" t="s">
        <v>20</v>
      </c>
      <c r="H78" s="142">
        <f>AHSP!J$1093</f>
        <v>4.0000000000000001E-3</v>
      </c>
      <c r="I78" s="143">
        <f t="shared" si="3"/>
        <v>250</v>
      </c>
      <c r="J78" s="161">
        <f>'HITUNG RAB'!J$31</f>
        <v>189.58125000000001</v>
      </c>
      <c r="K78" s="144">
        <f t="shared" si="1"/>
        <v>0.75832500000000003</v>
      </c>
      <c r="L78" s="1054">
        <v>4</v>
      </c>
      <c r="M78" s="144">
        <f t="shared" si="2"/>
        <v>0.18958125000000001</v>
      </c>
      <c r="N78" s="155">
        <f t="shared" si="4"/>
        <v>0.18958125000000001</v>
      </c>
      <c r="P78" s="132"/>
      <c r="BA78" s="116"/>
      <c r="BB78" s="116"/>
      <c r="BC78" s="116"/>
      <c r="BD78" s="116"/>
      <c r="BE78" s="116"/>
      <c r="BF78" s="116"/>
      <c r="BG78" s="116"/>
      <c r="BH78" s="116"/>
      <c r="BI78" s="116"/>
      <c r="BJ78" s="116"/>
      <c r="BK78" s="116"/>
      <c r="BL78" s="116"/>
      <c r="BM78" s="116"/>
      <c r="BN78" s="116"/>
      <c r="BO78" s="116"/>
      <c r="BP78" s="116"/>
      <c r="BQ78" s="116"/>
      <c r="BR78" s="116"/>
      <c r="BS78" s="116"/>
      <c r="BT78" s="116"/>
      <c r="BU78" s="116"/>
      <c r="BV78" s="116"/>
      <c r="BW78" s="116"/>
      <c r="BX78" s="116"/>
      <c r="BY78" s="116"/>
      <c r="BZ78" s="116"/>
      <c r="CA78" s="116"/>
      <c r="FL78" s="118"/>
      <c r="FM78" s="118"/>
    </row>
    <row r="79" spans="5:169" ht="15" customHeight="1">
      <c r="E79" s="57"/>
      <c r="F79" s="57" t="s">
        <v>1665</v>
      </c>
      <c r="G79" s="144" t="s">
        <v>1819</v>
      </c>
      <c r="H79" s="142">
        <f>AHSP!J$1163</f>
        <v>0.52</v>
      </c>
      <c r="I79" s="143">
        <f t="shared" si="3"/>
        <v>1.9230769230769229</v>
      </c>
      <c r="J79" s="161">
        <f>'HITUNG RAB'!J$32</f>
        <v>22.5</v>
      </c>
      <c r="K79" s="144">
        <f t="shared" si="1"/>
        <v>11.700000000000001</v>
      </c>
      <c r="L79" s="1054">
        <v>3</v>
      </c>
      <c r="M79" s="144">
        <f t="shared" si="2"/>
        <v>3.9000000000000004</v>
      </c>
      <c r="N79" s="155">
        <f t="shared" si="4"/>
        <v>3.9000000000000004</v>
      </c>
      <c r="P79" s="132"/>
      <c r="BA79" s="116"/>
      <c r="BB79" s="116"/>
      <c r="BC79" s="116"/>
      <c r="BD79" s="116"/>
      <c r="BE79" s="116"/>
      <c r="BF79" s="116"/>
      <c r="BG79" s="116"/>
      <c r="BH79" s="116"/>
      <c r="BI79" s="116"/>
      <c r="BJ79" s="116"/>
      <c r="BK79" s="116"/>
      <c r="BL79" s="116"/>
      <c r="BM79" s="116"/>
      <c r="BN79" s="116"/>
      <c r="BO79" s="116"/>
      <c r="BP79" s="116"/>
      <c r="BQ79" s="116"/>
      <c r="BR79" s="116"/>
      <c r="BS79" s="116"/>
      <c r="BT79" s="116"/>
      <c r="BU79" s="116"/>
      <c r="BV79" s="116"/>
      <c r="BW79" s="116"/>
      <c r="BX79" s="116"/>
      <c r="BY79" s="116"/>
      <c r="BZ79" s="116"/>
      <c r="CA79" s="116"/>
      <c r="FL79" s="118"/>
      <c r="FM79" s="118"/>
    </row>
    <row r="80" spans="5:169" ht="15" customHeight="1">
      <c r="E80" s="57"/>
      <c r="F80" s="57"/>
      <c r="G80" s="144" t="s">
        <v>1824</v>
      </c>
      <c r="H80" s="142">
        <f>AHSP!J$1164</f>
        <v>0.26</v>
      </c>
      <c r="I80" s="143">
        <f t="shared" si="3"/>
        <v>3.8461538461538458</v>
      </c>
      <c r="J80" s="161">
        <f>'HITUNG RAB'!J$32</f>
        <v>22.5</v>
      </c>
      <c r="K80" s="144">
        <f t="shared" si="1"/>
        <v>5.8500000000000005</v>
      </c>
      <c r="L80" s="1054">
        <v>3</v>
      </c>
      <c r="M80" s="144">
        <f t="shared" si="2"/>
        <v>1.9500000000000002</v>
      </c>
      <c r="N80" s="155">
        <f t="shared" si="4"/>
        <v>1.9500000000000002</v>
      </c>
      <c r="P80" s="132"/>
      <c r="BA80" s="116"/>
      <c r="BB80" s="116"/>
      <c r="BC80" s="116"/>
      <c r="BD80" s="116"/>
      <c r="BE80" s="116"/>
      <c r="BF80" s="116"/>
      <c r="BG80" s="116"/>
      <c r="BH80" s="116"/>
      <c r="BI80" s="116"/>
      <c r="BJ80" s="116"/>
      <c r="BK80" s="116"/>
      <c r="BL80" s="116"/>
      <c r="BM80" s="116"/>
      <c r="BN80" s="116"/>
      <c r="BO80" s="116"/>
      <c r="BP80" s="116"/>
      <c r="BQ80" s="116"/>
      <c r="BR80" s="116"/>
      <c r="BS80" s="116"/>
      <c r="BT80" s="116"/>
      <c r="BU80" s="116"/>
      <c r="BV80" s="116"/>
      <c r="BW80" s="116"/>
      <c r="BX80" s="116"/>
      <c r="BY80" s="116"/>
      <c r="BZ80" s="116"/>
      <c r="CA80" s="116"/>
      <c r="FL80" s="118"/>
      <c r="FM80" s="118"/>
    </row>
    <row r="81" spans="5:169" ht="15" customHeight="1">
      <c r="E81" s="57"/>
      <c r="F81" s="57"/>
      <c r="G81" s="144" t="s">
        <v>1826</v>
      </c>
      <c r="H81" s="142">
        <f>AHSP!J$1165</f>
        <v>2.5999999999999999E-2</v>
      </c>
      <c r="I81" s="143">
        <f t="shared" si="3"/>
        <v>38.46153846153846</v>
      </c>
      <c r="J81" s="161">
        <f>'HITUNG RAB'!J$32</f>
        <v>22.5</v>
      </c>
      <c r="K81" s="144">
        <f t="shared" si="1"/>
        <v>0.58500000000000008</v>
      </c>
      <c r="L81" s="1054">
        <v>3</v>
      </c>
      <c r="M81" s="144">
        <f t="shared" si="2"/>
        <v>0.19500000000000003</v>
      </c>
      <c r="N81" s="155">
        <f t="shared" si="4"/>
        <v>0.19500000000000003</v>
      </c>
      <c r="P81" s="132"/>
      <c r="BA81" s="116"/>
      <c r="BB81" s="116"/>
      <c r="BC81" s="116"/>
      <c r="BD81" s="116"/>
      <c r="BE81" s="116"/>
      <c r="BF81" s="116"/>
      <c r="BG81" s="116"/>
      <c r="BH81" s="116"/>
      <c r="BI81" s="116"/>
      <c r="BJ81" s="116"/>
      <c r="BK81" s="116"/>
      <c r="BL81" s="116"/>
      <c r="BM81" s="116"/>
      <c r="BN81" s="116"/>
      <c r="BO81" s="116"/>
      <c r="BP81" s="116"/>
      <c r="BQ81" s="116"/>
      <c r="BR81" s="116"/>
      <c r="BS81" s="116"/>
      <c r="BT81" s="116"/>
      <c r="BU81" s="116"/>
      <c r="BV81" s="116"/>
      <c r="BW81" s="116"/>
      <c r="BX81" s="116"/>
      <c r="BY81" s="116"/>
      <c r="BZ81" s="116"/>
      <c r="CA81" s="116"/>
      <c r="FL81" s="118"/>
      <c r="FM81" s="118"/>
    </row>
    <row r="82" spans="5:169" ht="15" customHeight="1">
      <c r="E82" s="57"/>
      <c r="F82" s="57"/>
      <c r="G82" s="144" t="s">
        <v>20</v>
      </c>
      <c r="H82" s="142">
        <f>AHSP!J$1166</f>
        <v>2.5999999999999999E-2</v>
      </c>
      <c r="I82" s="143">
        <f t="shared" si="3"/>
        <v>38.46153846153846</v>
      </c>
      <c r="J82" s="161">
        <f>'HITUNG RAB'!J$32</f>
        <v>22.5</v>
      </c>
      <c r="K82" s="144">
        <f t="shared" si="1"/>
        <v>0.58500000000000008</v>
      </c>
      <c r="L82" s="1054">
        <v>3</v>
      </c>
      <c r="M82" s="144">
        <f t="shared" si="2"/>
        <v>0.19500000000000003</v>
      </c>
      <c r="N82" s="155">
        <f t="shared" si="4"/>
        <v>0.19500000000000003</v>
      </c>
      <c r="P82" s="132"/>
      <c r="BA82" s="116"/>
      <c r="BB82" s="116"/>
      <c r="BC82" s="116"/>
      <c r="BD82" s="116"/>
      <c r="BE82" s="116"/>
      <c r="BF82" s="116"/>
      <c r="BG82" s="116"/>
      <c r="BH82" s="116"/>
      <c r="BI82" s="116"/>
      <c r="BJ82" s="116"/>
      <c r="BK82" s="116"/>
      <c r="BL82" s="116"/>
      <c r="BM82" s="116"/>
      <c r="BN82" s="116"/>
      <c r="BO82" s="116"/>
      <c r="BP82" s="116"/>
      <c r="BQ82" s="116"/>
      <c r="BR82" s="116"/>
      <c r="BS82" s="116"/>
      <c r="BT82" s="116"/>
      <c r="BU82" s="116"/>
      <c r="BV82" s="116"/>
      <c r="BW82" s="116"/>
      <c r="BX82" s="116"/>
      <c r="BY82" s="116"/>
      <c r="BZ82" s="116"/>
      <c r="CA82" s="116"/>
      <c r="FL82" s="118"/>
      <c r="FM82" s="118"/>
    </row>
    <row r="83" spans="5:169" ht="15" customHeight="1">
      <c r="E83" s="57"/>
      <c r="F83" s="57" t="s">
        <v>1666</v>
      </c>
      <c r="G83" s="144" t="s">
        <v>1819</v>
      </c>
      <c r="H83" s="142">
        <f>AHSP!J$896</f>
        <v>1.65</v>
      </c>
      <c r="I83" s="143">
        <f t="shared" si="3"/>
        <v>0.60606060606060608</v>
      </c>
      <c r="J83" s="161">
        <f>'HITUNG RAB'!J$33</f>
        <v>2.25</v>
      </c>
      <c r="K83" s="144">
        <f t="shared" si="1"/>
        <v>3.7124999999999999</v>
      </c>
      <c r="L83" s="1054">
        <v>1</v>
      </c>
      <c r="M83" s="144">
        <f t="shared" si="2"/>
        <v>3.7124999999999999</v>
      </c>
      <c r="N83" s="155">
        <f t="shared" si="4"/>
        <v>3.7124999999999999</v>
      </c>
      <c r="P83" s="132"/>
      <c r="BA83" s="116"/>
      <c r="BB83" s="116"/>
      <c r="BC83" s="116"/>
      <c r="BD83" s="116"/>
      <c r="BE83" s="116"/>
      <c r="BF83" s="116"/>
      <c r="BG83" s="116"/>
      <c r="BH83" s="116"/>
      <c r="BI83" s="116"/>
      <c r="BJ83" s="116"/>
      <c r="BK83" s="116"/>
      <c r="BL83" s="116"/>
      <c r="BM83" s="116"/>
      <c r="BN83" s="116"/>
      <c r="BO83" s="116"/>
      <c r="BP83" s="116"/>
      <c r="BQ83" s="116"/>
      <c r="BR83" s="116"/>
      <c r="BS83" s="116"/>
      <c r="BT83" s="116"/>
      <c r="BU83" s="116"/>
      <c r="BV83" s="116"/>
      <c r="BW83" s="116"/>
      <c r="BX83" s="116"/>
      <c r="BY83" s="116"/>
      <c r="BZ83" s="116"/>
      <c r="CA83" s="116"/>
      <c r="FL83" s="118"/>
      <c r="FM83" s="118"/>
    </row>
    <row r="84" spans="5:169" ht="15" customHeight="1">
      <c r="E84" s="57"/>
      <c r="F84" s="57"/>
      <c r="G84" s="144" t="s">
        <v>1824</v>
      </c>
      <c r="H84" s="142">
        <f>AHSP!J$897</f>
        <v>0.27500000000000002</v>
      </c>
      <c r="I84" s="143">
        <f t="shared" si="3"/>
        <v>3.6363636363636362</v>
      </c>
      <c r="J84" s="161">
        <f>'HITUNG RAB'!J$33</f>
        <v>2.25</v>
      </c>
      <c r="K84" s="144">
        <f t="shared" si="1"/>
        <v>0.61875000000000002</v>
      </c>
      <c r="L84" s="1054">
        <v>1</v>
      </c>
      <c r="M84" s="144">
        <f t="shared" si="2"/>
        <v>0.61875000000000002</v>
      </c>
      <c r="N84" s="155">
        <f t="shared" si="4"/>
        <v>0.61875000000000002</v>
      </c>
      <c r="P84" s="132"/>
      <c r="BA84" s="116"/>
      <c r="BB84" s="116"/>
      <c r="BC84" s="116"/>
      <c r="BD84" s="116"/>
      <c r="BE84" s="116"/>
      <c r="BF84" s="116"/>
      <c r="BG84" s="116"/>
      <c r="BH84" s="116"/>
      <c r="BI84" s="116"/>
      <c r="BJ84" s="116"/>
      <c r="BK84" s="116"/>
      <c r="BL84" s="116"/>
      <c r="BM84" s="116"/>
      <c r="BN84" s="116"/>
      <c r="BO84" s="116"/>
      <c r="BP84" s="116"/>
      <c r="BQ84" s="116"/>
      <c r="BR84" s="116"/>
      <c r="BS84" s="116"/>
      <c r="BT84" s="116"/>
      <c r="BU84" s="116"/>
      <c r="BV84" s="116"/>
      <c r="BW84" s="116"/>
      <c r="BX84" s="116"/>
      <c r="BY84" s="116"/>
      <c r="BZ84" s="116"/>
      <c r="CA84" s="116"/>
      <c r="FL84" s="118"/>
      <c r="FM84" s="118"/>
    </row>
    <row r="85" spans="5:169" ht="15" customHeight="1">
      <c r="E85" s="57"/>
      <c r="F85" s="57"/>
      <c r="G85" s="144" t="s">
        <v>1826</v>
      </c>
      <c r="H85" s="142">
        <f>AHSP!J$898</f>
        <v>2.8000000000000001E-2</v>
      </c>
      <c r="I85" s="143">
        <f t="shared" si="3"/>
        <v>35.714285714285715</v>
      </c>
      <c r="J85" s="161">
        <f>'HITUNG RAB'!J$33</f>
        <v>2.25</v>
      </c>
      <c r="K85" s="144">
        <f t="shared" si="1"/>
        <v>6.3E-2</v>
      </c>
      <c r="L85" s="1054">
        <v>1</v>
      </c>
      <c r="M85" s="144">
        <f t="shared" si="2"/>
        <v>6.3E-2</v>
      </c>
      <c r="N85" s="155">
        <f t="shared" si="4"/>
        <v>6.3E-2</v>
      </c>
      <c r="P85" s="132"/>
      <c r="BA85" s="116"/>
      <c r="BB85" s="116"/>
      <c r="BC85" s="116"/>
      <c r="BD85" s="116"/>
      <c r="BE85" s="116"/>
      <c r="BF85" s="116"/>
      <c r="BG85" s="116"/>
      <c r="BH85" s="116"/>
      <c r="BI85" s="116"/>
      <c r="BJ85" s="116"/>
      <c r="BK85" s="116"/>
      <c r="BL85" s="116"/>
      <c r="BM85" s="116"/>
      <c r="BN85" s="116"/>
      <c r="BO85" s="116"/>
      <c r="BP85" s="116"/>
      <c r="BQ85" s="116"/>
      <c r="BR85" s="116"/>
      <c r="BS85" s="116"/>
      <c r="BT85" s="116"/>
      <c r="BU85" s="116"/>
      <c r="BV85" s="116"/>
      <c r="BW85" s="116"/>
      <c r="BX85" s="116"/>
      <c r="BY85" s="116"/>
      <c r="BZ85" s="116"/>
      <c r="CA85" s="116"/>
      <c r="FL85" s="118"/>
      <c r="FM85" s="118"/>
    </row>
    <row r="86" spans="5:169" ht="15" customHeight="1">
      <c r="E86" s="57"/>
      <c r="F86" s="57"/>
      <c r="G86" s="144" t="s">
        <v>20</v>
      </c>
      <c r="H86" s="142">
        <f>AHSP!J$899</f>
        <v>8.3000000000000004E-2</v>
      </c>
      <c r="I86" s="143">
        <f t="shared" si="3"/>
        <v>12.048192771084336</v>
      </c>
      <c r="J86" s="161">
        <f>'HITUNG RAB'!J$33</f>
        <v>2.25</v>
      </c>
      <c r="K86" s="144">
        <f t="shared" si="1"/>
        <v>0.18675000000000003</v>
      </c>
      <c r="L86" s="1054">
        <v>1</v>
      </c>
      <c r="M86" s="144">
        <f t="shared" si="2"/>
        <v>0.18675000000000003</v>
      </c>
      <c r="N86" s="155">
        <f t="shared" si="4"/>
        <v>0.18675000000000003</v>
      </c>
      <c r="P86" s="132"/>
      <c r="BA86" s="116"/>
      <c r="BB86" s="116"/>
      <c r="BC86" s="116"/>
      <c r="BD86" s="116"/>
      <c r="BE86" s="116"/>
      <c r="BF86" s="116"/>
      <c r="BG86" s="116"/>
      <c r="BH86" s="116"/>
      <c r="BI86" s="116"/>
      <c r="BJ86" s="116"/>
      <c r="BK86" s="116"/>
      <c r="BL86" s="116"/>
      <c r="BM86" s="116"/>
      <c r="BN86" s="116"/>
      <c r="BO86" s="116"/>
      <c r="BP86" s="116"/>
      <c r="BQ86" s="116"/>
      <c r="BR86" s="116"/>
      <c r="BS86" s="116"/>
      <c r="BT86" s="116"/>
      <c r="BU86" s="116"/>
      <c r="BV86" s="116"/>
      <c r="BW86" s="116"/>
      <c r="BX86" s="116"/>
      <c r="BY86" s="116"/>
      <c r="BZ86" s="116"/>
      <c r="CA86" s="116"/>
      <c r="FL86" s="118"/>
      <c r="FM86" s="118"/>
    </row>
    <row r="87" spans="5:169" ht="15" customHeight="1">
      <c r="E87" s="57"/>
      <c r="F87" s="57" t="s">
        <v>1667</v>
      </c>
      <c r="G87" s="144"/>
      <c r="H87" s="142"/>
      <c r="I87" s="143"/>
      <c r="J87" s="161"/>
      <c r="K87" s="144"/>
      <c r="L87" s="1054"/>
      <c r="M87" s="144"/>
      <c r="N87" s="155"/>
      <c r="P87" s="132"/>
      <c r="BA87" s="116"/>
      <c r="BB87" s="116"/>
      <c r="BC87" s="116"/>
      <c r="BD87" s="116"/>
      <c r="BE87" s="116"/>
      <c r="BF87" s="116"/>
      <c r="BG87" s="116"/>
      <c r="BH87" s="116"/>
      <c r="BI87" s="116"/>
      <c r="BJ87" s="116"/>
      <c r="BK87" s="116"/>
      <c r="BL87" s="116"/>
      <c r="BM87" s="116"/>
      <c r="BN87" s="116"/>
      <c r="BO87" s="116"/>
      <c r="BP87" s="116"/>
      <c r="BQ87" s="116"/>
      <c r="BR87" s="116"/>
      <c r="BS87" s="116"/>
      <c r="BT87" s="116"/>
      <c r="BU87" s="116"/>
      <c r="BV87" s="116"/>
      <c r="BW87" s="116"/>
      <c r="BX87" s="116"/>
      <c r="BY87" s="116"/>
      <c r="BZ87" s="116"/>
      <c r="CA87" s="116"/>
      <c r="FL87" s="118"/>
      <c r="FM87" s="118"/>
    </row>
    <row r="88" spans="5:169" ht="15" customHeight="1">
      <c r="E88" s="57"/>
      <c r="F88" s="57" t="s">
        <v>1664</v>
      </c>
      <c r="G88" s="144" t="s">
        <v>1819</v>
      </c>
      <c r="H88" s="142">
        <f>AHSP!J$1090</f>
        <v>7.0000000000000007E-2</v>
      </c>
      <c r="I88" s="143">
        <f t="shared" si="3"/>
        <v>14.285714285714285</v>
      </c>
      <c r="J88" s="161">
        <f>'HITUNG RAB'!J$35</f>
        <v>156.42833333333334</v>
      </c>
      <c r="K88" s="144">
        <f t="shared" ref="K88:K99" si="5">J88/I88</f>
        <v>10.949983333333334</v>
      </c>
      <c r="L88" s="1054">
        <v>4</v>
      </c>
      <c r="M88" s="144">
        <f t="shared" ref="M88:M99" si="6">K88/L88</f>
        <v>2.7374958333333335</v>
      </c>
      <c r="N88" s="155">
        <f t="shared" si="4"/>
        <v>2.7374958333333335</v>
      </c>
      <c r="P88" s="132"/>
      <c r="BA88" s="116"/>
      <c r="BB88" s="116"/>
      <c r="BC88" s="116"/>
      <c r="BD88" s="116"/>
      <c r="BE88" s="116"/>
      <c r="BF88" s="116"/>
      <c r="BG88" s="116"/>
      <c r="BH88" s="116"/>
      <c r="BI88" s="116"/>
      <c r="BJ88" s="116"/>
      <c r="BK88" s="116"/>
      <c r="BL88" s="116"/>
      <c r="BM88" s="116"/>
      <c r="BN88" s="116"/>
      <c r="BO88" s="116"/>
      <c r="BP88" s="116"/>
      <c r="BQ88" s="116"/>
      <c r="BR88" s="116"/>
      <c r="BS88" s="116"/>
      <c r="BT88" s="116"/>
      <c r="BU88" s="116"/>
      <c r="BV88" s="116"/>
      <c r="BW88" s="116"/>
      <c r="BX88" s="116"/>
      <c r="BY88" s="116"/>
      <c r="BZ88" s="116"/>
      <c r="CA88" s="116"/>
      <c r="FL88" s="118"/>
      <c r="FM88" s="118"/>
    </row>
    <row r="89" spans="5:169" ht="15" customHeight="1">
      <c r="E89" s="57"/>
      <c r="F89" s="57"/>
      <c r="G89" s="144" t="s">
        <v>1824</v>
      </c>
      <c r="H89" s="142">
        <f>AHSP!J$1091</f>
        <v>7.0000000000000007E-2</v>
      </c>
      <c r="I89" s="143">
        <f t="shared" si="3"/>
        <v>14.285714285714285</v>
      </c>
      <c r="J89" s="161">
        <f>'HITUNG RAB'!J$35</f>
        <v>156.42833333333334</v>
      </c>
      <c r="K89" s="144">
        <f t="shared" si="5"/>
        <v>10.949983333333334</v>
      </c>
      <c r="L89" s="1054">
        <v>4</v>
      </c>
      <c r="M89" s="144">
        <f t="shared" si="6"/>
        <v>2.7374958333333335</v>
      </c>
      <c r="N89" s="155">
        <f t="shared" si="4"/>
        <v>2.7374958333333335</v>
      </c>
      <c r="P89" s="132"/>
      <c r="BA89" s="116"/>
      <c r="BB89" s="116"/>
      <c r="BC89" s="116"/>
      <c r="BD89" s="116"/>
      <c r="BE89" s="116"/>
      <c r="BF89" s="116"/>
      <c r="BG89" s="116"/>
      <c r="BH89" s="116"/>
      <c r="BI89" s="116"/>
      <c r="BJ89" s="116"/>
      <c r="BK89" s="116"/>
      <c r="BL89" s="116"/>
      <c r="BM89" s="116"/>
      <c r="BN89" s="116"/>
      <c r="BO89" s="116"/>
      <c r="BP89" s="116"/>
      <c r="BQ89" s="116"/>
      <c r="BR89" s="116"/>
      <c r="BS89" s="116"/>
      <c r="BT89" s="116"/>
      <c r="BU89" s="116"/>
      <c r="BV89" s="116"/>
      <c r="BW89" s="116"/>
      <c r="BX89" s="116"/>
      <c r="BY89" s="116"/>
      <c r="BZ89" s="116"/>
      <c r="CA89" s="116"/>
      <c r="FL89" s="118"/>
      <c r="FM89" s="118"/>
    </row>
    <row r="90" spans="5:169" ht="15" customHeight="1">
      <c r="E90" s="57"/>
      <c r="F90" s="57"/>
      <c r="G90" s="144" t="s">
        <v>1826</v>
      </c>
      <c r="H90" s="142">
        <f>AHSP!J$1092</f>
        <v>7.0000000000000001E-3</v>
      </c>
      <c r="I90" s="143">
        <f t="shared" si="3"/>
        <v>142.85714285714286</v>
      </c>
      <c r="J90" s="161">
        <f>'HITUNG RAB'!J$35</f>
        <v>156.42833333333334</v>
      </c>
      <c r="K90" s="144">
        <f t="shared" si="5"/>
        <v>1.0949983333333333</v>
      </c>
      <c r="L90" s="1054">
        <v>4</v>
      </c>
      <c r="M90" s="144">
        <f t="shared" si="6"/>
        <v>0.27374958333333332</v>
      </c>
      <c r="N90" s="155">
        <f t="shared" si="4"/>
        <v>0.27374958333333332</v>
      </c>
      <c r="P90" s="132"/>
      <c r="BA90" s="116"/>
      <c r="BB90" s="116"/>
      <c r="BC90" s="116"/>
      <c r="BD90" s="116"/>
      <c r="BE90" s="116"/>
      <c r="BF90" s="116"/>
      <c r="BG90" s="116"/>
      <c r="BH90" s="116"/>
      <c r="BI90" s="116"/>
      <c r="BJ90" s="116"/>
      <c r="BK90" s="116"/>
      <c r="BL90" s="116"/>
      <c r="BM90" s="116"/>
      <c r="BN90" s="116"/>
      <c r="BO90" s="116"/>
      <c r="BP90" s="116"/>
      <c r="BQ90" s="116"/>
      <c r="BR90" s="116"/>
      <c r="BS90" s="116"/>
      <c r="BT90" s="116"/>
      <c r="BU90" s="116"/>
      <c r="BV90" s="116"/>
      <c r="BW90" s="116"/>
      <c r="BX90" s="116"/>
      <c r="BY90" s="116"/>
      <c r="BZ90" s="116"/>
      <c r="CA90" s="116"/>
      <c r="FL90" s="118"/>
      <c r="FM90" s="118"/>
    </row>
    <row r="91" spans="5:169" ht="15" customHeight="1">
      <c r="E91" s="57"/>
      <c r="F91" s="57"/>
      <c r="G91" s="144" t="s">
        <v>20</v>
      </c>
      <c r="H91" s="142">
        <f>AHSP!J$1093</f>
        <v>4.0000000000000001E-3</v>
      </c>
      <c r="I91" s="143">
        <f t="shared" si="3"/>
        <v>250</v>
      </c>
      <c r="J91" s="161">
        <f>'HITUNG RAB'!J$35</f>
        <v>156.42833333333334</v>
      </c>
      <c r="K91" s="144">
        <f t="shared" si="5"/>
        <v>0.62571333333333334</v>
      </c>
      <c r="L91" s="1054">
        <v>4</v>
      </c>
      <c r="M91" s="144">
        <f t="shared" si="6"/>
        <v>0.15642833333333334</v>
      </c>
      <c r="N91" s="155">
        <f t="shared" si="4"/>
        <v>0.15642833333333334</v>
      </c>
      <c r="P91" s="132"/>
      <c r="BA91" s="116"/>
      <c r="BB91" s="116"/>
      <c r="BC91" s="116"/>
      <c r="BD91" s="116"/>
      <c r="BE91" s="116"/>
      <c r="BF91" s="116"/>
      <c r="BG91" s="116"/>
      <c r="BH91" s="116"/>
      <c r="BI91" s="116"/>
      <c r="BJ91" s="116"/>
      <c r="BK91" s="116"/>
      <c r="BL91" s="116"/>
      <c r="BM91" s="116"/>
      <c r="BN91" s="116"/>
      <c r="BO91" s="116"/>
      <c r="BP91" s="116"/>
      <c r="BQ91" s="116"/>
      <c r="BR91" s="116"/>
      <c r="BS91" s="116"/>
      <c r="BT91" s="116"/>
      <c r="BU91" s="116"/>
      <c r="BV91" s="116"/>
      <c r="BW91" s="116"/>
      <c r="BX91" s="116"/>
      <c r="BY91" s="116"/>
      <c r="BZ91" s="116"/>
      <c r="CA91" s="116"/>
      <c r="FL91" s="118"/>
      <c r="FM91" s="118"/>
    </row>
    <row r="92" spans="5:169" ht="15" customHeight="1">
      <c r="E92" s="57"/>
      <c r="F92" s="57" t="s">
        <v>1665</v>
      </c>
      <c r="G92" s="144" t="s">
        <v>1819</v>
      </c>
      <c r="H92" s="142">
        <f>AHSP!J$1163</f>
        <v>0.52</v>
      </c>
      <c r="I92" s="143">
        <f t="shared" si="3"/>
        <v>1.9230769230769229</v>
      </c>
      <c r="J92" s="161">
        <f>'HITUNG RAB'!J$36</f>
        <v>20.399999999999999</v>
      </c>
      <c r="K92" s="144">
        <f t="shared" si="5"/>
        <v>10.608000000000001</v>
      </c>
      <c r="L92" s="1054">
        <v>3</v>
      </c>
      <c r="M92" s="144">
        <f t="shared" si="6"/>
        <v>3.536</v>
      </c>
      <c r="N92" s="155">
        <f t="shared" si="4"/>
        <v>3.536</v>
      </c>
      <c r="P92" s="132"/>
      <c r="BA92" s="116"/>
      <c r="BB92" s="116"/>
      <c r="BC92" s="116"/>
      <c r="BD92" s="116"/>
      <c r="BE92" s="116"/>
      <c r="BF92" s="116"/>
      <c r="BG92" s="116"/>
      <c r="BH92" s="116"/>
      <c r="BI92" s="116"/>
      <c r="BJ92" s="116"/>
      <c r="BK92" s="116"/>
      <c r="BL92" s="116"/>
      <c r="BM92" s="116"/>
      <c r="BN92" s="116"/>
      <c r="BO92" s="116"/>
      <c r="BP92" s="116"/>
      <c r="BQ92" s="116"/>
      <c r="BR92" s="116"/>
      <c r="BS92" s="116"/>
      <c r="BT92" s="116"/>
      <c r="BU92" s="116"/>
      <c r="BV92" s="116"/>
      <c r="BW92" s="116"/>
      <c r="BX92" s="116"/>
      <c r="BY92" s="116"/>
      <c r="BZ92" s="116"/>
      <c r="CA92" s="116"/>
      <c r="FL92" s="118"/>
      <c r="FM92" s="118"/>
    </row>
    <row r="93" spans="5:169" ht="15" customHeight="1">
      <c r="E93" s="57"/>
      <c r="F93" s="57"/>
      <c r="G93" s="144" t="s">
        <v>1824</v>
      </c>
      <c r="H93" s="142">
        <f>AHSP!J$1164</f>
        <v>0.26</v>
      </c>
      <c r="I93" s="143">
        <f t="shared" si="3"/>
        <v>3.8461538461538458</v>
      </c>
      <c r="J93" s="161">
        <f>'HITUNG RAB'!J$36</f>
        <v>20.399999999999999</v>
      </c>
      <c r="K93" s="144">
        <f t="shared" si="5"/>
        <v>5.3040000000000003</v>
      </c>
      <c r="L93" s="1054">
        <v>3</v>
      </c>
      <c r="M93" s="144">
        <f t="shared" si="6"/>
        <v>1.768</v>
      </c>
      <c r="N93" s="155">
        <f t="shared" si="4"/>
        <v>1.768</v>
      </c>
      <c r="P93" s="132"/>
      <c r="BA93" s="116"/>
      <c r="BB93" s="116"/>
      <c r="BC93" s="116"/>
      <c r="BD93" s="116"/>
      <c r="BE93" s="116"/>
      <c r="BF93" s="116"/>
      <c r="BG93" s="116"/>
      <c r="BH93" s="116"/>
      <c r="BI93" s="116"/>
      <c r="BJ93" s="116"/>
      <c r="BK93" s="116"/>
      <c r="BL93" s="116"/>
      <c r="BM93" s="116"/>
      <c r="BN93" s="116"/>
      <c r="BO93" s="116"/>
      <c r="BP93" s="116"/>
      <c r="BQ93" s="116"/>
      <c r="BR93" s="116"/>
      <c r="BS93" s="116"/>
      <c r="BT93" s="116"/>
      <c r="BU93" s="116"/>
      <c r="BV93" s="116"/>
      <c r="BW93" s="116"/>
      <c r="BX93" s="116"/>
      <c r="BY93" s="116"/>
      <c r="BZ93" s="116"/>
      <c r="CA93" s="116"/>
      <c r="FL93" s="118"/>
      <c r="FM93" s="118"/>
    </row>
    <row r="94" spans="5:169" ht="15" customHeight="1">
      <c r="E94" s="57"/>
      <c r="F94" s="57"/>
      <c r="G94" s="144" t="s">
        <v>1826</v>
      </c>
      <c r="H94" s="142">
        <f>AHSP!J$1165</f>
        <v>2.5999999999999999E-2</v>
      </c>
      <c r="I94" s="143">
        <f t="shared" si="3"/>
        <v>38.46153846153846</v>
      </c>
      <c r="J94" s="161">
        <f>'HITUNG RAB'!J$36</f>
        <v>20.399999999999999</v>
      </c>
      <c r="K94" s="144">
        <f t="shared" si="5"/>
        <v>0.53039999999999998</v>
      </c>
      <c r="L94" s="1054">
        <v>3</v>
      </c>
      <c r="M94" s="144">
        <f t="shared" si="6"/>
        <v>0.17679999999999998</v>
      </c>
      <c r="N94" s="155">
        <f t="shared" si="4"/>
        <v>0.17679999999999998</v>
      </c>
      <c r="P94" s="132"/>
      <c r="BA94" s="116"/>
      <c r="BB94" s="116"/>
      <c r="BC94" s="116"/>
      <c r="BD94" s="116"/>
      <c r="BE94" s="116"/>
      <c r="BF94" s="116"/>
      <c r="BG94" s="116"/>
      <c r="BH94" s="116"/>
      <c r="BI94" s="116"/>
      <c r="BJ94" s="116"/>
      <c r="BK94" s="116"/>
      <c r="BL94" s="116"/>
      <c r="BM94" s="116"/>
      <c r="BN94" s="116"/>
      <c r="BO94" s="116"/>
      <c r="BP94" s="116"/>
      <c r="BQ94" s="116"/>
      <c r="BR94" s="116"/>
      <c r="BS94" s="116"/>
      <c r="BT94" s="116"/>
      <c r="BU94" s="116"/>
      <c r="BV94" s="116"/>
      <c r="BW94" s="116"/>
      <c r="BX94" s="116"/>
      <c r="BY94" s="116"/>
      <c r="BZ94" s="116"/>
      <c r="CA94" s="116"/>
      <c r="FL94" s="118"/>
      <c r="FM94" s="118"/>
    </row>
    <row r="95" spans="5:169" ht="15" customHeight="1">
      <c r="E95" s="57"/>
      <c r="F95" s="57"/>
      <c r="G95" s="144" t="s">
        <v>20</v>
      </c>
      <c r="H95" s="142">
        <f>AHSP!J$1166</f>
        <v>2.5999999999999999E-2</v>
      </c>
      <c r="I95" s="143">
        <f t="shared" si="3"/>
        <v>38.46153846153846</v>
      </c>
      <c r="J95" s="161">
        <f>'HITUNG RAB'!J$36</f>
        <v>20.399999999999999</v>
      </c>
      <c r="K95" s="144">
        <f t="shared" si="5"/>
        <v>0.53039999999999998</v>
      </c>
      <c r="L95" s="1054">
        <v>3</v>
      </c>
      <c r="M95" s="144">
        <f t="shared" si="6"/>
        <v>0.17679999999999998</v>
      </c>
      <c r="N95" s="155">
        <f t="shared" si="4"/>
        <v>0.17679999999999998</v>
      </c>
      <c r="P95" s="132"/>
      <c r="BA95" s="116"/>
      <c r="BB95" s="116"/>
      <c r="BC95" s="116"/>
      <c r="BD95" s="116"/>
      <c r="BE95" s="116"/>
      <c r="BF95" s="116"/>
      <c r="BG95" s="116"/>
      <c r="BH95" s="116"/>
      <c r="BI95" s="116"/>
      <c r="BJ95" s="116"/>
      <c r="BK95" s="116"/>
      <c r="BL95" s="116"/>
      <c r="BM95" s="116"/>
      <c r="BN95" s="116"/>
      <c r="BO95" s="116"/>
      <c r="BP95" s="116"/>
      <c r="BQ95" s="116"/>
      <c r="BR95" s="116"/>
      <c r="BS95" s="116"/>
      <c r="BT95" s="116"/>
      <c r="BU95" s="116"/>
      <c r="BV95" s="116"/>
      <c r="BW95" s="116"/>
      <c r="BX95" s="116"/>
      <c r="BY95" s="116"/>
      <c r="BZ95" s="116"/>
      <c r="CA95" s="116"/>
      <c r="FL95" s="118"/>
      <c r="FM95" s="118"/>
    </row>
    <row r="96" spans="5:169" ht="15" customHeight="1">
      <c r="E96" s="57"/>
      <c r="F96" s="57" t="s">
        <v>1666</v>
      </c>
      <c r="G96" s="144" t="s">
        <v>1819</v>
      </c>
      <c r="H96" s="142">
        <f>AHSP!J$896</f>
        <v>1.65</v>
      </c>
      <c r="I96" s="143">
        <f t="shared" si="3"/>
        <v>0.60606060606060608</v>
      </c>
      <c r="J96" s="161">
        <f>'HITUNG RAB'!J$37</f>
        <v>1.53</v>
      </c>
      <c r="K96" s="144">
        <f t="shared" si="5"/>
        <v>2.5245000000000002</v>
      </c>
      <c r="L96" s="1054">
        <v>1</v>
      </c>
      <c r="M96" s="144">
        <f t="shared" si="6"/>
        <v>2.5245000000000002</v>
      </c>
      <c r="N96" s="155">
        <f t="shared" si="4"/>
        <v>2.5245000000000002</v>
      </c>
      <c r="P96" s="132"/>
      <c r="BA96" s="116"/>
      <c r="BB96" s="116"/>
      <c r="BC96" s="116"/>
      <c r="BD96" s="116"/>
      <c r="BE96" s="116"/>
      <c r="BF96" s="116"/>
      <c r="BG96" s="116"/>
      <c r="BH96" s="116"/>
      <c r="BI96" s="116"/>
      <c r="BJ96" s="116"/>
      <c r="BK96" s="116"/>
      <c r="BL96" s="116"/>
      <c r="BM96" s="116"/>
      <c r="BN96" s="116"/>
      <c r="BO96" s="116"/>
      <c r="BP96" s="116"/>
      <c r="BQ96" s="116"/>
      <c r="BR96" s="116"/>
      <c r="BS96" s="116"/>
      <c r="BT96" s="116"/>
      <c r="BU96" s="116"/>
      <c r="BV96" s="116"/>
      <c r="BW96" s="116"/>
      <c r="BX96" s="116"/>
      <c r="BY96" s="116"/>
      <c r="BZ96" s="116"/>
      <c r="CA96" s="116"/>
      <c r="FL96" s="118"/>
      <c r="FM96" s="118"/>
    </row>
    <row r="97" spans="5:169" ht="15" customHeight="1">
      <c r="E97" s="57"/>
      <c r="F97" s="57"/>
      <c r="G97" s="144" t="s">
        <v>1824</v>
      </c>
      <c r="H97" s="142">
        <f>AHSP!J$897</f>
        <v>0.27500000000000002</v>
      </c>
      <c r="I97" s="143">
        <f t="shared" si="3"/>
        <v>3.6363636363636362</v>
      </c>
      <c r="J97" s="161">
        <f>'HITUNG RAB'!J$37</f>
        <v>1.53</v>
      </c>
      <c r="K97" s="144">
        <f t="shared" si="5"/>
        <v>0.42075000000000001</v>
      </c>
      <c r="L97" s="1054">
        <v>1</v>
      </c>
      <c r="M97" s="144">
        <f t="shared" si="6"/>
        <v>0.42075000000000001</v>
      </c>
      <c r="N97" s="155">
        <f t="shared" si="4"/>
        <v>0.42075000000000001</v>
      </c>
      <c r="P97" s="132"/>
      <c r="BA97" s="116"/>
      <c r="BB97" s="116"/>
      <c r="BC97" s="116"/>
      <c r="BD97" s="116"/>
      <c r="BE97" s="116"/>
      <c r="BF97" s="116"/>
      <c r="BG97" s="116"/>
      <c r="BH97" s="116"/>
      <c r="BI97" s="116"/>
      <c r="BJ97" s="116"/>
      <c r="BK97" s="116"/>
      <c r="BL97" s="116"/>
      <c r="BM97" s="116"/>
      <c r="BN97" s="116"/>
      <c r="BO97" s="116"/>
      <c r="BP97" s="116"/>
      <c r="BQ97" s="116"/>
      <c r="BR97" s="116"/>
      <c r="BS97" s="116"/>
      <c r="BT97" s="116"/>
      <c r="BU97" s="116"/>
      <c r="BV97" s="116"/>
      <c r="BW97" s="116"/>
      <c r="BX97" s="116"/>
      <c r="BY97" s="116"/>
      <c r="BZ97" s="116"/>
      <c r="CA97" s="116"/>
      <c r="FL97" s="118"/>
      <c r="FM97" s="118"/>
    </row>
    <row r="98" spans="5:169" ht="15" customHeight="1">
      <c r="E98" s="57"/>
      <c r="F98" s="57"/>
      <c r="G98" s="144" t="s">
        <v>1826</v>
      </c>
      <c r="H98" s="142">
        <f>AHSP!J$898</f>
        <v>2.8000000000000001E-2</v>
      </c>
      <c r="I98" s="143">
        <f t="shared" si="3"/>
        <v>35.714285714285715</v>
      </c>
      <c r="J98" s="161">
        <f>'HITUNG RAB'!J$37</f>
        <v>1.53</v>
      </c>
      <c r="K98" s="144">
        <f t="shared" si="5"/>
        <v>4.2839999999999996E-2</v>
      </c>
      <c r="L98" s="1054">
        <v>1</v>
      </c>
      <c r="M98" s="144">
        <f t="shared" si="6"/>
        <v>4.2839999999999996E-2</v>
      </c>
      <c r="N98" s="155">
        <f t="shared" si="4"/>
        <v>4.2839999999999996E-2</v>
      </c>
      <c r="P98" s="132"/>
      <c r="BA98" s="116"/>
      <c r="BB98" s="116"/>
      <c r="BC98" s="116"/>
      <c r="BD98" s="116"/>
      <c r="BE98" s="116"/>
      <c r="BF98" s="116"/>
      <c r="BG98" s="116"/>
      <c r="BH98" s="116"/>
      <c r="BI98" s="116"/>
      <c r="BJ98" s="116"/>
      <c r="BK98" s="116"/>
      <c r="BL98" s="116"/>
      <c r="BM98" s="116"/>
      <c r="BN98" s="116"/>
      <c r="BO98" s="116"/>
      <c r="BP98" s="116"/>
      <c r="BQ98" s="116"/>
      <c r="BR98" s="116"/>
      <c r="BS98" s="116"/>
      <c r="BT98" s="116"/>
      <c r="BU98" s="116"/>
      <c r="BV98" s="116"/>
      <c r="BW98" s="116"/>
      <c r="BX98" s="116"/>
      <c r="BY98" s="116"/>
      <c r="BZ98" s="116"/>
      <c r="CA98" s="116"/>
      <c r="FL98" s="118"/>
      <c r="FM98" s="118"/>
    </row>
    <row r="99" spans="5:169" ht="15" customHeight="1">
      <c r="E99" s="57"/>
      <c r="F99" s="57"/>
      <c r="G99" s="144" t="s">
        <v>20</v>
      </c>
      <c r="H99" s="142">
        <f>AHSP!J$899</f>
        <v>8.3000000000000004E-2</v>
      </c>
      <c r="I99" s="143">
        <f t="shared" si="3"/>
        <v>12.048192771084336</v>
      </c>
      <c r="J99" s="161">
        <f>'HITUNG RAB'!J$37</f>
        <v>1.53</v>
      </c>
      <c r="K99" s="144">
        <f t="shared" si="5"/>
        <v>0.12699000000000002</v>
      </c>
      <c r="L99" s="1054">
        <v>1</v>
      </c>
      <c r="M99" s="144">
        <f t="shared" si="6"/>
        <v>0.12699000000000002</v>
      </c>
      <c r="N99" s="155">
        <f t="shared" si="4"/>
        <v>0.12699000000000002</v>
      </c>
      <c r="P99" s="132"/>
      <c r="BA99" s="116"/>
      <c r="BB99" s="116"/>
      <c r="BC99" s="116"/>
      <c r="BD99" s="116"/>
      <c r="BE99" s="116"/>
      <c r="BF99" s="116"/>
      <c r="BG99" s="116"/>
      <c r="BH99" s="116"/>
      <c r="BI99" s="116"/>
      <c r="BJ99" s="116"/>
      <c r="BK99" s="116"/>
      <c r="BL99" s="116"/>
      <c r="BM99" s="116"/>
      <c r="BN99" s="116"/>
      <c r="BO99" s="116"/>
      <c r="BP99" s="116"/>
      <c r="BQ99" s="116"/>
      <c r="BR99" s="116"/>
      <c r="BS99" s="116"/>
      <c r="BT99" s="116"/>
      <c r="BU99" s="116"/>
      <c r="BV99" s="116"/>
      <c r="BW99" s="116"/>
      <c r="BX99" s="116"/>
      <c r="BY99" s="116"/>
      <c r="BZ99" s="116"/>
      <c r="CA99" s="116"/>
      <c r="FL99" s="118"/>
      <c r="FM99" s="118"/>
    </row>
    <row r="100" spans="5:169" ht="15" customHeight="1">
      <c r="E100" s="57"/>
      <c r="F100" s="57" t="s">
        <v>1668</v>
      </c>
      <c r="G100" s="144"/>
      <c r="H100" s="142"/>
      <c r="I100" s="143"/>
      <c r="J100" s="161"/>
      <c r="K100" s="144"/>
      <c r="L100" s="1054"/>
      <c r="M100" s="144"/>
      <c r="N100" s="155"/>
      <c r="P100" s="132"/>
      <c r="BA100" s="116"/>
      <c r="BB100" s="116"/>
      <c r="BC100" s="116"/>
      <c r="BD100" s="116"/>
      <c r="BE100" s="116"/>
      <c r="BF100" s="116"/>
      <c r="BG100" s="116"/>
      <c r="BH100" s="116"/>
      <c r="BI100" s="116"/>
      <c r="BJ100" s="116"/>
      <c r="BK100" s="116"/>
      <c r="BL100" s="116"/>
      <c r="BM100" s="116"/>
      <c r="BN100" s="116"/>
      <c r="BO100" s="116"/>
      <c r="BP100" s="116"/>
      <c r="BQ100" s="116"/>
      <c r="BR100" s="116"/>
      <c r="BS100" s="116"/>
      <c r="BT100" s="116"/>
      <c r="BU100" s="116"/>
      <c r="BV100" s="116"/>
      <c r="BW100" s="116"/>
      <c r="BX100" s="116"/>
      <c r="BY100" s="116"/>
      <c r="BZ100" s="116"/>
      <c r="CA100" s="116"/>
      <c r="FL100" s="118"/>
      <c r="FM100" s="118"/>
    </row>
    <row r="101" spans="5:169" ht="15" customHeight="1">
      <c r="E101" s="57"/>
      <c r="F101" s="57" t="s">
        <v>1664</v>
      </c>
      <c r="G101" s="144" t="s">
        <v>1819</v>
      </c>
      <c r="H101" s="142">
        <f>AHSP!J$1090</f>
        <v>7.0000000000000007E-2</v>
      </c>
      <c r="I101" s="143"/>
      <c r="J101" s="161"/>
      <c r="K101" s="144"/>
      <c r="L101" s="1054"/>
      <c r="M101" s="144"/>
      <c r="N101" s="155"/>
      <c r="P101" s="132"/>
      <c r="BA101" s="116"/>
      <c r="BB101" s="116"/>
      <c r="BC101" s="116"/>
      <c r="BD101" s="116"/>
      <c r="BE101" s="116"/>
      <c r="BF101" s="116"/>
      <c r="BG101" s="116"/>
      <c r="BH101" s="116"/>
      <c r="BI101" s="116"/>
      <c r="BJ101" s="116"/>
      <c r="BK101" s="116"/>
      <c r="BL101" s="116"/>
      <c r="BM101" s="116"/>
      <c r="BN101" s="116"/>
      <c r="BO101" s="116"/>
      <c r="BP101" s="116"/>
      <c r="BQ101" s="116"/>
      <c r="BR101" s="116"/>
      <c r="BS101" s="116"/>
      <c r="BT101" s="116"/>
      <c r="BU101" s="116"/>
      <c r="BV101" s="116"/>
      <c r="BW101" s="116"/>
      <c r="BX101" s="116"/>
      <c r="BY101" s="116"/>
      <c r="BZ101" s="116"/>
      <c r="CA101" s="116"/>
      <c r="FL101" s="118"/>
      <c r="FM101" s="118"/>
    </row>
    <row r="102" spans="5:169" ht="15" customHeight="1">
      <c r="E102" s="57"/>
      <c r="F102" s="57"/>
      <c r="G102" s="144" t="s">
        <v>1824</v>
      </c>
      <c r="H102" s="142">
        <f>AHSP!J$1091</f>
        <v>7.0000000000000007E-2</v>
      </c>
      <c r="I102" s="143"/>
      <c r="J102" s="161"/>
      <c r="K102" s="144"/>
      <c r="L102" s="1054"/>
      <c r="M102" s="144"/>
      <c r="N102" s="155"/>
      <c r="P102" s="132"/>
      <c r="BA102" s="116"/>
      <c r="BB102" s="116"/>
      <c r="BC102" s="116"/>
      <c r="BD102" s="116"/>
      <c r="BE102" s="116"/>
      <c r="BF102" s="116"/>
      <c r="BG102" s="116"/>
      <c r="BH102" s="116"/>
      <c r="BI102" s="116"/>
      <c r="BJ102" s="116"/>
      <c r="BK102" s="116"/>
      <c r="BL102" s="116"/>
      <c r="BM102" s="116"/>
      <c r="BN102" s="116"/>
      <c r="BO102" s="116"/>
      <c r="BP102" s="116"/>
      <c r="BQ102" s="116"/>
      <c r="BR102" s="116"/>
      <c r="BS102" s="116"/>
      <c r="BT102" s="116"/>
      <c r="BU102" s="116"/>
      <c r="BV102" s="116"/>
      <c r="BW102" s="116"/>
      <c r="BX102" s="116"/>
      <c r="BY102" s="116"/>
      <c r="BZ102" s="116"/>
      <c r="CA102" s="116"/>
      <c r="FL102" s="118"/>
      <c r="FM102" s="118"/>
    </row>
    <row r="103" spans="5:169" ht="15" customHeight="1">
      <c r="E103" s="57"/>
      <c r="F103" s="57"/>
      <c r="G103" s="144" t="s">
        <v>1826</v>
      </c>
      <c r="H103" s="142">
        <f>AHSP!J$1092</f>
        <v>7.0000000000000001E-3</v>
      </c>
      <c r="I103" s="143"/>
      <c r="J103" s="161"/>
      <c r="K103" s="144"/>
      <c r="L103" s="1054"/>
      <c r="M103" s="144"/>
      <c r="N103" s="155"/>
      <c r="P103" s="132"/>
      <c r="BA103" s="116"/>
      <c r="BB103" s="116"/>
      <c r="BC103" s="116"/>
      <c r="BD103" s="116"/>
      <c r="BE103" s="116"/>
      <c r="BF103" s="116"/>
      <c r="BG103" s="116"/>
      <c r="BH103" s="116"/>
      <c r="BI103" s="116"/>
      <c r="BJ103" s="116"/>
      <c r="BK103" s="116"/>
      <c r="BL103" s="116"/>
      <c r="BM103" s="116"/>
      <c r="BN103" s="116"/>
      <c r="BO103" s="116"/>
      <c r="BP103" s="116"/>
      <c r="BQ103" s="116"/>
      <c r="BR103" s="116"/>
      <c r="BS103" s="116"/>
      <c r="BT103" s="116"/>
      <c r="BU103" s="116"/>
      <c r="BV103" s="116"/>
      <c r="BW103" s="116"/>
      <c r="BX103" s="116"/>
      <c r="BY103" s="116"/>
      <c r="BZ103" s="116"/>
      <c r="CA103" s="116"/>
      <c r="FL103" s="118"/>
      <c r="FM103" s="118"/>
    </row>
    <row r="104" spans="5:169" ht="15" customHeight="1">
      <c r="E104" s="57"/>
      <c r="F104" s="57"/>
      <c r="G104" s="144" t="s">
        <v>20</v>
      </c>
      <c r="H104" s="142">
        <f>AHSP!J$1093</f>
        <v>4.0000000000000001E-3</v>
      </c>
      <c r="I104" s="143"/>
      <c r="J104" s="161"/>
      <c r="K104" s="144"/>
      <c r="L104" s="1054"/>
      <c r="M104" s="144"/>
      <c r="N104" s="155"/>
      <c r="P104" s="132"/>
      <c r="BA104" s="116"/>
      <c r="BB104" s="116"/>
      <c r="BC104" s="116"/>
      <c r="BD104" s="116"/>
      <c r="BE104" s="116"/>
      <c r="BF104" s="116"/>
      <c r="BG104" s="116"/>
      <c r="BH104" s="116"/>
      <c r="BI104" s="116"/>
      <c r="BJ104" s="116"/>
      <c r="BK104" s="116"/>
      <c r="BL104" s="116"/>
      <c r="BM104" s="116"/>
      <c r="BN104" s="116"/>
      <c r="BO104" s="116"/>
      <c r="BP104" s="116"/>
      <c r="BQ104" s="116"/>
      <c r="BR104" s="116"/>
      <c r="BS104" s="116"/>
      <c r="BT104" s="116"/>
      <c r="BU104" s="116"/>
      <c r="BV104" s="116"/>
      <c r="BW104" s="116"/>
      <c r="BX104" s="116"/>
      <c r="BY104" s="116"/>
      <c r="BZ104" s="116"/>
      <c r="CA104" s="116"/>
      <c r="FL104" s="118"/>
      <c r="FM104" s="118"/>
    </row>
    <row r="105" spans="5:169" ht="15" customHeight="1">
      <c r="E105" s="57"/>
      <c r="F105" s="57" t="s">
        <v>1665</v>
      </c>
      <c r="G105" s="144" t="s">
        <v>1819</v>
      </c>
      <c r="H105" s="142">
        <f>AHSP!J$1163</f>
        <v>0.52</v>
      </c>
      <c r="I105" s="143"/>
      <c r="J105" s="161"/>
      <c r="K105" s="144"/>
      <c r="L105" s="1054"/>
      <c r="M105" s="144"/>
      <c r="N105" s="155"/>
      <c r="P105" s="132"/>
      <c r="BA105" s="116"/>
      <c r="BB105" s="116"/>
      <c r="BC105" s="116"/>
      <c r="BD105" s="116"/>
      <c r="BE105" s="116"/>
      <c r="BF105" s="116"/>
      <c r="BG105" s="116"/>
      <c r="BH105" s="116"/>
      <c r="BI105" s="116"/>
      <c r="BJ105" s="116"/>
      <c r="BK105" s="116"/>
      <c r="BL105" s="116"/>
      <c r="BM105" s="116"/>
      <c r="BN105" s="116"/>
      <c r="BO105" s="116"/>
      <c r="BP105" s="116"/>
      <c r="BQ105" s="116"/>
      <c r="BR105" s="116"/>
      <c r="BS105" s="116"/>
      <c r="BT105" s="116"/>
      <c r="BU105" s="116"/>
      <c r="BV105" s="116"/>
      <c r="BW105" s="116"/>
      <c r="BX105" s="116"/>
      <c r="BY105" s="116"/>
      <c r="BZ105" s="116"/>
      <c r="CA105" s="116"/>
      <c r="FL105" s="118"/>
      <c r="FM105" s="118"/>
    </row>
    <row r="106" spans="5:169" ht="15" customHeight="1">
      <c r="E106" s="57"/>
      <c r="F106" s="57"/>
      <c r="G106" s="144" t="s">
        <v>1824</v>
      </c>
      <c r="H106" s="142">
        <f>AHSP!J$1164</f>
        <v>0.26</v>
      </c>
      <c r="I106" s="143"/>
      <c r="J106" s="161"/>
      <c r="K106" s="144"/>
      <c r="L106" s="1054"/>
      <c r="M106" s="144"/>
      <c r="N106" s="155"/>
      <c r="P106" s="132"/>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FL106" s="118"/>
      <c r="FM106" s="118"/>
    </row>
    <row r="107" spans="5:169" ht="15" customHeight="1">
      <c r="E107" s="57"/>
      <c r="F107" s="57"/>
      <c r="G107" s="144" t="s">
        <v>1826</v>
      </c>
      <c r="H107" s="142">
        <f>AHSP!J$1165</f>
        <v>2.5999999999999999E-2</v>
      </c>
      <c r="I107" s="143"/>
      <c r="J107" s="161"/>
      <c r="K107" s="144"/>
      <c r="L107" s="1054"/>
      <c r="M107" s="144"/>
      <c r="N107" s="155"/>
      <c r="P107" s="132"/>
      <c r="BA107" s="116"/>
      <c r="BB107" s="116"/>
      <c r="BC107" s="116"/>
      <c r="BD107" s="116"/>
      <c r="BE107" s="116"/>
      <c r="BF107" s="116"/>
      <c r="BG107" s="116"/>
      <c r="BH107" s="116"/>
      <c r="BI107" s="116"/>
      <c r="BJ107" s="116"/>
      <c r="BK107" s="116"/>
      <c r="BL107" s="116"/>
      <c r="BM107" s="116"/>
      <c r="BN107" s="116"/>
      <c r="BO107" s="116"/>
      <c r="BP107" s="116"/>
      <c r="BQ107" s="116"/>
      <c r="BR107" s="116"/>
      <c r="BS107" s="116"/>
      <c r="BT107" s="116"/>
      <c r="BU107" s="116"/>
      <c r="BV107" s="116"/>
      <c r="BW107" s="116"/>
      <c r="BX107" s="116"/>
      <c r="BY107" s="116"/>
      <c r="BZ107" s="116"/>
      <c r="CA107" s="116"/>
      <c r="FL107" s="118"/>
      <c r="FM107" s="118"/>
    </row>
    <row r="108" spans="5:169" ht="15" customHeight="1">
      <c r="E108" s="57"/>
      <c r="F108" s="57"/>
      <c r="G108" s="144" t="s">
        <v>20</v>
      </c>
      <c r="H108" s="142">
        <f>AHSP!J$1166</f>
        <v>2.5999999999999999E-2</v>
      </c>
      <c r="I108" s="143"/>
      <c r="J108" s="161"/>
      <c r="K108" s="144"/>
      <c r="L108" s="1054"/>
      <c r="M108" s="144"/>
      <c r="N108" s="155"/>
      <c r="P108" s="132"/>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FL108" s="118"/>
      <c r="FM108" s="118"/>
    </row>
    <row r="109" spans="5:169" ht="15" customHeight="1">
      <c r="E109" s="57"/>
      <c r="F109" s="57" t="s">
        <v>1666</v>
      </c>
      <c r="G109" s="144" t="s">
        <v>1819</v>
      </c>
      <c r="H109" s="142">
        <f>AHSP!J$896</f>
        <v>1.65</v>
      </c>
      <c r="I109" s="143"/>
      <c r="J109" s="161"/>
      <c r="K109" s="144"/>
      <c r="L109" s="1054"/>
      <c r="M109" s="144"/>
      <c r="N109" s="155"/>
      <c r="P109" s="132"/>
      <c r="BA109" s="116"/>
      <c r="BB109" s="116"/>
      <c r="BC109" s="116"/>
      <c r="BD109" s="116"/>
      <c r="BE109" s="116"/>
      <c r="BF109" s="116"/>
      <c r="BG109" s="116"/>
      <c r="BH109" s="116"/>
      <c r="BI109" s="116"/>
      <c r="BJ109" s="116"/>
      <c r="BK109" s="116"/>
      <c r="BL109" s="116"/>
      <c r="BM109" s="116"/>
      <c r="BN109" s="116"/>
      <c r="BO109" s="116"/>
      <c r="BP109" s="116"/>
      <c r="BQ109" s="116"/>
      <c r="BR109" s="116"/>
      <c r="BS109" s="116"/>
      <c r="BT109" s="116"/>
      <c r="BU109" s="116"/>
      <c r="BV109" s="116"/>
      <c r="BW109" s="116"/>
      <c r="BX109" s="116"/>
      <c r="BY109" s="116"/>
      <c r="BZ109" s="116"/>
      <c r="CA109" s="116"/>
      <c r="FL109" s="118"/>
      <c r="FM109" s="118"/>
    </row>
    <row r="110" spans="5:169" ht="15" customHeight="1">
      <c r="E110" s="57"/>
      <c r="F110" s="57"/>
      <c r="G110" s="144" t="s">
        <v>1824</v>
      </c>
      <c r="H110" s="142">
        <f>AHSP!J$897</f>
        <v>0.27500000000000002</v>
      </c>
      <c r="I110" s="143"/>
      <c r="J110" s="161"/>
      <c r="K110" s="144"/>
      <c r="L110" s="1054"/>
      <c r="M110" s="144"/>
      <c r="N110" s="155"/>
      <c r="P110" s="132"/>
      <c r="BA110" s="116"/>
      <c r="BB110" s="116"/>
      <c r="BC110" s="116"/>
      <c r="BD110" s="116"/>
      <c r="BE110" s="116"/>
      <c r="BF110" s="116"/>
      <c r="BG110" s="116"/>
      <c r="BH110" s="116"/>
      <c r="BI110" s="116"/>
      <c r="BJ110" s="116"/>
      <c r="BK110" s="116"/>
      <c r="BL110" s="116"/>
      <c r="BM110" s="116"/>
      <c r="BN110" s="116"/>
      <c r="BO110" s="116"/>
      <c r="BP110" s="116"/>
      <c r="BQ110" s="116"/>
      <c r="BR110" s="116"/>
      <c r="BS110" s="116"/>
      <c r="BT110" s="116"/>
      <c r="BU110" s="116"/>
      <c r="BV110" s="116"/>
      <c r="BW110" s="116"/>
      <c r="BX110" s="116"/>
      <c r="BY110" s="116"/>
      <c r="BZ110" s="116"/>
      <c r="CA110" s="116"/>
      <c r="FL110" s="118"/>
      <c r="FM110" s="118"/>
    </row>
    <row r="111" spans="5:169" ht="15" customHeight="1">
      <c r="E111" s="57"/>
      <c r="F111" s="57"/>
      <c r="G111" s="144" t="s">
        <v>1826</v>
      </c>
      <c r="H111" s="142">
        <f>AHSP!J$898</f>
        <v>2.8000000000000001E-2</v>
      </c>
      <c r="I111" s="143"/>
      <c r="J111" s="161"/>
      <c r="K111" s="144"/>
      <c r="L111" s="1054"/>
      <c r="M111" s="144"/>
      <c r="N111" s="155"/>
      <c r="P111" s="132"/>
      <c r="BA111" s="116"/>
      <c r="BB111" s="116"/>
      <c r="BC111" s="116"/>
      <c r="BD111" s="116"/>
      <c r="BE111" s="116"/>
      <c r="BF111" s="116"/>
      <c r="BG111" s="116"/>
      <c r="BH111" s="116"/>
      <c r="BI111" s="116"/>
      <c r="BJ111" s="116"/>
      <c r="BK111" s="116"/>
      <c r="BL111" s="116"/>
      <c r="BM111" s="116"/>
      <c r="BN111" s="116"/>
      <c r="BO111" s="116"/>
      <c r="BP111" s="116"/>
      <c r="BQ111" s="116"/>
      <c r="BR111" s="116"/>
      <c r="BS111" s="116"/>
      <c r="BT111" s="116"/>
      <c r="BU111" s="116"/>
      <c r="BV111" s="116"/>
      <c r="BW111" s="116"/>
      <c r="BX111" s="116"/>
      <c r="BY111" s="116"/>
      <c r="BZ111" s="116"/>
      <c r="CA111" s="116"/>
      <c r="FL111" s="118"/>
      <c r="FM111" s="118"/>
    </row>
    <row r="112" spans="5:169" ht="15" customHeight="1">
      <c r="E112" s="57"/>
      <c r="F112" s="57"/>
      <c r="G112" s="144" t="s">
        <v>20</v>
      </c>
      <c r="H112" s="142">
        <f>AHSP!J$899</f>
        <v>8.3000000000000004E-2</v>
      </c>
      <c r="I112" s="143"/>
      <c r="J112" s="161"/>
      <c r="K112" s="144"/>
      <c r="L112" s="1054"/>
      <c r="M112" s="144"/>
      <c r="N112" s="155"/>
      <c r="P112" s="132"/>
      <c r="BA112" s="116"/>
      <c r="BB112" s="116"/>
      <c r="BC112" s="116"/>
      <c r="BD112" s="116"/>
      <c r="BE112" s="116"/>
      <c r="BF112" s="116"/>
      <c r="BG112" s="116"/>
      <c r="BH112" s="116"/>
      <c r="BI112" s="116"/>
      <c r="BJ112" s="116"/>
      <c r="BK112" s="116"/>
      <c r="BL112" s="116"/>
      <c r="BM112" s="116"/>
      <c r="BN112" s="116"/>
      <c r="BO112" s="116"/>
      <c r="BP112" s="116"/>
      <c r="BQ112" s="116"/>
      <c r="BR112" s="116"/>
      <c r="BS112" s="116"/>
      <c r="BT112" s="116"/>
      <c r="BU112" s="116"/>
      <c r="BV112" s="116"/>
      <c r="BW112" s="116"/>
      <c r="BX112" s="116"/>
      <c r="BY112" s="116"/>
      <c r="BZ112" s="116"/>
      <c r="CA112" s="116"/>
      <c r="FL112" s="118"/>
      <c r="FM112" s="118"/>
    </row>
    <row r="113" spans="5:169" ht="15" customHeight="1">
      <c r="E113" s="57"/>
      <c r="F113" s="57" t="s">
        <v>48</v>
      </c>
      <c r="G113" s="144"/>
      <c r="H113" s="142"/>
      <c r="I113" s="143"/>
      <c r="J113" s="161"/>
      <c r="K113" s="144"/>
      <c r="L113" s="1054"/>
      <c r="M113" s="144"/>
      <c r="N113" s="155"/>
      <c r="P113" s="132"/>
      <c r="BA113" s="116"/>
      <c r="BB113" s="116"/>
      <c r="BC113" s="116"/>
      <c r="BD113" s="116"/>
      <c r="BE113" s="116"/>
      <c r="BF113" s="116"/>
      <c r="BG113" s="116"/>
      <c r="BH113" s="116"/>
      <c r="BI113" s="116"/>
      <c r="BJ113" s="116"/>
      <c r="BK113" s="116"/>
      <c r="BL113" s="116"/>
      <c r="BM113" s="116"/>
      <c r="BN113" s="116"/>
      <c r="BO113" s="116"/>
      <c r="BP113" s="116"/>
      <c r="BQ113" s="116"/>
      <c r="BR113" s="116"/>
      <c r="BS113" s="116"/>
      <c r="BT113" s="116"/>
      <c r="BU113" s="116"/>
      <c r="BV113" s="116"/>
      <c r="BW113" s="116"/>
      <c r="BX113" s="116"/>
      <c r="BY113" s="116"/>
      <c r="BZ113" s="116"/>
      <c r="CA113" s="116"/>
      <c r="FL113" s="118"/>
      <c r="FM113" s="118"/>
    </row>
    <row r="114" spans="5:169" ht="15" customHeight="1">
      <c r="E114" s="57"/>
      <c r="F114" s="57" t="s">
        <v>1664</v>
      </c>
      <c r="G114" s="144"/>
      <c r="H114" s="142"/>
      <c r="I114" s="143"/>
      <c r="J114" s="161"/>
      <c r="K114" s="144"/>
      <c r="L114" s="1054"/>
      <c r="M114" s="144"/>
      <c r="N114" s="155"/>
      <c r="P114" s="132"/>
      <c r="BA114" s="116"/>
      <c r="BB114" s="116"/>
      <c r="BC114" s="116"/>
      <c r="BD114" s="116"/>
      <c r="BE114" s="116"/>
      <c r="BF114" s="116"/>
      <c r="BG114" s="116"/>
      <c r="BH114" s="116"/>
      <c r="BI114" s="116"/>
      <c r="BJ114" s="116"/>
      <c r="BK114" s="116"/>
      <c r="BL114" s="116"/>
      <c r="BM114" s="116"/>
      <c r="BN114" s="116"/>
      <c r="BO114" s="116"/>
      <c r="BP114" s="116"/>
      <c r="BQ114" s="116"/>
      <c r="BR114" s="116"/>
      <c r="BS114" s="116"/>
      <c r="BT114" s="116"/>
      <c r="BU114" s="116"/>
      <c r="BV114" s="116"/>
      <c r="BW114" s="116"/>
      <c r="BX114" s="116"/>
      <c r="BY114" s="116"/>
      <c r="BZ114" s="116"/>
      <c r="CA114" s="116"/>
      <c r="FL114" s="118"/>
      <c r="FM114" s="118"/>
    </row>
    <row r="115" spans="5:169" ht="15" customHeight="1">
      <c r="E115" s="57"/>
      <c r="F115" s="57" t="s">
        <v>1665</v>
      </c>
      <c r="G115" s="144"/>
      <c r="H115" s="142"/>
      <c r="I115" s="143"/>
      <c r="J115" s="161"/>
      <c r="K115" s="144"/>
      <c r="L115" s="1054"/>
      <c r="M115" s="144"/>
      <c r="N115" s="155"/>
      <c r="P115" s="132"/>
      <c r="BA115" s="116"/>
      <c r="BB115" s="116"/>
      <c r="BC115" s="116"/>
      <c r="BD115" s="116"/>
      <c r="BE115" s="116"/>
      <c r="BF115" s="116"/>
      <c r="BG115" s="116"/>
      <c r="BH115" s="116"/>
      <c r="BI115" s="116"/>
      <c r="BJ115" s="116"/>
      <c r="BK115" s="116"/>
      <c r="BL115" s="116"/>
      <c r="BM115" s="116"/>
      <c r="BN115" s="116"/>
      <c r="BO115" s="116"/>
      <c r="BP115" s="116"/>
      <c r="BQ115" s="116"/>
      <c r="BR115" s="116"/>
      <c r="BS115" s="116"/>
      <c r="BT115" s="116"/>
      <c r="BU115" s="116"/>
      <c r="BV115" s="116"/>
      <c r="BW115" s="116"/>
      <c r="BX115" s="116"/>
      <c r="BY115" s="116"/>
      <c r="BZ115" s="116"/>
      <c r="CA115" s="116"/>
      <c r="FL115" s="118"/>
      <c r="FM115" s="118"/>
    </row>
    <row r="116" spans="5:169" ht="15" customHeight="1">
      <c r="E116" s="57"/>
      <c r="F116" s="57" t="s">
        <v>1666</v>
      </c>
      <c r="G116" s="144"/>
      <c r="H116" s="142"/>
      <c r="I116" s="143"/>
      <c r="J116" s="161"/>
      <c r="K116" s="144"/>
      <c r="L116" s="1054"/>
      <c r="M116" s="144"/>
      <c r="N116" s="155"/>
      <c r="P116" s="132"/>
      <c r="BA116" s="116"/>
      <c r="BB116" s="116"/>
      <c r="BC116" s="116"/>
      <c r="BD116" s="116"/>
      <c r="BE116" s="116"/>
      <c r="BF116" s="116"/>
      <c r="BG116" s="116"/>
      <c r="BH116" s="116"/>
      <c r="BI116" s="116"/>
      <c r="BJ116" s="116"/>
      <c r="BK116" s="116"/>
      <c r="BL116" s="116"/>
      <c r="BM116" s="116"/>
      <c r="BN116" s="116"/>
      <c r="BO116" s="116"/>
      <c r="BP116" s="116"/>
      <c r="BQ116" s="116"/>
      <c r="BR116" s="116"/>
      <c r="BS116" s="116"/>
      <c r="BT116" s="116"/>
      <c r="BU116" s="116"/>
      <c r="BV116" s="116"/>
      <c r="BW116" s="116"/>
      <c r="BX116" s="116"/>
      <c r="BY116" s="116"/>
      <c r="BZ116" s="116"/>
      <c r="CA116" s="116"/>
      <c r="FL116" s="118"/>
      <c r="FM116" s="118"/>
    </row>
    <row r="117" spans="5:169" ht="15" customHeight="1">
      <c r="E117" s="57"/>
      <c r="F117" s="57"/>
      <c r="G117" s="144"/>
      <c r="H117" s="142"/>
      <c r="I117" s="143"/>
      <c r="J117" s="161"/>
      <c r="K117" s="144"/>
      <c r="L117" s="1054"/>
      <c r="M117" s="144"/>
      <c r="N117" s="155"/>
      <c r="P117" s="132"/>
      <c r="BA117" s="116"/>
      <c r="BB117" s="116"/>
      <c r="BC117" s="116"/>
      <c r="BD117" s="116"/>
      <c r="BE117" s="116"/>
      <c r="BF117" s="116"/>
      <c r="BG117" s="116"/>
      <c r="BH117" s="116"/>
      <c r="BI117" s="116"/>
      <c r="BJ117" s="116"/>
      <c r="BK117" s="116"/>
      <c r="BL117" s="116"/>
      <c r="BM117" s="116"/>
      <c r="BN117" s="116"/>
      <c r="BO117" s="116"/>
      <c r="BP117" s="116"/>
      <c r="BQ117" s="116"/>
      <c r="BR117" s="116"/>
      <c r="BS117" s="116"/>
      <c r="BT117" s="116"/>
      <c r="BU117" s="116"/>
      <c r="BV117" s="116"/>
      <c r="BW117" s="116"/>
      <c r="BX117" s="116"/>
      <c r="BY117" s="116"/>
      <c r="BZ117" s="116"/>
      <c r="CA117" s="116"/>
      <c r="FL117" s="118"/>
      <c r="FM117" s="118"/>
    </row>
    <row r="118" spans="5:169" ht="15" customHeight="1">
      <c r="E118" s="57"/>
      <c r="F118" s="57" t="s">
        <v>49</v>
      </c>
      <c r="G118" s="144"/>
      <c r="H118" s="142"/>
      <c r="I118" s="143"/>
      <c r="J118" s="161"/>
      <c r="K118" s="144"/>
      <c r="L118" s="1054"/>
      <c r="M118" s="144"/>
      <c r="N118" s="155"/>
      <c r="P118" s="132"/>
      <c r="BA118" s="116"/>
      <c r="BB118" s="116"/>
      <c r="BC118" s="116"/>
      <c r="BD118" s="116"/>
      <c r="BE118" s="116"/>
      <c r="BF118" s="116"/>
      <c r="BG118" s="116"/>
      <c r="BH118" s="116"/>
      <c r="BI118" s="116"/>
      <c r="BJ118" s="116"/>
      <c r="BK118" s="116"/>
      <c r="BL118" s="116"/>
      <c r="BM118" s="116"/>
      <c r="BN118" s="116"/>
      <c r="BO118" s="116"/>
      <c r="BP118" s="116"/>
      <c r="BQ118" s="116"/>
      <c r="BR118" s="116"/>
      <c r="BS118" s="116"/>
      <c r="BT118" s="116"/>
      <c r="BU118" s="116"/>
      <c r="BV118" s="116"/>
      <c r="BW118" s="116"/>
      <c r="BX118" s="116"/>
      <c r="BY118" s="116"/>
      <c r="BZ118" s="116"/>
      <c r="CA118" s="116"/>
      <c r="FL118" s="118"/>
      <c r="FM118" s="118"/>
    </row>
    <row r="119" spans="5:169" ht="15" customHeight="1">
      <c r="E119" s="57"/>
      <c r="F119" s="57" t="s">
        <v>1664</v>
      </c>
      <c r="G119" s="144"/>
      <c r="H119" s="142"/>
      <c r="I119" s="143"/>
      <c r="J119" s="161"/>
      <c r="K119" s="144"/>
      <c r="L119" s="1054"/>
      <c r="M119" s="144"/>
      <c r="N119" s="155"/>
      <c r="P119" s="132"/>
      <c r="BA119" s="116"/>
      <c r="BB119" s="116"/>
      <c r="BC119" s="116"/>
      <c r="BD119" s="116"/>
      <c r="BE119" s="116"/>
      <c r="BF119" s="116"/>
      <c r="BG119" s="116"/>
      <c r="BH119" s="116"/>
      <c r="BI119" s="116"/>
      <c r="BJ119" s="116"/>
      <c r="BK119" s="116"/>
      <c r="BL119" s="116"/>
      <c r="BM119" s="116"/>
      <c r="BN119" s="116"/>
      <c r="BO119" s="116"/>
      <c r="BP119" s="116"/>
      <c r="BQ119" s="116"/>
      <c r="BR119" s="116"/>
      <c r="BS119" s="116"/>
      <c r="BT119" s="116"/>
      <c r="BU119" s="116"/>
      <c r="BV119" s="116"/>
      <c r="BW119" s="116"/>
      <c r="BX119" s="116"/>
      <c r="BY119" s="116"/>
      <c r="BZ119" s="116"/>
      <c r="CA119" s="116"/>
      <c r="FL119" s="118"/>
      <c r="FM119" s="118"/>
    </row>
    <row r="120" spans="5:169" ht="15" customHeight="1">
      <c r="E120" s="57"/>
      <c r="F120" s="57" t="s">
        <v>1665</v>
      </c>
      <c r="G120" s="144"/>
      <c r="H120" s="142"/>
      <c r="I120" s="143"/>
      <c r="J120" s="161"/>
      <c r="K120" s="144"/>
      <c r="L120" s="1054"/>
      <c r="M120" s="144"/>
      <c r="N120" s="155"/>
      <c r="P120" s="132"/>
      <c r="BA120" s="116"/>
      <c r="BB120" s="116"/>
      <c r="BC120" s="116"/>
      <c r="BD120" s="116"/>
      <c r="BE120" s="116"/>
      <c r="BF120" s="116"/>
      <c r="BG120" s="116"/>
      <c r="BH120" s="116"/>
      <c r="BI120" s="116"/>
      <c r="BJ120" s="116"/>
      <c r="BK120" s="116"/>
      <c r="BL120" s="116"/>
      <c r="BM120" s="116"/>
      <c r="BN120" s="116"/>
      <c r="BO120" s="116"/>
      <c r="BP120" s="116"/>
      <c r="BQ120" s="116"/>
      <c r="BR120" s="116"/>
      <c r="BS120" s="116"/>
      <c r="BT120" s="116"/>
      <c r="BU120" s="116"/>
      <c r="BV120" s="116"/>
      <c r="BW120" s="116"/>
      <c r="BX120" s="116"/>
      <c r="BY120" s="116"/>
      <c r="BZ120" s="116"/>
      <c r="CA120" s="116"/>
      <c r="FL120" s="118"/>
      <c r="FM120" s="118"/>
    </row>
    <row r="121" spans="5:169" ht="15" customHeight="1">
      <c r="E121" s="57"/>
      <c r="F121" s="57" t="s">
        <v>1666</v>
      </c>
      <c r="G121" s="144"/>
      <c r="H121" s="142"/>
      <c r="I121" s="143"/>
      <c r="J121" s="161"/>
      <c r="K121" s="144"/>
      <c r="L121" s="1054"/>
      <c r="M121" s="144"/>
      <c r="N121" s="155"/>
      <c r="P121" s="132"/>
      <c r="BA121" s="116"/>
      <c r="BB121" s="116"/>
      <c r="BC121" s="116"/>
      <c r="BD121" s="116"/>
      <c r="BE121" s="116"/>
      <c r="BF121" s="116"/>
      <c r="BG121" s="116"/>
      <c r="BH121" s="116"/>
      <c r="BI121" s="116"/>
      <c r="BJ121" s="116"/>
      <c r="BK121" s="116"/>
      <c r="BL121" s="116"/>
      <c r="BM121" s="116"/>
      <c r="BN121" s="116"/>
      <c r="BO121" s="116"/>
      <c r="BP121" s="116"/>
      <c r="BQ121" s="116"/>
      <c r="BR121" s="116"/>
      <c r="BS121" s="116"/>
      <c r="BT121" s="116"/>
      <c r="BU121" s="116"/>
      <c r="BV121" s="116"/>
      <c r="BW121" s="116"/>
      <c r="BX121" s="116"/>
      <c r="BY121" s="116"/>
      <c r="BZ121" s="116"/>
      <c r="CA121" s="116"/>
      <c r="FL121" s="118"/>
      <c r="FM121" s="118"/>
    </row>
    <row r="122" spans="5:169" ht="15" customHeight="1">
      <c r="E122" s="57"/>
      <c r="F122" s="57"/>
      <c r="G122" s="144"/>
      <c r="H122" s="142"/>
      <c r="I122" s="143"/>
      <c r="J122" s="161"/>
      <c r="K122" s="144"/>
      <c r="L122" s="1054"/>
      <c r="M122" s="144"/>
      <c r="N122" s="155"/>
      <c r="P122" s="132"/>
      <c r="BA122" s="116"/>
      <c r="BB122" s="116"/>
      <c r="BC122" s="116"/>
      <c r="BD122" s="116"/>
      <c r="BE122" s="116"/>
      <c r="BF122" s="116"/>
      <c r="BG122" s="116"/>
      <c r="BH122" s="116"/>
      <c r="BI122" s="116"/>
      <c r="BJ122" s="116"/>
      <c r="BK122" s="116"/>
      <c r="BL122" s="116"/>
      <c r="BM122" s="116"/>
      <c r="BN122" s="116"/>
      <c r="BO122" s="116"/>
      <c r="BP122" s="116"/>
      <c r="BQ122" s="116"/>
      <c r="BR122" s="116"/>
      <c r="BS122" s="116"/>
      <c r="BT122" s="116"/>
      <c r="BU122" s="116"/>
      <c r="BV122" s="116"/>
      <c r="BW122" s="116"/>
      <c r="BX122" s="116"/>
      <c r="BY122" s="116"/>
      <c r="BZ122" s="116"/>
      <c r="CA122" s="116"/>
      <c r="FL122" s="118"/>
      <c r="FM122" s="118"/>
    </row>
    <row r="123" spans="5:169" ht="15" customHeight="1">
      <c r="E123" s="57"/>
      <c r="F123" s="149" t="s">
        <v>28</v>
      </c>
      <c r="G123" s="163"/>
      <c r="H123" s="149"/>
      <c r="I123" s="147"/>
      <c r="J123" s="162"/>
      <c r="K123" s="144"/>
      <c r="L123" s="1054"/>
      <c r="M123" s="144"/>
      <c r="N123" s="155"/>
      <c r="P123" s="132"/>
      <c r="BA123" s="116"/>
      <c r="BB123" s="116"/>
      <c r="BC123" s="116"/>
      <c r="BD123" s="116"/>
      <c r="BE123" s="116"/>
      <c r="BF123" s="116"/>
      <c r="BG123" s="116"/>
      <c r="BH123" s="116"/>
      <c r="BI123" s="116"/>
      <c r="BJ123" s="116"/>
      <c r="BK123" s="116"/>
      <c r="BL123" s="116"/>
      <c r="BM123" s="116"/>
      <c r="BN123" s="116"/>
      <c r="BO123" s="116"/>
      <c r="BP123" s="116"/>
      <c r="BQ123" s="116"/>
      <c r="BR123" s="116"/>
      <c r="BS123" s="116"/>
      <c r="BT123" s="116"/>
      <c r="BU123" s="116"/>
      <c r="BV123" s="116"/>
      <c r="BW123" s="116"/>
      <c r="BX123" s="116"/>
      <c r="BY123" s="116"/>
      <c r="BZ123" s="116"/>
      <c r="CA123" s="116"/>
      <c r="FL123" s="118"/>
      <c r="FM123" s="118"/>
    </row>
    <row r="124" spans="5:169" ht="15" customHeight="1">
      <c r="E124" s="57"/>
      <c r="F124" s="57" t="s">
        <v>1884</v>
      </c>
      <c r="G124" s="144" t="s">
        <v>1819</v>
      </c>
      <c r="H124" s="142">
        <v>4.8499999999999996</v>
      </c>
      <c r="I124" s="143">
        <f>1/H124</f>
        <v>0.2061855670103093</v>
      </c>
      <c r="J124" s="161">
        <v>0</v>
      </c>
      <c r="K124" s="144">
        <f>J124/I124</f>
        <v>0</v>
      </c>
      <c r="L124" s="1054">
        <v>5</v>
      </c>
      <c r="M124" s="144">
        <f>K124/L124</f>
        <v>0</v>
      </c>
      <c r="N124" s="155">
        <v>4</v>
      </c>
      <c r="P124" s="132"/>
      <c r="BA124" s="116"/>
      <c r="BB124" s="116"/>
      <c r="BC124" s="116"/>
      <c r="BD124" s="116"/>
      <c r="BE124" s="116"/>
      <c r="BF124" s="116"/>
      <c r="BG124" s="116"/>
      <c r="BH124" s="116"/>
      <c r="BI124" s="116"/>
      <c r="BJ124" s="116"/>
      <c r="BK124" s="116"/>
      <c r="BL124" s="116"/>
      <c r="BM124" s="116"/>
      <c r="BN124" s="116"/>
      <c r="BO124" s="116"/>
      <c r="BP124" s="116"/>
      <c r="BQ124" s="116"/>
      <c r="BR124" s="116"/>
      <c r="BS124" s="116"/>
      <c r="BT124" s="116"/>
      <c r="BU124" s="116"/>
      <c r="BV124" s="116"/>
      <c r="BW124" s="116"/>
      <c r="BX124" s="116"/>
      <c r="BY124" s="116"/>
      <c r="BZ124" s="116"/>
      <c r="CA124" s="116"/>
      <c r="FL124" s="118"/>
      <c r="FM124" s="118"/>
    </row>
    <row r="125" spans="5:169" ht="15" customHeight="1">
      <c r="E125" s="57"/>
      <c r="F125" s="57"/>
      <c r="G125" s="144" t="s">
        <v>1824</v>
      </c>
      <c r="H125" s="142">
        <v>1.4</v>
      </c>
      <c r="I125" s="143">
        <f>1/H125</f>
        <v>0.7142857142857143</v>
      </c>
      <c r="J125" s="161">
        <v>0</v>
      </c>
      <c r="K125" s="144">
        <f>J125/I125</f>
        <v>0</v>
      </c>
      <c r="L125" s="1054">
        <v>5</v>
      </c>
      <c r="M125" s="144">
        <f>K125/L125</f>
        <v>0</v>
      </c>
      <c r="N125" s="155">
        <v>1</v>
      </c>
      <c r="P125" s="132"/>
      <c r="BA125" s="116"/>
      <c r="BB125" s="116"/>
      <c r="BC125" s="116"/>
      <c r="BD125" s="116"/>
      <c r="BE125" s="116"/>
      <c r="BF125" s="116"/>
      <c r="BG125" s="116"/>
      <c r="BH125" s="116"/>
      <c r="BI125" s="116"/>
      <c r="BJ125" s="116"/>
      <c r="BK125" s="116"/>
      <c r="BL125" s="116"/>
      <c r="BM125" s="116"/>
      <c r="BN125" s="116"/>
      <c r="BO125" s="116"/>
      <c r="BP125" s="116"/>
      <c r="BQ125" s="116"/>
      <c r="BR125" s="116"/>
      <c r="BS125" s="116"/>
      <c r="BT125" s="116"/>
      <c r="BU125" s="116"/>
      <c r="BV125" s="116"/>
      <c r="BW125" s="116"/>
      <c r="BX125" s="116"/>
      <c r="BY125" s="116"/>
      <c r="BZ125" s="116"/>
      <c r="CA125" s="116"/>
      <c r="FL125" s="118"/>
      <c r="FM125" s="118"/>
    </row>
    <row r="126" spans="5:169" ht="15" customHeight="1">
      <c r="E126" s="57"/>
      <c r="F126" s="57"/>
      <c r="G126" s="144" t="s">
        <v>1826</v>
      </c>
      <c r="H126" s="142">
        <v>0.33100000000000002</v>
      </c>
      <c r="I126" s="143">
        <f>1/H126</f>
        <v>3.0211480362537761</v>
      </c>
      <c r="J126" s="161">
        <v>0</v>
      </c>
      <c r="K126" s="144">
        <f>J126/I126</f>
        <v>0</v>
      </c>
      <c r="L126" s="1054">
        <v>5</v>
      </c>
      <c r="M126" s="144">
        <f>K126/L126</f>
        <v>0</v>
      </c>
      <c r="N126" s="155">
        <v>1</v>
      </c>
      <c r="P126" s="132"/>
      <c r="BA126" s="116"/>
      <c r="BB126" s="116"/>
      <c r="BC126" s="116"/>
      <c r="BD126" s="116"/>
      <c r="BE126" s="116"/>
      <c r="BF126" s="116"/>
      <c r="BG126" s="116"/>
      <c r="BH126" s="116"/>
      <c r="BI126" s="116"/>
      <c r="BJ126" s="116"/>
      <c r="BK126" s="116"/>
      <c r="BL126" s="116"/>
      <c r="BM126" s="116"/>
      <c r="BN126" s="116"/>
      <c r="BO126" s="116"/>
      <c r="BP126" s="116"/>
      <c r="BQ126" s="116"/>
      <c r="BR126" s="116"/>
      <c r="BS126" s="116"/>
      <c r="BT126" s="116"/>
      <c r="BU126" s="116"/>
      <c r="BV126" s="116"/>
      <c r="BW126" s="116"/>
      <c r="BX126" s="116"/>
      <c r="BY126" s="116"/>
      <c r="BZ126" s="116"/>
      <c r="CA126" s="116"/>
      <c r="FL126" s="118"/>
      <c r="FM126" s="118"/>
    </row>
    <row r="127" spans="5:169" ht="15" customHeight="1">
      <c r="E127" s="57"/>
      <c r="F127" s="57"/>
      <c r="G127" s="144" t="s">
        <v>20</v>
      </c>
      <c r="H127" s="142">
        <v>0.17</v>
      </c>
      <c r="I127" s="143">
        <f>1/H127</f>
        <v>5.8823529411764701</v>
      </c>
      <c r="J127" s="161">
        <v>0</v>
      </c>
      <c r="K127" s="144">
        <f>J127/I127</f>
        <v>0</v>
      </c>
      <c r="L127" s="1054">
        <v>5</v>
      </c>
      <c r="M127" s="144">
        <f>K127/L127</f>
        <v>0</v>
      </c>
      <c r="N127" s="155">
        <v>1</v>
      </c>
      <c r="P127" s="132"/>
      <c r="BA127" s="116"/>
      <c r="BB127" s="116"/>
      <c r="BC127" s="116"/>
      <c r="BD127" s="116"/>
      <c r="BE127" s="116"/>
      <c r="BF127" s="116"/>
      <c r="BG127" s="116"/>
      <c r="BH127" s="116"/>
      <c r="BI127" s="116"/>
      <c r="BJ127" s="116"/>
      <c r="BK127" s="116"/>
      <c r="BL127" s="116"/>
      <c r="BM127" s="116"/>
      <c r="BN127" s="116"/>
      <c r="BO127" s="116"/>
      <c r="BP127" s="116"/>
      <c r="BQ127" s="116"/>
      <c r="BR127" s="116"/>
      <c r="BS127" s="116"/>
      <c r="BT127" s="116"/>
      <c r="BU127" s="116"/>
      <c r="BV127" s="116"/>
      <c r="BW127" s="116"/>
      <c r="BX127" s="116"/>
      <c r="BY127" s="116"/>
      <c r="BZ127" s="116"/>
      <c r="CA127" s="116"/>
      <c r="FL127" s="118"/>
      <c r="FM127" s="118"/>
    </row>
    <row r="128" spans="5:169" ht="15" customHeight="1">
      <c r="E128" s="57"/>
      <c r="F128" s="149"/>
      <c r="G128" s="163"/>
      <c r="H128" s="149"/>
      <c r="I128" s="147"/>
      <c r="J128" s="162"/>
      <c r="K128" s="144"/>
      <c r="L128" s="1054"/>
      <c r="M128" s="144"/>
      <c r="N128" s="155"/>
      <c r="P128" s="132"/>
      <c r="BA128" s="116"/>
      <c r="BB128" s="116"/>
      <c r="BC128" s="116"/>
      <c r="BD128" s="116"/>
      <c r="BE128" s="116"/>
      <c r="BF128" s="116"/>
      <c r="BG128" s="116"/>
      <c r="BH128" s="116"/>
      <c r="BI128" s="116"/>
      <c r="BJ128" s="116"/>
      <c r="BK128" s="116"/>
      <c r="BL128" s="116"/>
      <c r="BM128" s="116"/>
      <c r="BN128" s="116"/>
      <c r="BO128" s="116"/>
      <c r="BP128" s="116"/>
      <c r="BQ128" s="116"/>
      <c r="BR128" s="116"/>
      <c r="BS128" s="116"/>
      <c r="BT128" s="116"/>
      <c r="BU128" s="116"/>
      <c r="BV128" s="116"/>
      <c r="BW128" s="116"/>
      <c r="BX128" s="116"/>
      <c r="BY128" s="116"/>
      <c r="BZ128" s="116"/>
      <c r="CA128" s="116"/>
      <c r="FL128" s="118"/>
      <c r="FM128" s="118"/>
    </row>
    <row r="129" spans="5:169" ht="15" customHeight="1">
      <c r="E129" s="57"/>
      <c r="F129" s="57" t="s">
        <v>1889</v>
      </c>
      <c r="G129" s="144" t="s">
        <v>1819</v>
      </c>
      <c r="H129" s="142">
        <v>4.8499999999999996</v>
      </c>
      <c r="I129" s="143">
        <f>1/H129</f>
        <v>0.2061855670103093</v>
      </c>
      <c r="J129" s="161">
        <v>0</v>
      </c>
      <c r="K129" s="144">
        <f>J129/I129</f>
        <v>0</v>
      </c>
      <c r="L129" s="1054">
        <v>3</v>
      </c>
      <c r="M129" s="144">
        <f>K129/L129</f>
        <v>0</v>
      </c>
      <c r="N129" s="155">
        <v>5</v>
      </c>
      <c r="P129" s="132"/>
      <c r="BA129" s="116"/>
      <c r="BB129" s="116"/>
      <c r="BC129" s="116"/>
      <c r="BD129" s="116"/>
      <c r="BE129" s="116"/>
      <c r="BF129" s="116"/>
      <c r="BG129" s="116"/>
      <c r="BH129" s="116"/>
      <c r="BI129" s="116"/>
      <c r="BJ129" s="116"/>
      <c r="BK129" s="116"/>
      <c r="BL129" s="116"/>
      <c r="BM129" s="116"/>
      <c r="BN129" s="116"/>
      <c r="BO129" s="116"/>
      <c r="BP129" s="116"/>
      <c r="BQ129" s="116"/>
      <c r="BR129" s="116"/>
      <c r="BS129" s="116"/>
      <c r="BT129" s="116"/>
      <c r="BU129" s="116"/>
      <c r="BV129" s="116"/>
      <c r="BW129" s="116"/>
      <c r="BX129" s="116"/>
      <c r="BY129" s="116"/>
      <c r="BZ129" s="116"/>
      <c r="CA129" s="116"/>
      <c r="FL129" s="118"/>
      <c r="FM129" s="118"/>
    </row>
    <row r="130" spans="5:169" ht="15" customHeight="1">
      <c r="E130" s="57"/>
      <c r="F130" s="57"/>
      <c r="G130" s="144" t="s">
        <v>1824</v>
      </c>
      <c r="H130" s="142">
        <v>1.4</v>
      </c>
      <c r="I130" s="143">
        <f>1/H130</f>
        <v>0.7142857142857143</v>
      </c>
      <c r="J130" s="161">
        <v>0</v>
      </c>
      <c r="K130" s="144">
        <f>J130/I130</f>
        <v>0</v>
      </c>
      <c r="L130" s="1054">
        <v>3</v>
      </c>
      <c r="M130" s="144">
        <f>K130/L130</f>
        <v>0</v>
      </c>
      <c r="N130" s="155">
        <v>2</v>
      </c>
    </row>
    <row r="131" spans="5:169" ht="15" customHeight="1">
      <c r="E131" s="57"/>
      <c r="F131" s="57"/>
      <c r="G131" s="144" t="s">
        <v>1826</v>
      </c>
      <c r="H131" s="142">
        <v>0.33100000000000002</v>
      </c>
      <c r="I131" s="143">
        <f>1/H131</f>
        <v>3.0211480362537761</v>
      </c>
      <c r="J131" s="161">
        <v>0</v>
      </c>
      <c r="K131" s="144">
        <f>J131/I131</f>
        <v>0</v>
      </c>
      <c r="L131" s="1054">
        <v>3</v>
      </c>
      <c r="M131" s="144">
        <f>K131/L131</f>
        <v>0</v>
      </c>
      <c r="N131" s="155">
        <v>1</v>
      </c>
      <c r="P131" s="132"/>
    </row>
    <row r="132" spans="5:169" ht="15" customHeight="1">
      <c r="E132" s="57"/>
      <c r="F132" s="57"/>
      <c r="G132" s="144" t="s">
        <v>20</v>
      </c>
      <c r="H132" s="142">
        <v>0.17</v>
      </c>
      <c r="I132" s="143">
        <f>1/H132</f>
        <v>5.8823529411764701</v>
      </c>
      <c r="J132" s="161">
        <v>0</v>
      </c>
      <c r="K132" s="144">
        <f>J132/I132</f>
        <v>0</v>
      </c>
      <c r="L132" s="1054">
        <v>3</v>
      </c>
      <c r="M132" s="144">
        <f>K132/L132</f>
        <v>0</v>
      </c>
      <c r="N132" s="155">
        <v>1</v>
      </c>
      <c r="P132" s="132"/>
    </row>
    <row r="133" spans="5:169" ht="15" customHeight="1">
      <c r="E133" s="57"/>
      <c r="F133" s="57"/>
      <c r="G133" s="144"/>
      <c r="H133" s="142"/>
      <c r="I133" s="143"/>
      <c r="J133" s="161"/>
      <c r="K133" s="144"/>
      <c r="L133" s="1054"/>
      <c r="M133" s="144"/>
      <c r="N133" s="155"/>
      <c r="P133" s="132"/>
    </row>
    <row r="134" spans="5:169" ht="15" customHeight="1">
      <c r="E134" s="57"/>
      <c r="F134" s="57" t="s">
        <v>1891</v>
      </c>
      <c r="G134" s="144" t="s">
        <v>1819</v>
      </c>
      <c r="H134" s="142">
        <v>4.8499999999999996</v>
      </c>
      <c r="I134" s="143">
        <f>1/H134</f>
        <v>0.2061855670103093</v>
      </c>
      <c r="J134" s="161">
        <v>0</v>
      </c>
      <c r="K134" s="144">
        <f>J134/I134</f>
        <v>0</v>
      </c>
      <c r="L134" s="1054">
        <v>7</v>
      </c>
      <c r="M134" s="144">
        <f>K134/L134</f>
        <v>0</v>
      </c>
      <c r="N134" s="155">
        <v>4</v>
      </c>
    </row>
    <row r="135" spans="5:169" ht="15" customHeight="1">
      <c r="E135" s="57"/>
      <c r="F135" s="57"/>
      <c r="G135" s="144" t="s">
        <v>1824</v>
      </c>
      <c r="H135" s="142">
        <v>1.4</v>
      </c>
      <c r="I135" s="143">
        <f>1/H135</f>
        <v>0.7142857142857143</v>
      </c>
      <c r="J135" s="161">
        <v>0</v>
      </c>
      <c r="K135" s="144">
        <f>J135/I135</f>
        <v>0</v>
      </c>
      <c r="L135" s="1054">
        <v>7</v>
      </c>
      <c r="M135" s="144">
        <f>K135/L135</f>
        <v>0</v>
      </c>
      <c r="N135" s="155">
        <v>1</v>
      </c>
    </row>
    <row r="136" spans="5:169" ht="15" customHeight="1">
      <c r="E136" s="57"/>
      <c r="F136" s="57"/>
      <c r="G136" s="144" t="s">
        <v>1826</v>
      </c>
      <c r="H136" s="142">
        <v>0.33100000000000002</v>
      </c>
      <c r="I136" s="143">
        <f>1/H136</f>
        <v>3.0211480362537761</v>
      </c>
      <c r="J136" s="161">
        <v>0</v>
      </c>
      <c r="K136" s="144">
        <f>J136/I136</f>
        <v>0</v>
      </c>
      <c r="L136" s="1054">
        <v>7</v>
      </c>
      <c r="M136" s="144">
        <f>K136/L136</f>
        <v>0</v>
      </c>
      <c r="N136" s="155">
        <v>1</v>
      </c>
    </row>
    <row r="137" spans="5:169" ht="15" customHeight="1">
      <c r="E137" s="57"/>
      <c r="F137" s="57"/>
      <c r="G137" s="144" t="s">
        <v>20</v>
      </c>
      <c r="H137" s="142">
        <v>0.17</v>
      </c>
      <c r="I137" s="143">
        <f>1/H137</f>
        <v>5.8823529411764701</v>
      </c>
      <c r="J137" s="161">
        <v>0</v>
      </c>
      <c r="K137" s="144">
        <f>J137/I137</f>
        <v>0</v>
      </c>
      <c r="L137" s="1054">
        <v>7</v>
      </c>
      <c r="M137" s="144">
        <f>K137/L137</f>
        <v>0</v>
      </c>
      <c r="N137" s="155">
        <v>1</v>
      </c>
    </row>
    <row r="138" spans="5:169" ht="15" customHeight="1">
      <c r="E138" s="57"/>
      <c r="F138" s="57"/>
      <c r="G138" s="144"/>
      <c r="H138" s="142"/>
      <c r="I138" s="143"/>
      <c r="J138" s="161"/>
      <c r="K138" s="144"/>
      <c r="L138" s="1054"/>
      <c r="M138" s="144"/>
      <c r="N138" s="155"/>
    </row>
    <row r="139" spans="5:169" ht="15" customHeight="1">
      <c r="E139" s="57"/>
      <c r="F139" s="57" t="s">
        <v>1892</v>
      </c>
      <c r="G139" s="144" t="s">
        <v>1819</v>
      </c>
      <c r="H139" s="142">
        <v>4.8499999999999996</v>
      </c>
      <c r="I139" s="143">
        <f>1/H139</f>
        <v>0.2061855670103093</v>
      </c>
      <c r="J139" s="161">
        <v>0</v>
      </c>
      <c r="K139" s="144">
        <f>J139/I139</f>
        <v>0</v>
      </c>
      <c r="L139" s="1054">
        <v>5</v>
      </c>
      <c r="M139" s="144">
        <f>K139/L139</f>
        <v>0</v>
      </c>
      <c r="N139" s="155">
        <v>4</v>
      </c>
    </row>
    <row r="140" spans="5:169" ht="15" customHeight="1">
      <c r="E140" s="57"/>
      <c r="F140" s="57"/>
      <c r="G140" s="144" t="s">
        <v>1824</v>
      </c>
      <c r="H140" s="142">
        <v>1.4</v>
      </c>
      <c r="I140" s="143">
        <f>1/H140</f>
        <v>0.7142857142857143</v>
      </c>
      <c r="J140" s="161">
        <v>0</v>
      </c>
      <c r="K140" s="144">
        <f>J140/I140</f>
        <v>0</v>
      </c>
      <c r="L140" s="1054">
        <v>5</v>
      </c>
      <c r="M140" s="144">
        <f>K140/L140</f>
        <v>0</v>
      </c>
      <c r="N140" s="155">
        <v>1</v>
      </c>
    </row>
    <row r="141" spans="5:169" ht="15" customHeight="1">
      <c r="E141" s="57"/>
      <c r="F141" s="57"/>
      <c r="G141" s="144" t="s">
        <v>1826</v>
      </c>
      <c r="H141" s="142">
        <v>0.33100000000000002</v>
      </c>
      <c r="I141" s="143">
        <f>1/H141</f>
        <v>3.0211480362537761</v>
      </c>
      <c r="J141" s="161">
        <v>0</v>
      </c>
      <c r="K141" s="144">
        <f>J141/I141</f>
        <v>0</v>
      </c>
      <c r="L141" s="1054">
        <v>5</v>
      </c>
      <c r="M141" s="144">
        <f>K141/L141</f>
        <v>0</v>
      </c>
      <c r="N141" s="155">
        <v>1</v>
      </c>
    </row>
    <row r="142" spans="5:169" ht="15" customHeight="1">
      <c r="E142" s="57"/>
      <c r="F142" s="57"/>
      <c r="G142" s="144" t="s">
        <v>20</v>
      </c>
      <c r="H142" s="142">
        <v>0.17</v>
      </c>
      <c r="I142" s="143">
        <f>1/H142</f>
        <v>5.8823529411764701</v>
      </c>
      <c r="J142" s="161">
        <v>0</v>
      </c>
      <c r="K142" s="144">
        <f t="shared" ref="K142:K226" si="7">J142/I142</f>
        <v>0</v>
      </c>
      <c r="L142" s="1054">
        <v>5</v>
      </c>
      <c r="M142" s="144">
        <f>K142/L142</f>
        <v>0</v>
      </c>
      <c r="N142" s="155">
        <v>1</v>
      </c>
    </row>
    <row r="143" spans="5:169" ht="15" customHeight="1">
      <c r="E143" s="57"/>
      <c r="F143" s="57"/>
      <c r="G143" s="144"/>
      <c r="H143" s="142"/>
      <c r="I143" s="143"/>
      <c r="J143" s="161"/>
      <c r="K143" s="144"/>
      <c r="L143" s="1054"/>
      <c r="M143" s="144"/>
      <c r="N143" s="155"/>
    </row>
    <row r="144" spans="5:169" ht="15" customHeight="1">
      <c r="E144" s="57"/>
      <c r="F144" s="57" t="s">
        <v>1893</v>
      </c>
      <c r="G144" s="144" t="s">
        <v>1819</v>
      </c>
      <c r="H144" s="142">
        <v>4.8499999999999996</v>
      </c>
      <c r="I144" s="143">
        <f>1/H144</f>
        <v>0.2061855670103093</v>
      </c>
      <c r="J144" s="161">
        <v>0</v>
      </c>
      <c r="K144" s="144">
        <f t="shared" si="7"/>
        <v>0</v>
      </c>
      <c r="L144" s="1054">
        <v>0</v>
      </c>
      <c r="M144" s="144">
        <v>0</v>
      </c>
      <c r="N144" s="155">
        <v>0</v>
      </c>
    </row>
    <row r="145" spans="5:14" ht="15" customHeight="1">
      <c r="E145" s="57"/>
      <c r="F145" s="57"/>
      <c r="G145" s="144" t="s">
        <v>1824</v>
      </c>
      <c r="H145" s="142">
        <v>1.4</v>
      </c>
      <c r="I145" s="143">
        <f>1/H145</f>
        <v>0.7142857142857143</v>
      </c>
      <c r="J145" s="161">
        <v>0</v>
      </c>
      <c r="K145" s="144">
        <f t="shared" si="7"/>
        <v>0</v>
      </c>
      <c r="L145" s="1054">
        <v>0</v>
      </c>
      <c r="M145" s="144" t="e">
        <f>K145/L145</f>
        <v>#DIV/0!</v>
      </c>
      <c r="N145" s="155" t="e">
        <f t="shared" ref="N145:N226" si="8">M145</f>
        <v>#DIV/0!</v>
      </c>
    </row>
    <row r="146" spans="5:14" ht="15" customHeight="1">
      <c r="E146" s="57"/>
      <c r="F146" s="57"/>
      <c r="G146" s="144" t="s">
        <v>1826</v>
      </c>
      <c r="H146" s="142">
        <v>0.33100000000000002</v>
      </c>
      <c r="I146" s="143">
        <f>1/H146</f>
        <v>3.0211480362537761</v>
      </c>
      <c r="J146" s="161">
        <v>0</v>
      </c>
      <c r="K146" s="144">
        <f t="shared" si="7"/>
        <v>0</v>
      </c>
      <c r="L146" s="1054">
        <v>0</v>
      </c>
      <c r="M146" s="144" t="e">
        <f>K146/L146</f>
        <v>#DIV/0!</v>
      </c>
      <c r="N146" s="155" t="e">
        <f t="shared" si="8"/>
        <v>#DIV/0!</v>
      </c>
    </row>
    <row r="147" spans="5:14" ht="15" customHeight="1">
      <c r="E147" s="57"/>
      <c r="F147" s="57"/>
      <c r="G147" s="144" t="s">
        <v>20</v>
      </c>
      <c r="H147" s="142">
        <v>0.17</v>
      </c>
      <c r="I147" s="143">
        <f>1/H147</f>
        <v>5.8823529411764701</v>
      </c>
      <c r="J147" s="161">
        <v>0</v>
      </c>
      <c r="K147" s="144">
        <f t="shared" si="7"/>
        <v>0</v>
      </c>
      <c r="L147" s="1054">
        <v>0</v>
      </c>
      <c r="M147" s="144" t="e">
        <f>K147/L147</f>
        <v>#DIV/0!</v>
      </c>
      <c r="N147" s="155" t="e">
        <f t="shared" si="8"/>
        <v>#DIV/0!</v>
      </c>
    </row>
    <row r="148" spans="5:14" ht="15" customHeight="1">
      <c r="E148" s="57"/>
      <c r="F148" s="57"/>
      <c r="G148" s="144"/>
      <c r="H148" s="142"/>
      <c r="I148" s="143"/>
      <c r="J148" s="161"/>
      <c r="K148" s="144"/>
      <c r="L148" s="1054"/>
      <c r="M148" s="144"/>
      <c r="N148" s="155"/>
    </row>
    <row r="149" spans="5:14" ht="15" customHeight="1">
      <c r="E149" s="57"/>
      <c r="F149" s="57" t="s">
        <v>1894</v>
      </c>
      <c r="G149" s="144" t="s">
        <v>1819</v>
      </c>
      <c r="H149" s="142">
        <v>4.8499999999999996</v>
      </c>
      <c r="I149" s="143">
        <f>1/H149</f>
        <v>0.2061855670103093</v>
      </c>
      <c r="J149" s="161">
        <v>0</v>
      </c>
      <c r="K149" s="144">
        <f t="shared" si="7"/>
        <v>0</v>
      </c>
      <c r="L149" s="1054">
        <v>0</v>
      </c>
      <c r="M149" s="144" t="e">
        <f>K149/L149</f>
        <v>#DIV/0!</v>
      </c>
      <c r="N149" s="155" t="e">
        <f t="shared" si="8"/>
        <v>#DIV/0!</v>
      </c>
    </row>
    <row r="150" spans="5:14" ht="15" customHeight="1">
      <c r="E150" s="57"/>
      <c r="F150" s="57"/>
      <c r="G150" s="144" t="s">
        <v>1824</v>
      </c>
      <c r="H150" s="142">
        <v>1.4</v>
      </c>
      <c r="I150" s="143">
        <f t="shared" ref="I150:I229" si="9">1/H150</f>
        <v>0.7142857142857143</v>
      </c>
      <c r="J150" s="161">
        <v>0</v>
      </c>
      <c r="K150" s="144">
        <f t="shared" si="7"/>
        <v>0</v>
      </c>
      <c r="L150" s="1054">
        <v>0</v>
      </c>
      <c r="M150" s="144" t="e">
        <f>K150/L150</f>
        <v>#DIV/0!</v>
      </c>
      <c r="N150" s="155" t="e">
        <f t="shared" si="8"/>
        <v>#DIV/0!</v>
      </c>
    </row>
    <row r="151" spans="5:14" ht="15" customHeight="1">
      <c r="E151" s="57"/>
      <c r="F151" s="57"/>
      <c r="G151" s="144" t="s">
        <v>1826</v>
      </c>
      <c r="H151" s="142">
        <v>0.33100000000000002</v>
      </c>
      <c r="I151" s="143">
        <f t="shared" si="9"/>
        <v>3.0211480362537761</v>
      </c>
      <c r="J151" s="161">
        <v>0</v>
      </c>
      <c r="K151" s="144">
        <f t="shared" si="7"/>
        <v>0</v>
      </c>
      <c r="L151" s="1054">
        <v>0</v>
      </c>
      <c r="M151" s="144" t="e">
        <f>K151/L151</f>
        <v>#DIV/0!</v>
      </c>
      <c r="N151" s="155" t="e">
        <f t="shared" si="8"/>
        <v>#DIV/0!</v>
      </c>
    </row>
    <row r="152" spans="5:14" ht="15" customHeight="1">
      <c r="E152" s="57"/>
      <c r="F152" s="57"/>
      <c r="G152" s="144" t="s">
        <v>20</v>
      </c>
      <c r="H152" s="142">
        <v>0.17</v>
      </c>
      <c r="I152" s="143">
        <f t="shared" si="9"/>
        <v>5.8823529411764701</v>
      </c>
      <c r="J152" s="161">
        <v>0</v>
      </c>
      <c r="K152" s="144">
        <f t="shared" si="7"/>
        <v>0</v>
      </c>
      <c r="L152" s="1054">
        <v>0</v>
      </c>
      <c r="M152" s="144" t="e">
        <f>K152/L152</f>
        <v>#DIV/0!</v>
      </c>
      <c r="N152" s="155" t="e">
        <f t="shared" si="8"/>
        <v>#DIV/0!</v>
      </c>
    </row>
    <row r="153" spans="5:14" ht="15" customHeight="1">
      <c r="E153" s="57"/>
      <c r="F153" s="57"/>
      <c r="G153" s="144"/>
      <c r="H153" s="142"/>
      <c r="I153" s="143"/>
      <c r="J153" s="161"/>
      <c r="K153" s="144"/>
      <c r="L153" s="1054"/>
      <c r="M153" s="144"/>
      <c r="N153" s="155"/>
    </row>
    <row r="154" spans="5:14" ht="15" customHeight="1">
      <c r="E154" s="57"/>
      <c r="F154" s="57" t="s">
        <v>1895</v>
      </c>
      <c r="G154" s="144" t="s">
        <v>1819</v>
      </c>
      <c r="H154" s="142">
        <v>4.8499999999999996</v>
      </c>
      <c r="I154" s="143">
        <f t="shared" si="9"/>
        <v>0.2061855670103093</v>
      </c>
      <c r="J154" s="161">
        <v>0</v>
      </c>
      <c r="K154" s="144">
        <f t="shared" si="7"/>
        <v>0</v>
      </c>
      <c r="L154" s="1054">
        <v>0</v>
      </c>
      <c r="M154" s="144" t="e">
        <f>K154/L154</f>
        <v>#DIV/0!</v>
      </c>
      <c r="N154" s="155" t="e">
        <f t="shared" si="8"/>
        <v>#DIV/0!</v>
      </c>
    </row>
    <row r="155" spans="5:14" ht="15" customHeight="1">
      <c r="E155" s="57"/>
      <c r="F155" s="57"/>
      <c r="G155" s="144" t="s">
        <v>1824</v>
      </c>
      <c r="H155" s="142">
        <v>1.4</v>
      </c>
      <c r="I155" s="143">
        <f t="shared" si="9"/>
        <v>0.7142857142857143</v>
      </c>
      <c r="J155" s="161">
        <v>0</v>
      </c>
      <c r="K155" s="144">
        <f t="shared" si="7"/>
        <v>0</v>
      </c>
      <c r="L155" s="1054">
        <v>0</v>
      </c>
      <c r="M155" s="144" t="e">
        <f>K155/L155</f>
        <v>#DIV/0!</v>
      </c>
      <c r="N155" s="155" t="e">
        <f t="shared" si="8"/>
        <v>#DIV/0!</v>
      </c>
    </row>
    <row r="156" spans="5:14" ht="15" customHeight="1">
      <c r="E156" s="57"/>
      <c r="F156" s="57"/>
      <c r="G156" s="144" t="s">
        <v>1826</v>
      </c>
      <c r="H156" s="142">
        <v>0.33100000000000002</v>
      </c>
      <c r="I156" s="143">
        <f t="shared" si="9"/>
        <v>3.0211480362537761</v>
      </c>
      <c r="J156" s="161">
        <v>0</v>
      </c>
      <c r="K156" s="144">
        <f t="shared" si="7"/>
        <v>0</v>
      </c>
      <c r="L156" s="1054">
        <v>0</v>
      </c>
      <c r="M156" s="144" t="e">
        <f>K156/L156</f>
        <v>#DIV/0!</v>
      </c>
      <c r="N156" s="155" t="e">
        <f t="shared" si="8"/>
        <v>#DIV/0!</v>
      </c>
    </row>
    <row r="157" spans="5:14" ht="15" customHeight="1">
      <c r="E157" s="57"/>
      <c r="F157" s="57"/>
      <c r="G157" s="144" t="s">
        <v>20</v>
      </c>
      <c r="H157" s="142">
        <v>0.17</v>
      </c>
      <c r="I157" s="143">
        <f t="shared" si="9"/>
        <v>5.8823529411764701</v>
      </c>
      <c r="J157" s="161">
        <v>0</v>
      </c>
      <c r="K157" s="144">
        <f t="shared" si="7"/>
        <v>0</v>
      </c>
      <c r="L157" s="1054">
        <v>0</v>
      </c>
      <c r="M157" s="144" t="e">
        <f>K157/L157</f>
        <v>#DIV/0!</v>
      </c>
      <c r="N157" s="155" t="e">
        <f t="shared" si="8"/>
        <v>#DIV/0!</v>
      </c>
    </row>
    <row r="158" spans="5:14" ht="15" customHeight="1">
      <c r="E158" s="57"/>
      <c r="F158" s="57"/>
      <c r="G158" s="144"/>
      <c r="H158" s="142"/>
      <c r="I158" s="143"/>
      <c r="J158" s="161"/>
      <c r="K158" s="144"/>
      <c r="L158" s="1054"/>
      <c r="M158" s="144"/>
      <c r="N158" s="155"/>
    </row>
    <row r="159" spans="5:14" ht="15" customHeight="1">
      <c r="E159" s="57"/>
      <c r="F159" s="57" t="s">
        <v>1896</v>
      </c>
      <c r="G159" s="144" t="s">
        <v>1819</v>
      </c>
      <c r="H159" s="142">
        <v>4.8499999999999996</v>
      </c>
      <c r="I159" s="143">
        <f t="shared" si="9"/>
        <v>0.2061855670103093</v>
      </c>
      <c r="J159" s="161">
        <v>0</v>
      </c>
      <c r="K159" s="144">
        <f t="shared" si="7"/>
        <v>0</v>
      </c>
      <c r="L159" s="1054">
        <v>0</v>
      </c>
      <c r="M159" s="144" t="e">
        <f>K159/L159</f>
        <v>#DIV/0!</v>
      </c>
      <c r="N159" s="155" t="e">
        <f t="shared" si="8"/>
        <v>#DIV/0!</v>
      </c>
    </row>
    <row r="160" spans="5:14" ht="15" customHeight="1">
      <c r="E160" s="57"/>
      <c r="F160" s="57"/>
      <c r="G160" s="144" t="s">
        <v>1824</v>
      </c>
      <c r="H160" s="142">
        <v>1.4</v>
      </c>
      <c r="I160" s="143">
        <f t="shared" si="9"/>
        <v>0.7142857142857143</v>
      </c>
      <c r="J160" s="161">
        <v>0</v>
      </c>
      <c r="K160" s="144">
        <f t="shared" si="7"/>
        <v>0</v>
      </c>
      <c r="L160" s="1054">
        <v>0</v>
      </c>
      <c r="M160" s="144" t="e">
        <f>K160/L160</f>
        <v>#DIV/0!</v>
      </c>
      <c r="N160" s="155" t="e">
        <f t="shared" si="8"/>
        <v>#DIV/0!</v>
      </c>
    </row>
    <row r="161" spans="5:14" ht="15" customHeight="1">
      <c r="E161" s="57"/>
      <c r="F161" s="57"/>
      <c r="G161" s="144" t="s">
        <v>1826</v>
      </c>
      <c r="H161" s="142">
        <v>0.33100000000000002</v>
      </c>
      <c r="I161" s="143">
        <f t="shared" si="9"/>
        <v>3.0211480362537761</v>
      </c>
      <c r="J161" s="161">
        <v>0</v>
      </c>
      <c r="K161" s="144">
        <f t="shared" si="7"/>
        <v>0</v>
      </c>
      <c r="L161" s="1054">
        <v>0</v>
      </c>
      <c r="M161" s="144" t="e">
        <f>K161/L161</f>
        <v>#DIV/0!</v>
      </c>
      <c r="N161" s="155" t="e">
        <f t="shared" si="8"/>
        <v>#DIV/0!</v>
      </c>
    </row>
    <row r="162" spans="5:14" ht="15" customHeight="1">
      <c r="E162" s="57"/>
      <c r="F162" s="57"/>
      <c r="G162" s="144" t="s">
        <v>20</v>
      </c>
      <c r="H162" s="142">
        <v>0.17</v>
      </c>
      <c r="I162" s="143">
        <f t="shared" si="9"/>
        <v>5.8823529411764701</v>
      </c>
      <c r="J162" s="161">
        <v>0</v>
      </c>
      <c r="K162" s="144">
        <f t="shared" si="7"/>
        <v>0</v>
      </c>
      <c r="L162" s="1054">
        <v>0</v>
      </c>
      <c r="M162" s="144" t="e">
        <f>K162/L162</f>
        <v>#DIV/0!</v>
      </c>
      <c r="N162" s="155" t="e">
        <f t="shared" si="8"/>
        <v>#DIV/0!</v>
      </c>
    </row>
    <row r="163" spans="5:14" ht="15" customHeight="1">
      <c r="E163" s="57"/>
      <c r="F163" s="57"/>
      <c r="G163" s="144"/>
      <c r="H163" s="142"/>
      <c r="I163" s="143"/>
      <c r="J163" s="161"/>
      <c r="K163" s="144"/>
      <c r="L163" s="1054"/>
      <c r="M163" s="144"/>
      <c r="N163" s="155"/>
    </row>
    <row r="164" spans="5:14" ht="15" customHeight="1">
      <c r="E164" s="57"/>
      <c r="F164" s="57" t="s">
        <v>1897</v>
      </c>
      <c r="G164" s="144" t="s">
        <v>1819</v>
      </c>
      <c r="H164" s="142">
        <v>4.8499999999999996</v>
      </c>
      <c r="I164" s="143">
        <f t="shared" si="9"/>
        <v>0.2061855670103093</v>
      </c>
      <c r="J164" s="161">
        <v>0</v>
      </c>
      <c r="K164" s="144">
        <f t="shared" si="7"/>
        <v>0</v>
      </c>
      <c r="L164" s="1054">
        <v>8</v>
      </c>
      <c r="M164" s="144">
        <f>K164/L164</f>
        <v>0</v>
      </c>
      <c r="N164" s="155">
        <f t="shared" si="8"/>
        <v>0</v>
      </c>
    </row>
    <row r="165" spans="5:14" ht="15" customHeight="1">
      <c r="E165" s="57"/>
      <c r="F165" s="57"/>
      <c r="G165" s="144" t="s">
        <v>1824</v>
      </c>
      <c r="H165" s="142">
        <v>1.4</v>
      </c>
      <c r="I165" s="143">
        <f t="shared" si="9"/>
        <v>0.7142857142857143</v>
      </c>
      <c r="J165" s="161">
        <v>0</v>
      </c>
      <c r="K165" s="144">
        <f t="shared" si="7"/>
        <v>0</v>
      </c>
      <c r="L165" s="1054">
        <v>8</v>
      </c>
      <c r="M165" s="144">
        <f>K165/L165</f>
        <v>0</v>
      </c>
      <c r="N165" s="155">
        <f t="shared" si="8"/>
        <v>0</v>
      </c>
    </row>
    <row r="166" spans="5:14" ht="15" customHeight="1">
      <c r="E166" s="57"/>
      <c r="F166" s="57"/>
      <c r="G166" s="144" t="s">
        <v>1826</v>
      </c>
      <c r="H166" s="142">
        <v>0.33100000000000002</v>
      </c>
      <c r="I166" s="143">
        <f t="shared" si="9"/>
        <v>3.0211480362537761</v>
      </c>
      <c r="J166" s="161">
        <v>0</v>
      </c>
      <c r="K166" s="144">
        <f t="shared" si="7"/>
        <v>0</v>
      </c>
      <c r="L166" s="1054">
        <v>8</v>
      </c>
      <c r="M166" s="144">
        <f>K166/L166</f>
        <v>0</v>
      </c>
      <c r="N166" s="155">
        <v>1</v>
      </c>
    </row>
    <row r="167" spans="5:14" ht="15" customHeight="1">
      <c r="E167" s="57"/>
      <c r="F167" s="57"/>
      <c r="G167" s="144" t="s">
        <v>20</v>
      </c>
      <c r="H167" s="142">
        <v>0.17</v>
      </c>
      <c r="I167" s="143">
        <f t="shared" si="9"/>
        <v>5.8823529411764701</v>
      </c>
      <c r="J167" s="161">
        <v>0</v>
      </c>
      <c r="K167" s="144">
        <f t="shared" si="7"/>
        <v>0</v>
      </c>
      <c r="L167" s="1054">
        <v>8</v>
      </c>
      <c r="M167" s="144">
        <f>K167/L167</f>
        <v>0</v>
      </c>
      <c r="N167" s="155">
        <v>1</v>
      </c>
    </row>
    <row r="168" spans="5:14" ht="15" customHeight="1">
      <c r="E168" s="57"/>
      <c r="F168" s="57"/>
      <c r="G168" s="144"/>
      <c r="H168" s="142"/>
      <c r="I168" s="143"/>
      <c r="J168" s="161"/>
      <c r="K168" s="144"/>
      <c r="L168" s="1054"/>
      <c r="M168" s="144"/>
      <c r="N168" s="155"/>
    </row>
    <row r="169" spans="5:14" ht="15" customHeight="1">
      <c r="E169" s="57"/>
      <c r="F169" s="57" t="s">
        <v>1898</v>
      </c>
      <c r="G169" s="144" t="s">
        <v>1819</v>
      </c>
      <c r="H169" s="142">
        <v>4.8499999999999996</v>
      </c>
      <c r="I169" s="143">
        <f t="shared" si="9"/>
        <v>0.2061855670103093</v>
      </c>
      <c r="J169" s="161">
        <v>0</v>
      </c>
      <c r="K169" s="144">
        <f t="shared" si="7"/>
        <v>0</v>
      </c>
      <c r="L169" s="1054">
        <v>0</v>
      </c>
      <c r="M169" s="144" t="e">
        <f>K169/L169</f>
        <v>#DIV/0!</v>
      </c>
      <c r="N169" s="155" t="e">
        <f t="shared" si="8"/>
        <v>#DIV/0!</v>
      </c>
    </row>
    <row r="170" spans="5:14" ht="15" customHeight="1">
      <c r="E170" s="57"/>
      <c r="F170" s="57"/>
      <c r="G170" s="144" t="s">
        <v>1824</v>
      </c>
      <c r="H170" s="142">
        <v>1.4</v>
      </c>
      <c r="I170" s="143">
        <f t="shared" si="9"/>
        <v>0.7142857142857143</v>
      </c>
      <c r="J170" s="161">
        <v>0</v>
      </c>
      <c r="K170" s="144">
        <f t="shared" si="7"/>
        <v>0</v>
      </c>
      <c r="L170" s="1054">
        <v>0</v>
      </c>
      <c r="M170" s="144" t="e">
        <f>K170/L170</f>
        <v>#DIV/0!</v>
      </c>
      <c r="N170" s="155" t="e">
        <f t="shared" si="8"/>
        <v>#DIV/0!</v>
      </c>
    </row>
    <row r="171" spans="5:14" ht="15" customHeight="1">
      <c r="E171" s="57"/>
      <c r="F171" s="57"/>
      <c r="G171" s="144" t="s">
        <v>1826</v>
      </c>
      <c r="H171" s="142">
        <v>0.33100000000000002</v>
      </c>
      <c r="I171" s="143">
        <f t="shared" si="9"/>
        <v>3.0211480362537761</v>
      </c>
      <c r="J171" s="161">
        <v>0</v>
      </c>
      <c r="K171" s="144">
        <f t="shared" si="7"/>
        <v>0</v>
      </c>
      <c r="L171" s="1054">
        <v>0</v>
      </c>
      <c r="M171" s="144" t="e">
        <f>K171/L171</f>
        <v>#DIV/0!</v>
      </c>
      <c r="N171" s="155" t="e">
        <f t="shared" si="8"/>
        <v>#DIV/0!</v>
      </c>
    </row>
    <row r="172" spans="5:14" ht="15" customHeight="1">
      <c r="E172" s="57"/>
      <c r="F172" s="57"/>
      <c r="G172" s="144" t="s">
        <v>20</v>
      </c>
      <c r="H172" s="142">
        <v>0.17</v>
      </c>
      <c r="I172" s="143">
        <f t="shared" si="9"/>
        <v>5.8823529411764701</v>
      </c>
      <c r="J172" s="161">
        <v>0</v>
      </c>
      <c r="K172" s="144">
        <f t="shared" si="7"/>
        <v>0</v>
      </c>
      <c r="L172" s="1054">
        <v>0</v>
      </c>
      <c r="M172" s="144" t="e">
        <f>K172/L172</f>
        <v>#DIV/0!</v>
      </c>
      <c r="N172" s="155" t="e">
        <f t="shared" si="8"/>
        <v>#DIV/0!</v>
      </c>
    </row>
    <row r="173" spans="5:14" ht="15" customHeight="1">
      <c r="E173" s="57"/>
      <c r="F173" s="57"/>
      <c r="G173" s="144"/>
      <c r="H173" s="142"/>
      <c r="I173" s="143"/>
      <c r="J173" s="161"/>
      <c r="K173" s="144"/>
      <c r="L173" s="1054"/>
      <c r="M173" s="144"/>
      <c r="N173" s="155"/>
    </row>
    <row r="174" spans="5:14" ht="15" customHeight="1">
      <c r="E174" s="57"/>
      <c r="F174" s="57" t="s">
        <v>1899</v>
      </c>
      <c r="G174" s="144" t="s">
        <v>1819</v>
      </c>
      <c r="H174" s="142">
        <v>4.8499999999999996</v>
      </c>
      <c r="I174" s="143">
        <f t="shared" si="9"/>
        <v>0.2061855670103093</v>
      </c>
      <c r="J174" s="161">
        <v>0</v>
      </c>
      <c r="K174" s="144">
        <f t="shared" si="7"/>
        <v>0</v>
      </c>
      <c r="L174" s="1054">
        <v>0</v>
      </c>
      <c r="M174" s="144" t="e">
        <f>K174/L174</f>
        <v>#DIV/0!</v>
      </c>
      <c r="N174" s="155" t="e">
        <f t="shared" si="8"/>
        <v>#DIV/0!</v>
      </c>
    </row>
    <row r="175" spans="5:14" ht="15" customHeight="1">
      <c r="E175" s="57"/>
      <c r="F175" s="57"/>
      <c r="G175" s="144" t="s">
        <v>1824</v>
      </c>
      <c r="H175" s="142">
        <v>1.4</v>
      </c>
      <c r="I175" s="143">
        <f t="shared" si="9"/>
        <v>0.7142857142857143</v>
      </c>
      <c r="J175" s="161">
        <v>0</v>
      </c>
      <c r="K175" s="144">
        <f t="shared" si="7"/>
        <v>0</v>
      </c>
      <c r="L175" s="1054">
        <v>0</v>
      </c>
      <c r="M175" s="144" t="e">
        <f>K175/L175</f>
        <v>#DIV/0!</v>
      </c>
      <c r="N175" s="155" t="e">
        <f t="shared" si="8"/>
        <v>#DIV/0!</v>
      </c>
    </row>
    <row r="176" spans="5:14" ht="15" customHeight="1">
      <c r="E176" s="57"/>
      <c r="F176" s="57"/>
      <c r="G176" s="144" t="s">
        <v>1826</v>
      </c>
      <c r="H176" s="142">
        <v>0.33100000000000002</v>
      </c>
      <c r="I176" s="143">
        <f t="shared" si="9"/>
        <v>3.0211480362537761</v>
      </c>
      <c r="J176" s="161">
        <v>0</v>
      </c>
      <c r="K176" s="144">
        <f t="shared" si="7"/>
        <v>0</v>
      </c>
      <c r="L176" s="1054">
        <v>0</v>
      </c>
      <c r="M176" s="144" t="e">
        <f>K176/L176</f>
        <v>#DIV/0!</v>
      </c>
      <c r="N176" s="155" t="e">
        <f t="shared" si="8"/>
        <v>#DIV/0!</v>
      </c>
    </row>
    <row r="177" spans="5:15" ht="15" customHeight="1">
      <c r="E177" s="57"/>
      <c r="F177" s="57"/>
      <c r="G177" s="144" t="s">
        <v>20</v>
      </c>
      <c r="H177" s="142">
        <v>0.17</v>
      </c>
      <c r="I177" s="143">
        <f t="shared" si="9"/>
        <v>5.8823529411764701</v>
      </c>
      <c r="J177" s="161">
        <v>0</v>
      </c>
      <c r="K177" s="144">
        <f t="shared" si="7"/>
        <v>0</v>
      </c>
      <c r="L177" s="1054">
        <v>0</v>
      </c>
      <c r="M177" s="144" t="e">
        <f>K177/L177</f>
        <v>#DIV/0!</v>
      </c>
      <c r="N177" s="155" t="e">
        <f t="shared" si="8"/>
        <v>#DIV/0!</v>
      </c>
    </row>
    <row r="178" spans="5:15" ht="15" customHeight="1">
      <c r="E178" s="57"/>
      <c r="F178" s="57"/>
      <c r="G178" s="144"/>
      <c r="H178" s="142"/>
      <c r="I178" s="143"/>
      <c r="J178" s="161"/>
      <c r="K178" s="144"/>
      <c r="L178" s="1054"/>
      <c r="M178" s="144"/>
      <c r="N178" s="155"/>
    </row>
    <row r="179" spans="5:15" ht="15" customHeight="1">
      <c r="E179" s="57"/>
      <c r="F179" s="57" t="s">
        <v>1900</v>
      </c>
      <c r="G179" s="144" t="s">
        <v>1819</v>
      </c>
      <c r="H179" s="142">
        <v>4.8499999999999996</v>
      </c>
      <c r="I179" s="143">
        <f t="shared" si="9"/>
        <v>0.2061855670103093</v>
      </c>
      <c r="J179" s="161">
        <v>0</v>
      </c>
      <c r="K179" s="144">
        <f t="shared" si="7"/>
        <v>0</v>
      </c>
      <c r="L179" s="1054">
        <v>0</v>
      </c>
      <c r="M179" s="144" t="e">
        <f>K179/L179</f>
        <v>#DIV/0!</v>
      </c>
      <c r="N179" s="155" t="e">
        <f t="shared" si="8"/>
        <v>#DIV/0!</v>
      </c>
    </row>
    <row r="180" spans="5:15" ht="15" customHeight="1">
      <c r="E180" s="57"/>
      <c r="F180" s="57"/>
      <c r="G180" s="144" t="s">
        <v>1824</v>
      </c>
      <c r="H180" s="142">
        <v>1.4</v>
      </c>
      <c r="I180" s="143">
        <f t="shared" si="9"/>
        <v>0.7142857142857143</v>
      </c>
      <c r="J180" s="161">
        <v>0</v>
      </c>
      <c r="K180" s="144">
        <f t="shared" si="7"/>
        <v>0</v>
      </c>
      <c r="L180" s="1054">
        <v>0</v>
      </c>
      <c r="M180" s="144" t="e">
        <f>K180/L180</f>
        <v>#DIV/0!</v>
      </c>
      <c r="N180" s="155" t="e">
        <f t="shared" si="8"/>
        <v>#DIV/0!</v>
      </c>
    </row>
    <row r="181" spans="5:15" ht="15" customHeight="1">
      <c r="E181" s="57"/>
      <c r="F181" s="57"/>
      <c r="G181" s="144" t="s">
        <v>1826</v>
      </c>
      <c r="H181" s="142">
        <v>0.33100000000000002</v>
      </c>
      <c r="I181" s="143">
        <f t="shared" si="9"/>
        <v>3.0211480362537761</v>
      </c>
      <c r="J181" s="161">
        <v>0</v>
      </c>
      <c r="K181" s="144">
        <f t="shared" si="7"/>
        <v>0</v>
      </c>
      <c r="L181" s="1054">
        <v>0</v>
      </c>
      <c r="M181" s="144" t="e">
        <f>K181/L181</f>
        <v>#DIV/0!</v>
      </c>
      <c r="N181" s="155" t="e">
        <f t="shared" si="8"/>
        <v>#DIV/0!</v>
      </c>
    </row>
    <row r="182" spans="5:15" ht="15" customHeight="1">
      <c r="E182" s="57"/>
      <c r="F182" s="57"/>
      <c r="G182" s="144" t="s">
        <v>20</v>
      </c>
      <c r="H182" s="142">
        <v>0.17</v>
      </c>
      <c r="I182" s="143">
        <f t="shared" si="9"/>
        <v>5.8823529411764701</v>
      </c>
      <c r="J182" s="161">
        <v>0</v>
      </c>
      <c r="K182" s="144">
        <f t="shared" si="7"/>
        <v>0</v>
      </c>
      <c r="L182" s="1054">
        <v>0</v>
      </c>
      <c r="M182" s="144" t="e">
        <f>K182/L182</f>
        <v>#DIV/0!</v>
      </c>
      <c r="N182" s="155" t="e">
        <f t="shared" si="8"/>
        <v>#DIV/0!</v>
      </c>
    </row>
    <row r="183" spans="5:15" ht="15" customHeight="1">
      <c r="E183" s="57"/>
      <c r="F183" s="57"/>
      <c r="G183" s="144"/>
      <c r="H183" s="142"/>
      <c r="I183" s="143"/>
      <c r="J183" s="161"/>
      <c r="K183" s="144"/>
      <c r="L183" s="1054"/>
      <c r="M183" s="144"/>
      <c r="N183" s="155"/>
    </row>
    <row r="184" spans="5:15" ht="15" customHeight="1">
      <c r="E184" s="57"/>
      <c r="F184" s="57" t="s">
        <v>1901</v>
      </c>
      <c r="G184" s="144" t="s">
        <v>1819</v>
      </c>
      <c r="H184" s="142">
        <v>4.8499999999999996</v>
      </c>
      <c r="I184" s="143">
        <f t="shared" si="9"/>
        <v>0.2061855670103093</v>
      </c>
      <c r="J184" s="161">
        <v>0</v>
      </c>
      <c r="K184" s="144">
        <f t="shared" si="7"/>
        <v>0</v>
      </c>
      <c r="L184" s="1054">
        <v>0</v>
      </c>
      <c r="M184" s="144" t="e">
        <f t="shared" ref="M184:N187" si="10">K184/L184</f>
        <v>#DIV/0!</v>
      </c>
      <c r="N184" s="157" t="e">
        <f t="shared" si="10"/>
        <v>#DIV/0!</v>
      </c>
      <c r="O184" s="129"/>
    </row>
    <row r="185" spans="5:15" ht="15" customHeight="1">
      <c r="E185" s="57"/>
      <c r="F185" s="57"/>
      <c r="G185" s="144" t="s">
        <v>1824</v>
      </c>
      <c r="H185" s="142">
        <v>1.4</v>
      </c>
      <c r="I185" s="143">
        <f t="shared" si="9"/>
        <v>0.7142857142857143</v>
      </c>
      <c r="J185" s="161">
        <v>0</v>
      </c>
      <c r="K185" s="144">
        <f t="shared" si="7"/>
        <v>0</v>
      </c>
      <c r="L185" s="1054">
        <v>0</v>
      </c>
      <c r="M185" s="144" t="e">
        <f t="shared" si="10"/>
        <v>#DIV/0!</v>
      </c>
      <c r="N185" s="157" t="e">
        <f t="shared" si="10"/>
        <v>#DIV/0!</v>
      </c>
      <c r="O185" s="129"/>
    </row>
    <row r="186" spans="5:15" ht="15" customHeight="1">
      <c r="E186" s="57"/>
      <c r="F186" s="57"/>
      <c r="G186" s="144" t="s">
        <v>1826</v>
      </c>
      <c r="H186" s="142">
        <v>0.33100000000000002</v>
      </c>
      <c r="I186" s="143">
        <f t="shared" si="9"/>
        <v>3.0211480362537761</v>
      </c>
      <c r="J186" s="161">
        <v>0</v>
      </c>
      <c r="K186" s="144">
        <f t="shared" si="7"/>
        <v>0</v>
      </c>
      <c r="L186" s="1054">
        <v>0</v>
      </c>
      <c r="M186" s="144" t="e">
        <f t="shared" si="10"/>
        <v>#DIV/0!</v>
      </c>
      <c r="N186" s="157" t="e">
        <f t="shared" si="10"/>
        <v>#DIV/0!</v>
      </c>
      <c r="O186" s="129"/>
    </row>
    <row r="187" spans="5:15" ht="15" customHeight="1">
      <c r="E187" s="57"/>
      <c r="F187" s="57"/>
      <c r="G187" s="144" t="s">
        <v>20</v>
      </c>
      <c r="H187" s="142">
        <v>0.17</v>
      </c>
      <c r="I187" s="143">
        <f t="shared" si="9"/>
        <v>5.8823529411764701</v>
      </c>
      <c r="J187" s="161">
        <v>0</v>
      </c>
      <c r="K187" s="144">
        <f t="shared" si="7"/>
        <v>0</v>
      </c>
      <c r="L187" s="1054">
        <v>0</v>
      </c>
      <c r="M187" s="144" t="e">
        <f t="shared" si="10"/>
        <v>#DIV/0!</v>
      </c>
      <c r="N187" s="157" t="e">
        <f t="shared" si="10"/>
        <v>#DIV/0!</v>
      </c>
      <c r="O187" s="129"/>
    </row>
    <row r="188" spans="5:15" ht="15" customHeight="1">
      <c r="E188" s="57"/>
      <c r="F188" s="57"/>
      <c r="G188" s="144"/>
      <c r="H188" s="142"/>
      <c r="I188" s="143"/>
      <c r="J188" s="161"/>
      <c r="K188" s="144"/>
      <c r="L188" s="1054"/>
      <c r="M188" s="144"/>
      <c r="N188" s="155"/>
    </row>
    <row r="189" spans="5:15" ht="15" customHeight="1">
      <c r="E189" s="57"/>
      <c r="F189" s="57" t="s">
        <v>1902</v>
      </c>
      <c r="G189" s="144" t="s">
        <v>1819</v>
      </c>
      <c r="H189" s="142">
        <v>4.8499999999999996</v>
      </c>
      <c r="I189" s="143">
        <f t="shared" si="9"/>
        <v>0.2061855670103093</v>
      </c>
      <c r="J189" s="161">
        <v>0</v>
      </c>
      <c r="K189" s="144">
        <f t="shared" si="7"/>
        <v>0</v>
      </c>
      <c r="L189" s="1054">
        <v>0</v>
      </c>
      <c r="M189" s="144" t="e">
        <f>K189/L189</f>
        <v>#DIV/0!</v>
      </c>
      <c r="N189" s="155" t="e">
        <f t="shared" si="8"/>
        <v>#DIV/0!</v>
      </c>
    </row>
    <row r="190" spans="5:15" ht="15" customHeight="1">
      <c r="E190" s="57"/>
      <c r="F190" s="57"/>
      <c r="G190" s="144" t="s">
        <v>1824</v>
      </c>
      <c r="H190" s="142">
        <v>1.4</v>
      </c>
      <c r="I190" s="143">
        <f t="shared" si="9"/>
        <v>0.7142857142857143</v>
      </c>
      <c r="J190" s="161">
        <v>0</v>
      </c>
      <c r="K190" s="144">
        <f t="shared" si="7"/>
        <v>0</v>
      </c>
      <c r="L190" s="1054">
        <v>0</v>
      </c>
      <c r="M190" s="144" t="e">
        <f>K190/L190</f>
        <v>#DIV/0!</v>
      </c>
      <c r="N190" s="155" t="e">
        <f t="shared" si="8"/>
        <v>#DIV/0!</v>
      </c>
    </row>
    <row r="191" spans="5:15" ht="15" customHeight="1">
      <c r="E191" s="57"/>
      <c r="F191" s="57"/>
      <c r="G191" s="144" t="s">
        <v>1826</v>
      </c>
      <c r="H191" s="142">
        <v>0.33100000000000002</v>
      </c>
      <c r="I191" s="143">
        <f t="shared" si="9"/>
        <v>3.0211480362537761</v>
      </c>
      <c r="J191" s="161">
        <v>0</v>
      </c>
      <c r="K191" s="144">
        <f t="shared" si="7"/>
        <v>0</v>
      </c>
      <c r="L191" s="1054">
        <v>0</v>
      </c>
      <c r="M191" s="144" t="e">
        <f>K191/L191</f>
        <v>#DIV/0!</v>
      </c>
      <c r="N191" s="155" t="e">
        <f t="shared" si="8"/>
        <v>#DIV/0!</v>
      </c>
    </row>
    <row r="192" spans="5:15" ht="15" customHeight="1">
      <c r="E192" s="57"/>
      <c r="F192" s="57"/>
      <c r="G192" s="144" t="s">
        <v>20</v>
      </c>
      <c r="H192" s="142">
        <v>0.17</v>
      </c>
      <c r="I192" s="143">
        <f t="shared" si="9"/>
        <v>5.8823529411764701</v>
      </c>
      <c r="J192" s="161">
        <v>0</v>
      </c>
      <c r="K192" s="144">
        <f t="shared" si="7"/>
        <v>0</v>
      </c>
      <c r="L192" s="1054">
        <v>0</v>
      </c>
      <c r="M192" s="144" t="e">
        <f>K192/L192</f>
        <v>#DIV/0!</v>
      </c>
      <c r="N192" s="155" t="e">
        <f t="shared" si="8"/>
        <v>#DIV/0!</v>
      </c>
    </row>
    <row r="193" spans="5:14" ht="15" customHeight="1">
      <c r="E193" s="57"/>
      <c r="F193" s="57"/>
      <c r="G193" s="144"/>
      <c r="H193" s="142"/>
      <c r="I193" s="143"/>
      <c r="J193" s="161"/>
      <c r="K193" s="144"/>
      <c r="L193" s="1054"/>
      <c r="M193" s="144"/>
      <c r="N193" s="155"/>
    </row>
    <row r="194" spans="5:14" ht="15" customHeight="1">
      <c r="E194" s="57"/>
      <c r="F194" s="57" t="s">
        <v>1903</v>
      </c>
      <c r="G194" s="144" t="s">
        <v>1819</v>
      </c>
      <c r="H194" s="142">
        <v>4.8499999999999996</v>
      </c>
      <c r="I194" s="143">
        <f t="shared" si="9"/>
        <v>0.2061855670103093</v>
      </c>
      <c r="J194" s="161">
        <v>0</v>
      </c>
      <c r="K194" s="144">
        <f t="shared" si="7"/>
        <v>0</v>
      </c>
      <c r="L194" s="1054">
        <v>0</v>
      </c>
      <c r="M194" s="144" t="e">
        <f>K194/L194</f>
        <v>#DIV/0!</v>
      </c>
      <c r="N194" s="155" t="e">
        <f t="shared" si="8"/>
        <v>#DIV/0!</v>
      </c>
    </row>
    <row r="195" spans="5:14" ht="15" customHeight="1">
      <c r="E195" s="57"/>
      <c r="F195" s="57"/>
      <c r="G195" s="144" t="s">
        <v>1824</v>
      </c>
      <c r="H195" s="142">
        <v>1.4</v>
      </c>
      <c r="I195" s="143">
        <f t="shared" si="9"/>
        <v>0.7142857142857143</v>
      </c>
      <c r="J195" s="161">
        <v>0</v>
      </c>
      <c r="K195" s="144">
        <f t="shared" si="7"/>
        <v>0</v>
      </c>
      <c r="L195" s="1054">
        <v>0</v>
      </c>
      <c r="M195" s="144" t="e">
        <f>K195/L195</f>
        <v>#DIV/0!</v>
      </c>
      <c r="N195" s="155" t="e">
        <f t="shared" si="8"/>
        <v>#DIV/0!</v>
      </c>
    </row>
    <row r="196" spans="5:14" ht="15" customHeight="1">
      <c r="E196" s="57"/>
      <c r="F196" s="57"/>
      <c r="G196" s="144" t="s">
        <v>1826</v>
      </c>
      <c r="H196" s="142">
        <v>0.33100000000000002</v>
      </c>
      <c r="I196" s="143">
        <f t="shared" si="9"/>
        <v>3.0211480362537761</v>
      </c>
      <c r="J196" s="161">
        <v>0</v>
      </c>
      <c r="K196" s="144">
        <f t="shared" si="7"/>
        <v>0</v>
      </c>
      <c r="L196" s="1054">
        <v>0</v>
      </c>
      <c r="M196" s="144" t="e">
        <f>K196/L196</f>
        <v>#DIV/0!</v>
      </c>
      <c r="N196" s="155" t="e">
        <f t="shared" si="8"/>
        <v>#DIV/0!</v>
      </c>
    </row>
    <row r="197" spans="5:14" ht="15" customHeight="1">
      <c r="E197" s="57"/>
      <c r="F197" s="57"/>
      <c r="G197" s="144" t="s">
        <v>20</v>
      </c>
      <c r="H197" s="142">
        <v>0.17</v>
      </c>
      <c r="I197" s="143">
        <f t="shared" si="9"/>
        <v>5.8823529411764701</v>
      </c>
      <c r="J197" s="161">
        <v>0</v>
      </c>
      <c r="K197" s="144">
        <f t="shared" si="7"/>
        <v>0</v>
      </c>
      <c r="L197" s="1054">
        <v>0</v>
      </c>
      <c r="M197" s="144" t="e">
        <f>K197/L197</f>
        <v>#DIV/0!</v>
      </c>
      <c r="N197" s="155" t="e">
        <f t="shared" si="8"/>
        <v>#DIV/0!</v>
      </c>
    </row>
    <row r="198" spans="5:14" ht="15" customHeight="1">
      <c r="E198" s="57"/>
      <c r="F198" s="57"/>
      <c r="G198" s="144"/>
      <c r="H198" s="142"/>
      <c r="I198" s="143"/>
      <c r="J198" s="161"/>
      <c r="K198" s="144"/>
      <c r="L198" s="1054"/>
      <c r="M198" s="144"/>
      <c r="N198" s="155"/>
    </row>
    <row r="199" spans="5:14" ht="15" customHeight="1">
      <c r="E199" s="57"/>
      <c r="F199" s="57" t="s">
        <v>1904</v>
      </c>
      <c r="G199" s="144" t="s">
        <v>1819</v>
      </c>
      <c r="H199" s="142">
        <v>4.8499999999999996</v>
      </c>
      <c r="I199" s="143">
        <f t="shared" si="9"/>
        <v>0.2061855670103093</v>
      </c>
      <c r="J199" s="161">
        <v>0</v>
      </c>
      <c r="K199" s="144">
        <f t="shared" si="7"/>
        <v>0</v>
      </c>
      <c r="L199" s="1054">
        <v>0</v>
      </c>
      <c r="M199" s="144" t="e">
        <f>K199/L199</f>
        <v>#DIV/0!</v>
      </c>
      <c r="N199" s="155" t="e">
        <f t="shared" si="8"/>
        <v>#DIV/0!</v>
      </c>
    </row>
    <row r="200" spans="5:14" ht="15" customHeight="1">
      <c r="E200" s="57"/>
      <c r="F200" s="57"/>
      <c r="G200" s="144" t="s">
        <v>1824</v>
      </c>
      <c r="H200" s="142">
        <v>1.4</v>
      </c>
      <c r="I200" s="143">
        <f t="shared" si="9"/>
        <v>0.7142857142857143</v>
      </c>
      <c r="J200" s="161">
        <v>0</v>
      </c>
      <c r="K200" s="144">
        <f t="shared" si="7"/>
        <v>0</v>
      </c>
      <c r="L200" s="1054">
        <v>0</v>
      </c>
      <c r="M200" s="144" t="e">
        <f>K200/L200</f>
        <v>#DIV/0!</v>
      </c>
      <c r="N200" s="155" t="e">
        <f t="shared" si="8"/>
        <v>#DIV/0!</v>
      </c>
    </row>
    <row r="201" spans="5:14" ht="15" customHeight="1">
      <c r="E201" s="57"/>
      <c r="F201" s="57"/>
      <c r="G201" s="144" t="s">
        <v>1826</v>
      </c>
      <c r="H201" s="142">
        <v>0.33100000000000002</v>
      </c>
      <c r="I201" s="143">
        <f t="shared" si="9"/>
        <v>3.0211480362537761</v>
      </c>
      <c r="J201" s="161">
        <v>0</v>
      </c>
      <c r="K201" s="144">
        <f t="shared" si="7"/>
        <v>0</v>
      </c>
      <c r="L201" s="1054">
        <v>0</v>
      </c>
      <c r="M201" s="144" t="e">
        <f>K201/L201</f>
        <v>#DIV/0!</v>
      </c>
      <c r="N201" s="155" t="e">
        <f t="shared" si="8"/>
        <v>#DIV/0!</v>
      </c>
    </row>
    <row r="202" spans="5:14" ht="15" customHeight="1">
      <c r="E202" s="57"/>
      <c r="F202" s="57"/>
      <c r="G202" s="144" t="s">
        <v>20</v>
      </c>
      <c r="H202" s="142">
        <v>0.17</v>
      </c>
      <c r="I202" s="143">
        <f t="shared" si="9"/>
        <v>5.8823529411764701</v>
      </c>
      <c r="J202" s="161">
        <v>0</v>
      </c>
      <c r="K202" s="144">
        <f t="shared" si="7"/>
        <v>0</v>
      </c>
      <c r="L202" s="1054">
        <v>0</v>
      </c>
      <c r="M202" s="144" t="e">
        <f>K202/L202</f>
        <v>#DIV/0!</v>
      </c>
      <c r="N202" s="155" t="e">
        <f t="shared" si="8"/>
        <v>#DIV/0!</v>
      </c>
    </row>
    <row r="203" spans="5:14" ht="15" customHeight="1">
      <c r="E203" s="57"/>
      <c r="F203" s="57"/>
      <c r="G203" s="144"/>
      <c r="H203" s="142"/>
      <c r="I203" s="143"/>
      <c r="J203" s="161"/>
      <c r="K203" s="144"/>
      <c r="L203" s="1054"/>
      <c r="M203" s="144"/>
      <c r="N203" s="155"/>
    </row>
    <row r="204" spans="5:14" ht="15" customHeight="1">
      <c r="E204" s="57"/>
      <c r="F204" s="57" t="s">
        <v>1905</v>
      </c>
      <c r="G204" s="144" t="s">
        <v>1819</v>
      </c>
      <c r="H204" s="142">
        <v>4.8499999999999996</v>
      </c>
      <c r="I204" s="143">
        <f t="shared" si="9"/>
        <v>0.2061855670103093</v>
      </c>
      <c r="J204" s="161">
        <v>0</v>
      </c>
      <c r="K204" s="144">
        <f t="shared" si="7"/>
        <v>0</v>
      </c>
      <c r="L204" s="1054">
        <v>0</v>
      </c>
      <c r="M204" s="144" t="e">
        <f>K204/L204</f>
        <v>#DIV/0!</v>
      </c>
      <c r="N204" s="155" t="e">
        <f t="shared" si="8"/>
        <v>#DIV/0!</v>
      </c>
    </row>
    <row r="205" spans="5:14" ht="15" customHeight="1">
      <c r="E205" s="57"/>
      <c r="F205" s="57"/>
      <c r="G205" s="144" t="s">
        <v>1824</v>
      </c>
      <c r="H205" s="142">
        <v>1.4</v>
      </c>
      <c r="I205" s="143">
        <f t="shared" si="9"/>
        <v>0.7142857142857143</v>
      </c>
      <c r="J205" s="161">
        <v>0</v>
      </c>
      <c r="K205" s="144">
        <f t="shared" si="7"/>
        <v>0</v>
      </c>
      <c r="L205" s="1054">
        <v>0</v>
      </c>
      <c r="M205" s="144" t="e">
        <f>K205/L205</f>
        <v>#DIV/0!</v>
      </c>
      <c r="N205" s="155" t="e">
        <f t="shared" si="8"/>
        <v>#DIV/0!</v>
      </c>
    </row>
    <row r="206" spans="5:14" ht="15" customHeight="1">
      <c r="E206" s="57"/>
      <c r="F206" s="57"/>
      <c r="G206" s="144" t="s">
        <v>1826</v>
      </c>
      <c r="H206" s="142">
        <v>0.33100000000000002</v>
      </c>
      <c r="I206" s="143">
        <f t="shared" si="9"/>
        <v>3.0211480362537761</v>
      </c>
      <c r="J206" s="161">
        <v>0</v>
      </c>
      <c r="K206" s="144">
        <f t="shared" si="7"/>
        <v>0</v>
      </c>
      <c r="L206" s="1054">
        <v>0</v>
      </c>
      <c r="M206" s="144" t="e">
        <f>K206/L206</f>
        <v>#DIV/0!</v>
      </c>
      <c r="N206" s="155" t="e">
        <f t="shared" si="8"/>
        <v>#DIV/0!</v>
      </c>
    </row>
    <row r="207" spans="5:14" ht="15" customHeight="1">
      <c r="E207" s="57"/>
      <c r="F207" s="57"/>
      <c r="G207" s="144" t="s">
        <v>20</v>
      </c>
      <c r="H207" s="142">
        <v>0.17</v>
      </c>
      <c r="I207" s="143">
        <f t="shared" si="9"/>
        <v>5.8823529411764701</v>
      </c>
      <c r="J207" s="161">
        <v>0</v>
      </c>
      <c r="K207" s="144">
        <f t="shared" si="7"/>
        <v>0</v>
      </c>
      <c r="L207" s="1054">
        <v>0</v>
      </c>
      <c r="M207" s="144" t="e">
        <f>K207/L207</f>
        <v>#DIV/0!</v>
      </c>
      <c r="N207" s="155" t="e">
        <f t="shared" si="8"/>
        <v>#DIV/0!</v>
      </c>
    </row>
    <row r="208" spans="5:14" ht="15" customHeight="1">
      <c r="E208" s="57"/>
      <c r="F208" s="57"/>
      <c r="G208" s="144"/>
      <c r="H208" s="142"/>
      <c r="I208" s="143"/>
      <c r="J208" s="161"/>
      <c r="K208" s="144"/>
      <c r="L208" s="1054"/>
      <c r="M208" s="144"/>
      <c r="N208" s="155"/>
    </row>
    <row r="209" spans="5:14" ht="15" customHeight="1">
      <c r="E209" s="57"/>
      <c r="F209" s="57" t="s">
        <v>1906</v>
      </c>
      <c r="G209" s="144" t="s">
        <v>1819</v>
      </c>
      <c r="H209" s="142">
        <v>4.8499999999999996</v>
      </c>
      <c r="I209" s="143">
        <f t="shared" si="9"/>
        <v>0.2061855670103093</v>
      </c>
      <c r="J209" s="161">
        <v>0</v>
      </c>
      <c r="K209" s="144">
        <f t="shared" si="7"/>
        <v>0</v>
      </c>
      <c r="L209" s="1054">
        <v>0</v>
      </c>
      <c r="M209" s="144" t="e">
        <f>K209/L209</f>
        <v>#DIV/0!</v>
      </c>
      <c r="N209" s="155" t="e">
        <f t="shared" si="8"/>
        <v>#DIV/0!</v>
      </c>
    </row>
    <row r="210" spans="5:14" ht="15" customHeight="1">
      <c r="E210" s="57"/>
      <c r="F210" s="57"/>
      <c r="G210" s="144" t="s">
        <v>1824</v>
      </c>
      <c r="H210" s="142">
        <v>1.4</v>
      </c>
      <c r="I210" s="143">
        <f t="shared" si="9"/>
        <v>0.7142857142857143</v>
      </c>
      <c r="J210" s="161">
        <v>0</v>
      </c>
      <c r="K210" s="144">
        <f t="shared" si="7"/>
        <v>0</v>
      </c>
      <c r="L210" s="1054">
        <v>0</v>
      </c>
      <c r="M210" s="144" t="e">
        <f>K210/L210</f>
        <v>#DIV/0!</v>
      </c>
      <c r="N210" s="155" t="e">
        <f t="shared" si="8"/>
        <v>#DIV/0!</v>
      </c>
    </row>
    <row r="211" spans="5:14" ht="15" customHeight="1">
      <c r="E211" s="57"/>
      <c r="F211" s="57"/>
      <c r="G211" s="144" t="s">
        <v>1826</v>
      </c>
      <c r="H211" s="142">
        <v>0.33100000000000002</v>
      </c>
      <c r="I211" s="143">
        <f t="shared" si="9"/>
        <v>3.0211480362537761</v>
      </c>
      <c r="J211" s="161">
        <v>0</v>
      </c>
      <c r="K211" s="144">
        <f t="shared" si="7"/>
        <v>0</v>
      </c>
      <c r="L211" s="1054">
        <v>0</v>
      </c>
      <c r="M211" s="144" t="e">
        <f>K211/L211</f>
        <v>#DIV/0!</v>
      </c>
      <c r="N211" s="155" t="e">
        <f t="shared" si="8"/>
        <v>#DIV/0!</v>
      </c>
    </row>
    <row r="212" spans="5:14" ht="15" customHeight="1">
      <c r="E212" s="57"/>
      <c r="F212" s="57"/>
      <c r="G212" s="144" t="s">
        <v>20</v>
      </c>
      <c r="H212" s="142">
        <v>0.17</v>
      </c>
      <c r="I212" s="143">
        <f t="shared" si="9"/>
        <v>5.8823529411764701</v>
      </c>
      <c r="J212" s="161">
        <v>0</v>
      </c>
      <c r="K212" s="144">
        <f t="shared" si="7"/>
        <v>0</v>
      </c>
      <c r="L212" s="1054">
        <v>0</v>
      </c>
      <c r="M212" s="144" t="e">
        <f>K212/L212</f>
        <v>#DIV/0!</v>
      </c>
      <c r="N212" s="155" t="e">
        <f t="shared" si="8"/>
        <v>#DIV/0!</v>
      </c>
    </row>
    <row r="213" spans="5:14" ht="15" customHeight="1">
      <c r="E213" s="57"/>
      <c r="F213" s="57"/>
      <c r="G213" s="144"/>
      <c r="H213" s="142"/>
      <c r="I213" s="143"/>
      <c r="J213" s="161"/>
      <c r="K213" s="144"/>
      <c r="L213" s="1054"/>
      <c r="M213" s="144"/>
      <c r="N213" s="155"/>
    </row>
    <row r="214" spans="5:14" ht="15" customHeight="1">
      <c r="E214" s="57"/>
      <c r="F214" s="57" t="s">
        <v>1907</v>
      </c>
      <c r="G214" s="144" t="s">
        <v>1819</v>
      </c>
      <c r="H214" s="142">
        <v>4.8499999999999996</v>
      </c>
      <c r="I214" s="143">
        <f t="shared" si="9"/>
        <v>0.2061855670103093</v>
      </c>
      <c r="J214" s="161">
        <v>0</v>
      </c>
      <c r="K214" s="144">
        <f t="shared" si="7"/>
        <v>0</v>
      </c>
      <c r="L214" s="1054">
        <v>0</v>
      </c>
      <c r="M214" s="144" t="e">
        <f>K214/L214</f>
        <v>#DIV/0!</v>
      </c>
      <c r="N214" s="155" t="e">
        <f t="shared" si="8"/>
        <v>#DIV/0!</v>
      </c>
    </row>
    <row r="215" spans="5:14" ht="15" customHeight="1">
      <c r="E215" s="57"/>
      <c r="F215" s="57"/>
      <c r="G215" s="144" t="s">
        <v>1824</v>
      </c>
      <c r="H215" s="142">
        <v>1.4</v>
      </c>
      <c r="I215" s="143">
        <f t="shared" si="9"/>
        <v>0.7142857142857143</v>
      </c>
      <c r="J215" s="161">
        <v>0</v>
      </c>
      <c r="K215" s="144">
        <f t="shared" si="7"/>
        <v>0</v>
      </c>
      <c r="L215" s="1054">
        <v>0</v>
      </c>
      <c r="M215" s="144" t="e">
        <f>K215/L215</f>
        <v>#DIV/0!</v>
      </c>
      <c r="N215" s="155" t="e">
        <f t="shared" si="8"/>
        <v>#DIV/0!</v>
      </c>
    </row>
    <row r="216" spans="5:14" ht="15" customHeight="1">
      <c r="E216" s="57"/>
      <c r="F216" s="57"/>
      <c r="G216" s="144" t="s">
        <v>1826</v>
      </c>
      <c r="H216" s="142">
        <v>0.33100000000000002</v>
      </c>
      <c r="I216" s="143">
        <f t="shared" si="9"/>
        <v>3.0211480362537761</v>
      </c>
      <c r="J216" s="161">
        <v>0</v>
      </c>
      <c r="K216" s="144">
        <f t="shared" si="7"/>
        <v>0</v>
      </c>
      <c r="L216" s="1054">
        <v>0</v>
      </c>
      <c r="M216" s="144" t="e">
        <f>K216/L216</f>
        <v>#DIV/0!</v>
      </c>
      <c r="N216" s="155" t="e">
        <f t="shared" si="8"/>
        <v>#DIV/0!</v>
      </c>
    </row>
    <row r="217" spans="5:14" ht="15" customHeight="1">
      <c r="E217" s="57"/>
      <c r="F217" s="57"/>
      <c r="G217" s="144" t="s">
        <v>20</v>
      </c>
      <c r="H217" s="142">
        <v>0.17</v>
      </c>
      <c r="I217" s="143">
        <f t="shared" si="9"/>
        <v>5.8823529411764701</v>
      </c>
      <c r="J217" s="161">
        <v>0</v>
      </c>
      <c r="K217" s="144">
        <f t="shared" si="7"/>
        <v>0</v>
      </c>
      <c r="L217" s="1054">
        <v>0</v>
      </c>
      <c r="M217" s="144" t="e">
        <f>K217/L217</f>
        <v>#DIV/0!</v>
      </c>
      <c r="N217" s="155" t="e">
        <f t="shared" si="8"/>
        <v>#DIV/0!</v>
      </c>
    </row>
    <row r="218" spans="5:14" ht="15" customHeight="1">
      <c r="E218" s="57"/>
      <c r="F218" s="57"/>
      <c r="G218" s="144"/>
      <c r="H218" s="142"/>
      <c r="I218" s="143"/>
      <c r="J218" s="161"/>
      <c r="K218" s="144"/>
      <c r="L218" s="1054"/>
      <c r="M218" s="144"/>
      <c r="N218" s="155"/>
    </row>
    <row r="219" spans="5:14" ht="15" customHeight="1">
      <c r="E219" s="57"/>
      <c r="F219" s="57" t="s">
        <v>1908</v>
      </c>
      <c r="G219" s="144" t="s">
        <v>1819</v>
      </c>
      <c r="H219" s="142">
        <v>4.8499999999999996</v>
      </c>
      <c r="I219" s="143">
        <f t="shared" si="9"/>
        <v>0.2061855670103093</v>
      </c>
      <c r="J219" s="161">
        <v>0</v>
      </c>
      <c r="K219" s="144">
        <f t="shared" si="7"/>
        <v>0</v>
      </c>
      <c r="L219" s="1054">
        <v>0</v>
      </c>
      <c r="M219" s="144" t="e">
        <f>K219/L219</f>
        <v>#DIV/0!</v>
      </c>
      <c r="N219" s="155" t="e">
        <f t="shared" si="8"/>
        <v>#DIV/0!</v>
      </c>
    </row>
    <row r="220" spans="5:14" ht="15" customHeight="1">
      <c r="E220" s="57"/>
      <c r="F220" s="57"/>
      <c r="G220" s="144" t="s">
        <v>1824</v>
      </c>
      <c r="H220" s="142">
        <v>1.4</v>
      </c>
      <c r="I220" s="143">
        <f t="shared" si="9"/>
        <v>0.7142857142857143</v>
      </c>
      <c r="J220" s="161">
        <v>0</v>
      </c>
      <c r="K220" s="144">
        <f t="shared" si="7"/>
        <v>0</v>
      </c>
      <c r="L220" s="1054">
        <v>0</v>
      </c>
      <c r="M220" s="144" t="e">
        <f>K220/L220</f>
        <v>#DIV/0!</v>
      </c>
      <c r="N220" s="155" t="e">
        <f t="shared" si="8"/>
        <v>#DIV/0!</v>
      </c>
    </row>
    <row r="221" spans="5:14" ht="15" customHeight="1">
      <c r="E221" s="57"/>
      <c r="F221" s="57"/>
      <c r="G221" s="144" t="s">
        <v>1826</v>
      </c>
      <c r="H221" s="142">
        <v>0.33100000000000002</v>
      </c>
      <c r="I221" s="143">
        <f t="shared" si="9"/>
        <v>3.0211480362537761</v>
      </c>
      <c r="J221" s="161">
        <v>0</v>
      </c>
      <c r="K221" s="144">
        <f t="shared" si="7"/>
        <v>0</v>
      </c>
      <c r="L221" s="1054">
        <v>0</v>
      </c>
      <c r="M221" s="144" t="e">
        <f>K221/L221</f>
        <v>#DIV/0!</v>
      </c>
      <c r="N221" s="155" t="e">
        <f t="shared" si="8"/>
        <v>#DIV/0!</v>
      </c>
    </row>
    <row r="222" spans="5:14" ht="15" customHeight="1">
      <c r="E222" s="57"/>
      <c r="F222" s="57"/>
      <c r="G222" s="144" t="s">
        <v>20</v>
      </c>
      <c r="H222" s="142">
        <v>0.17</v>
      </c>
      <c r="I222" s="143">
        <f t="shared" si="9"/>
        <v>5.8823529411764701</v>
      </c>
      <c r="J222" s="161">
        <v>0</v>
      </c>
      <c r="K222" s="144">
        <f t="shared" si="7"/>
        <v>0</v>
      </c>
      <c r="L222" s="1054">
        <v>0</v>
      </c>
      <c r="M222" s="144" t="e">
        <f>K222/L222</f>
        <v>#DIV/0!</v>
      </c>
      <c r="N222" s="155" t="e">
        <f t="shared" si="8"/>
        <v>#DIV/0!</v>
      </c>
    </row>
    <row r="223" spans="5:14" ht="15" customHeight="1">
      <c r="E223" s="57"/>
      <c r="F223" s="57"/>
      <c r="G223" s="144"/>
      <c r="H223" s="142"/>
      <c r="I223" s="143"/>
      <c r="J223" s="161"/>
      <c r="K223" s="144"/>
      <c r="L223" s="1054"/>
      <c r="M223" s="144"/>
      <c r="N223" s="155"/>
    </row>
    <row r="224" spans="5:14" ht="15" customHeight="1">
      <c r="E224" s="57"/>
      <c r="F224" s="57" t="s">
        <v>1909</v>
      </c>
      <c r="G224" s="144" t="s">
        <v>1819</v>
      </c>
      <c r="H224" s="142">
        <v>4.8499999999999996</v>
      </c>
      <c r="I224" s="143">
        <f t="shared" si="9"/>
        <v>0.2061855670103093</v>
      </c>
      <c r="J224" s="161">
        <v>0</v>
      </c>
      <c r="K224" s="144">
        <f t="shared" si="7"/>
        <v>0</v>
      </c>
      <c r="L224" s="1054">
        <v>0</v>
      </c>
      <c r="M224" s="144" t="e">
        <f>K224/L224</f>
        <v>#DIV/0!</v>
      </c>
      <c r="N224" s="155" t="e">
        <f t="shared" si="8"/>
        <v>#DIV/0!</v>
      </c>
    </row>
    <row r="225" spans="5:14" ht="15" customHeight="1">
      <c r="E225" s="57"/>
      <c r="F225" s="57"/>
      <c r="G225" s="144" t="s">
        <v>1824</v>
      </c>
      <c r="H225" s="142">
        <v>1.4</v>
      </c>
      <c r="I225" s="143">
        <f t="shared" si="9"/>
        <v>0.7142857142857143</v>
      </c>
      <c r="J225" s="161">
        <v>0</v>
      </c>
      <c r="K225" s="144">
        <f t="shared" si="7"/>
        <v>0</v>
      </c>
      <c r="L225" s="1054">
        <v>0</v>
      </c>
      <c r="M225" s="144" t="e">
        <f>K225/L225</f>
        <v>#DIV/0!</v>
      </c>
      <c r="N225" s="155" t="e">
        <f t="shared" si="8"/>
        <v>#DIV/0!</v>
      </c>
    </row>
    <row r="226" spans="5:14" ht="15" customHeight="1">
      <c r="E226" s="57"/>
      <c r="F226" s="57"/>
      <c r="G226" s="144" t="s">
        <v>1826</v>
      </c>
      <c r="H226" s="142">
        <v>0.33100000000000002</v>
      </c>
      <c r="I226" s="143">
        <f t="shared" si="9"/>
        <v>3.0211480362537761</v>
      </c>
      <c r="J226" s="161">
        <v>0</v>
      </c>
      <c r="K226" s="144">
        <f t="shared" si="7"/>
        <v>0</v>
      </c>
      <c r="L226" s="1054">
        <v>0</v>
      </c>
      <c r="M226" s="144" t="e">
        <f>K226/L226</f>
        <v>#DIV/0!</v>
      </c>
      <c r="N226" s="155" t="e">
        <f t="shared" si="8"/>
        <v>#DIV/0!</v>
      </c>
    </row>
    <row r="227" spans="5:14" ht="15" customHeight="1">
      <c r="E227" s="57"/>
      <c r="F227" s="57"/>
      <c r="G227" s="144" t="s">
        <v>20</v>
      </c>
      <c r="H227" s="142">
        <v>0.17</v>
      </c>
      <c r="I227" s="143">
        <f t="shared" si="9"/>
        <v>5.8823529411764701</v>
      </c>
      <c r="J227" s="161">
        <v>0</v>
      </c>
      <c r="K227" s="144">
        <f t="shared" ref="K227:K312" si="11">J227/I227</f>
        <v>0</v>
      </c>
      <c r="L227" s="1054">
        <v>0</v>
      </c>
      <c r="M227" s="144" t="e">
        <f t="shared" ref="M227:M311" si="12">K227/L227</f>
        <v>#DIV/0!</v>
      </c>
      <c r="N227" s="155" t="e">
        <f t="shared" ref="N227:N311" si="13">M227</f>
        <v>#DIV/0!</v>
      </c>
    </row>
    <row r="228" spans="5:14" ht="15" customHeight="1">
      <c r="E228" s="57"/>
      <c r="F228" s="57"/>
      <c r="G228" s="144"/>
      <c r="H228" s="142"/>
      <c r="I228" s="143"/>
      <c r="J228" s="161"/>
      <c r="K228" s="144"/>
      <c r="L228" s="1054"/>
      <c r="M228" s="144"/>
      <c r="N228" s="155"/>
    </row>
    <row r="229" spans="5:14" ht="15" customHeight="1">
      <c r="E229" s="57"/>
      <c r="F229" s="57" t="s">
        <v>1910</v>
      </c>
      <c r="G229" s="144" t="s">
        <v>1819</v>
      </c>
      <c r="H229" s="142">
        <v>4.8499999999999996</v>
      </c>
      <c r="I229" s="143">
        <f t="shared" si="9"/>
        <v>0.2061855670103093</v>
      </c>
      <c r="J229" s="161">
        <v>0</v>
      </c>
      <c r="K229" s="144">
        <f t="shared" si="11"/>
        <v>0</v>
      </c>
      <c r="L229" s="1054">
        <v>0</v>
      </c>
      <c r="M229" s="144" t="e">
        <f t="shared" si="12"/>
        <v>#DIV/0!</v>
      </c>
      <c r="N229" s="155" t="e">
        <f t="shared" si="13"/>
        <v>#DIV/0!</v>
      </c>
    </row>
    <row r="230" spans="5:14" ht="15" customHeight="1">
      <c r="E230" s="57"/>
      <c r="F230" s="57"/>
      <c r="G230" s="144" t="s">
        <v>1824</v>
      </c>
      <c r="H230" s="142">
        <v>1.4</v>
      </c>
      <c r="I230" s="143">
        <f t="shared" ref="I230:I312" si="14">1/H230</f>
        <v>0.7142857142857143</v>
      </c>
      <c r="J230" s="161">
        <v>0</v>
      </c>
      <c r="K230" s="144">
        <f t="shared" si="11"/>
        <v>0</v>
      </c>
      <c r="L230" s="1054">
        <v>0</v>
      </c>
      <c r="M230" s="144" t="e">
        <f t="shared" si="12"/>
        <v>#DIV/0!</v>
      </c>
      <c r="N230" s="155" t="e">
        <f t="shared" si="13"/>
        <v>#DIV/0!</v>
      </c>
    </row>
    <row r="231" spans="5:14" ht="15" customHeight="1">
      <c r="E231" s="57"/>
      <c r="F231" s="57"/>
      <c r="G231" s="144" t="s">
        <v>1826</v>
      </c>
      <c r="H231" s="142">
        <v>0.33100000000000002</v>
      </c>
      <c r="I231" s="143">
        <f t="shared" si="14"/>
        <v>3.0211480362537761</v>
      </c>
      <c r="J231" s="161">
        <v>0</v>
      </c>
      <c r="K231" s="144">
        <f t="shared" si="11"/>
        <v>0</v>
      </c>
      <c r="L231" s="1054">
        <v>0</v>
      </c>
      <c r="M231" s="144" t="e">
        <f t="shared" si="12"/>
        <v>#DIV/0!</v>
      </c>
      <c r="N231" s="155" t="e">
        <f t="shared" si="13"/>
        <v>#DIV/0!</v>
      </c>
    </row>
    <row r="232" spans="5:14" ht="15" customHeight="1">
      <c r="E232" s="57"/>
      <c r="F232" s="57"/>
      <c r="G232" s="144" t="s">
        <v>20</v>
      </c>
      <c r="H232" s="142">
        <v>0.17</v>
      </c>
      <c r="I232" s="143">
        <f t="shared" si="14"/>
        <v>5.8823529411764701</v>
      </c>
      <c r="J232" s="161">
        <v>0</v>
      </c>
      <c r="K232" s="144">
        <f t="shared" si="11"/>
        <v>0</v>
      </c>
      <c r="L232" s="1054">
        <v>0</v>
      </c>
      <c r="M232" s="144" t="e">
        <f t="shared" si="12"/>
        <v>#DIV/0!</v>
      </c>
      <c r="N232" s="155" t="e">
        <f t="shared" si="13"/>
        <v>#DIV/0!</v>
      </c>
    </row>
    <row r="233" spans="5:14" ht="15" customHeight="1">
      <c r="E233" s="57"/>
      <c r="F233" s="57"/>
      <c r="G233" s="144"/>
      <c r="H233" s="142"/>
      <c r="I233" s="143"/>
      <c r="J233" s="161"/>
      <c r="K233" s="144"/>
      <c r="L233" s="1054"/>
      <c r="M233" s="144"/>
      <c r="N233" s="155"/>
    </row>
    <row r="234" spans="5:14" ht="15" customHeight="1">
      <c r="E234" s="57"/>
      <c r="F234" s="57" t="s">
        <v>1911</v>
      </c>
      <c r="G234" s="144" t="s">
        <v>1819</v>
      </c>
      <c r="H234" s="142">
        <v>4.8499999999999996</v>
      </c>
      <c r="I234" s="143">
        <f t="shared" si="14"/>
        <v>0.2061855670103093</v>
      </c>
      <c r="J234" s="161">
        <v>0</v>
      </c>
      <c r="K234" s="144">
        <f t="shared" si="11"/>
        <v>0</v>
      </c>
      <c r="L234" s="1054">
        <v>0</v>
      </c>
      <c r="M234" s="144" t="e">
        <f t="shared" si="12"/>
        <v>#DIV/0!</v>
      </c>
      <c r="N234" s="155" t="e">
        <f t="shared" si="13"/>
        <v>#DIV/0!</v>
      </c>
    </row>
    <row r="235" spans="5:14" ht="15" customHeight="1">
      <c r="E235" s="57"/>
      <c r="F235" s="57"/>
      <c r="G235" s="144" t="s">
        <v>1824</v>
      </c>
      <c r="H235" s="142">
        <v>1.4</v>
      </c>
      <c r="I235" s="143">
        <f t="shared" si="14"/>
        <v>0.7142857142857143</v>
      </c>
      <c r="J235" s="161">
        <v>0</v>
      </c>
      <c r="K235" s="144">
        <f t="shared" si="11"/>
        <v>0</v>
      </c>
      <c r="L235" s="1054">
        <v>0</v>
      </c>
      <c r="M235" s="144" t="e">
        <f t="shared" si="12"/>
        <v>#DIV/0!</v>
      </c>
      <c r="N235" s="155" t="e">
        <f t="shared" si="13"/>
        <v>#DIV/0!</v>
      </c>
    </row>
    <row r="236" spans="5:14" ht="15" customHeight="1">
      <c r="E236" s="57"/>
      <c r="F236" s="57"/>
      <c r="G236" s="144" t="s">
        <v>1826</v>
      </c>
      <c r="H236" s="142">
        <v>0.33100000000000002</v>
      </c>
      <c r="I236" s="143">
        <f t="shared" si="14"/>
        <v>3.0211480362537761</v>
      </c>
      <c r="J236" s="161">
        <v>0</v>
      </c>
      <c r="K236" s="144">
        <f t="shared" si="11"/>
        <v>0</v>
      </c>
      <c r="L236" s="1054">
        <v>0</v>
      </c>
      <c r="M236" s="144" t="e">
        <f t="shared" si="12"/>
        <v>#DIV/0!</v>
      </c>
      <c r="N236" s="155" t="e">
        <f t="shared" si="13"/>
        <v>#DIV/0!</v>
      </c>
    </row>
    <row r="237" spans="5:14" ht="15" customHeight="1">
      <c r="E237" s="57"/>
      <c r="F237" s="57"/>
      <c r="G237" s="144" t="s">
        <v>20</v>
      </c>
      <c r="H237" s="142">
        <v>0.17</v>
      </c>
      <c r="I237" s="143">
        <f t="shared" si="14"/>
        <v>5.8823529411764701</v>
      </c>
      <c r="J237" s="161">
        <v>0</v>
      </c>
      <c r="K237" s="144">
        <f t="shared" si="11"/>
        <v>0</v>
      </c>
      <c r="L237" s="1054">
        <v>0</v>
      </c>
      <c r="M237" s="144" t="e">
        <f t="shared" si="12"/>
        <v>#DIV/0!</v>
      </c>
      <c r="N237" s="155" t="e">
        <f t="shared" si="13"/>
        <v>#DIV/0!</v>
      </c>
    </row>
    <row r="238" spans="5:14" ht="15" customHeight="1">
      <c r="E238" s="57"/>
      <c r="F238" s="57"/>
      <c r="G238" s="144"/>
      <c r="H238" s="142"/>
      <c r="I238" s="143"/>
      <c r="J238" s="161"/>
      <c r="K238" s="144"/>
      <c r="L238" s="1054"/>
      <c r="M238" s="144"/>
      <c r="N238" s="155"/>
    </row>
    <row r="239" spans="5:14" ht="15" customHeight="1">
      <c r="E239" s="57"/>
      <c r="F239" s="57" t="s">
        <v>1912</v>
      </c>
      <c r="G239" s="144" t="s">
        <v>1819</v>
      </c>
      <c r="H239" s="142">
        <v>4.8499999999999996</v>
      </c>
      <c r="I239" s="143">
        <f t="shared" si="14"/>
        <v>0.2061855670103093</v>
      </c>
      <c r="J239" s="161">
        <v>0</v>
      </c>
      <c r="K239" s="144">
        <f t="shared" si="11"/>
        <v>0</v>
      </c>
      <c r="L239" s="1054">
        <v>0</v>
      </c>
      <c r="M239" s="144" t="e">
        <f t="shared" si="12"/>
        <v>#DIV/0!</v>
      </c>
      <c r="N239" s="155" t="e">
        <f t="shared" si="13"/>
        <v>#DIV/0!</v>
      </c>
    </row>
    <row r="240" spans="5:14" ht="15" customHeight="1">
      <c r="E240" s="57"/>
      <c r="F240" s="57"/>
      <c r="G240" s="144" t="s">
        <v>1824</v>
      </c>
      <c r="H240" s="142">
        <v>1.4</v>
      </c>
      <c r="I240" s="143">
        <f t="shared" si="14"/>
        <v>0.7142857142857143</v>
      </c>
      <c r="J240" s="161">
        <v>0</v>
      </c>
      <c r="K240" s="144">
        <f t="shared" si="11"/>
        <v>0</v>
      </c>
      <c r="L240" s="1054">
        <v>0</v>
      </c>
      <c r="M240" s="144" t="e">
        <f t="shared" si="12"/>
        <v>#DIV/0!</v>
      </c>
      <c r="N240" s="155" t="e">
        <f t="shared" si="13"/>
        <v>#DIV/0!</v>
      </c>
    </row>
    <row r="241" spans="5:14" ht="15" customHeight="1">
      <c r="E241" s="57"/>
      <c r="F241" s="57"/>
      <c r="G241" s="144" t="s">
        <v>1826</v>
      </c>
      <c r="H241" s="142">
        <v>0.33100000000000002</v>
      </c>
      <c r="I241" s="143">
        <f t="shared" si="14"/>
        <v>3.0211480362537761</v>
      </c>
      <c r="J241" s="161">
        <v>0</v>
      </c>
      <c r="K241" s="144">
        <f t="shared" si="11"/>
        <v>0</v>
      </c>
      <c r="L241" s="1054">
        <v>0</v>
      </c>
      <c r="M241" s="144" t="e">
        <f t="shared" si="12"/>
        <v>#DIV/0!</v>
      </c>
      <c r="N241" s="155" t="e">
        <f t="shared" si="13"/>
        <v>#DIV/0!</v>
      </c>
    </row>
    <row r="242" spans="5:14" ht="15" customHeight="1">
      <c r="E242" s="57"/>
      <c r="F242" s="57"/>
      <c r="G242" s="144" t="s">
        <v>20</v>
      </c>
      <c r="H242" s="142">
        <v>0.17</v>
      </c>
      <c r="I242" s="143">
        <f t="shared" si="14"/>
        <v>5.8823529411764701</v>
      </c>
      <c r="J242" s="161">
        <v>0</v>
      </c>
      <c r="K242" s="144">
        <f t="shared" si="11"/>
        <v>0</v>
      </c>
      <c r="L242" s="1054">
        <v>0</v>
      </c>
      <c r="M242" s="144" t="e">
        <f>K242/L242</f>
        <v>#DIV/0!</v>
      </c>
      <c r="N242" s="155" t="e">
        <f t="shared" si="13"/>
        <v>#DIV/0!</v>
      </c>
    </row>
    <row r="243" spans="5:14" ht="15" customHeight="1">
      <c r="E243" s="57"/>
      <c r="F243" s="57"/>
      <c r="G243" s="144"/>
      <c r="H243" s="142"/>
      <c r="I243" s="143"/>
      <c r="J243" s="161"/>
      <c r="K243" s="144"/>
      <c r="L243" s="1054"/>
      <c r="M243" s="144"/>
      <c r="N243" s="155"/>
    </row>
    <row r="244" spans="5:14" ht="15" customHeight="1">
      <c r="E244" s="57"/>
      <c r="F244" s="57" t="s">
        <v>1913</v>
      </c>
      <c r="G244" s="144" t="s">
        <v>1819</v>
      </c>
      <c r="H244" s="142">
        <v>4.8499999999999996</v>
      </c>
      <c r="I244" s="143">
        <f t="shared" si="14"/>
        <v>0.2061855670103093</v>
      </c>
      <c r="J244" s="161">
        <v>0</v>
      </c>
      <c r="K244" s="144">
        <f t="shared" si="11"/>
        <v>0</v>
      </c>
      <c r="L244" s="1054">
        <v>0</v>
      </c>
      <c r="M244" s="144" t="e">
        <f t="shared" si="12"/>
        <v>#DIV/0!</v>
      </c>
      <c r="N244" s="155" t="e">
        <f t="shared" si="13"/>
        <v>#DIV/0!</v>
      </c>
    </row>
    <row r="245" spans="5:14" ht="15" customHeight="1">
      <c r="E245" s="57"/>
      <c r="F245" s="57"/>
      <c r="G245" s="144" t="s">
        <v>1824</v>
      </c>
      <c r="H245" s="142">
        <v>1.4</v>
      </c>
      <c r="I245" s="143">
        <f t="shared" si="14"/>
        <v>0.7142857142857143</v>
      </c>
      <c r="J245" s="161">
        <v>0</v>
      </c>
      <c r="K245" s="144">
        <f t="shared" si="11"/>
        <v>0</v>
      </c>
      <c r="L245" s="1054">
        <v>0</v>
      </c>
      <c r="M245" s="144" t="e">
        <f t="shared" si="12"/>
        <v>#DIV/0!</v>
      </c>
      <c r="N245" s="155" t="e">
        <f t="shared" si="13"/>
        <v>#DIV/0!</v>
      </c>
    </row>
    <row r="246" spans="5:14" ht="15" customHeight="1">
      <c r="E246" s="57"/>
      <c r="F246" s="57"/>
      <c r="G246" s="144" t="s">
        <v>1826</v>
      </c>
      <c r="H246" s="142">
        <v>0.33100000000000002</v>
      </c>
      <c r="I246" s="143">
        <f t="shared" si="14"/>
        <v>3.0211480362537761</v>
      </c>
      <c r="J246" s="161">
        <v>0</v>
      </c>
      <c r="K246" s="144">
        <f t="shared" si="11"/>
        <v>0</v>
      </c>
      <c r="L246" s="1054">
        <v>0</v>
      </c>
      <c r="M246" s="144" t="e">
        <f t="shared" si="12"/>
        <v>#DIV/0!</v>
      </c>
      <c r="N246" s="155" t="e">
        <f t="shared" si="13"/>
        <v>#DIV/0!</v>
      </c>
    </row>
    <row r="247" spans="5:14" ht="15" customHeight="1">
      <c r="E247" s="57"/>
      <c r="F247" s="57"/>
      <c r="G247" s="144" t="s">
        <v>20</v>
      </c>
      <c r="H247" s="142">
        <v>0.17</v>
      </c>
      <c r="I247" s="143">
        <f t="shared" si="14"/>
        <v>5.8823529411764701</v>
      </c>
      <c r="J247" s="161">
        <v>0</v>
      </c>
      <c r="K247" s="144">
        <f t="shared" si="11"/>
        <v>0</v>
      </c>
      <c r="L247" s="1054">
        <v>0</v>
      </c>
      <c r="M247" s="144" t="e">
        <f t="shared" si="12"/>
        <v>#DIV/0!</v>
      </c>
      <c r="N247" s="155" t="e">
        <f t="shared" si="13"/>
        <v>#DIV/0!</v>
      </c>
    </row>
    <row r="248" spans="5:14" ht="15" customHeight="1">
      <c r="E248" s="57"/>
      <c r="F248" s="57"/>
      <c r="G248" s="144"/>
      <c r="H248" s="142"/>
      <c r="I248" s="143"/>
      <c r="J248" s="161"/>
      <c r="K248" s="144"/>
      <c r="L248" s="1054"/>
      <c r="M248" s="144"/>
      <c r="N248" s="155"/>
    </row>
    <row r="249" spans="5:14" ht="15" customHeight="1">
      <c r="E249" s="57"/>
      <c r="F249" s="57" t="s">
        <v>1914</v>
      </c>
      <c r="G249" s="144" t="s">
        <v>1819</v>
      </c>
      <c r="H249" s="142">
        <v>4.8499999999999996</v>
      </c>
      <c r="I249" s="143">
        <f t="shared" si="14"/>
        <v>0.2061855670103093</v>
      </c>
      <c r="J249" s="161">
        <v>0</v>
      </c>
      <c r="K249" s="144">
        <f t="shared" si="11"/>
        <v>0</v>
      </c>
      <c r="L249" s="1054">
        <v>3</v>
      </c>
      <c r="M249" s="144">
        <f t="shared" si="12"/>
        <v>0</v>
      </c>
      <c r="N249" s="155">
        <f t="shared" si="13"/>
        <v>0</v>
      </c>
    </row>
    <row r="250" spans="5:14" ht="15" customHeight="1">
      <c r="E250" s="57"/>
      <c r="F250" s="57"/>
      <c r="G250" s="144" t="s">
        <v>1824</v>
      </c>
      <c r="H250" s="142">
        <v>1.4</v>
      </c>
      <c r="I250" s="143">
        <f t="shared" si="14"/>
        <v>0.7142857142857143</v>
      </c>
      <c r="J250" s="161">
        <v>0</v>
      </c>
      <c r="K250" s="144">
        <f t="shared" si="11"/>
        <v>0</v>
      </c>
      <c r="L250" s="1054">
        <v>3</v>
      </c>
      <c r="M250" s="144">
        <f t="shared" si="12"/>
        <v>0</v>
      </c>
      <c r="N250" s="155">
        <v>2</v>
      </c>
    </row>
    <row r="251" spans="5:14" ht="15" customHeight="1">
      <c r="E251" s="57"/>
      <c r="F251" s="57"/>
      <c r="G251" s="144" t="s">
        <v>1826</v>
      </c>
      <c r="H251" s="142">
        <v>0.33100000000000002</v>
      </c>
      <c r="I251" s="143">
        <f t="shared" si="14"/>
        <v>3.0211480362537761</v>
      </c>
      <c r="J251" s="161">
        <v>0</v>
      </c>
      <c r="K251" s="144">
        <f t="shared" si="11"/>
        <v>0</v>
      </c>
      <c r="L251" s="1054">
        <v>3</v>
      </c>
      <c r="M251" s="144">
        <f t="shared" si="12"/>
        <v>0</v>
      </c>
      <c r="N251" s="155">
        <v>1</v>
      </c>
    </row>
    <row r="252" spans="5:14" ht="15" customHeight="1">
      <c r="E252" s="57"/>
      <c r="F252" s="57"/>
      <c r="G252" s="144" t="s">
        <v>20</v>
      </c>
      <c r="H252" s="142">
        <v>0.17</v>
      </c>
      <c r="I252" s="143">
        <f t="shared" si="14"/>
        <v>5.8823529411764701</v>
      </c>
      <c r="J252" s="161">
        <v>0</v>
      </c>
      <c r="K252" s="144">
        <f t="shared" si="11"/>
        <v>0</v>
      </c>
      <c r="L252" s="1054">
        <v>3</v>
      </c>
      <c r="M252" s="144">
        <f t="shared" si="12"/>
        <v>0</v>
      </c>
      <c r="N252" s="155">
        <v>1</v>
      </c>
    </row>
    <row r="253" spans="5:14" ht="15" customHeight="1">
      <c r="E253" s="57"/>
      <c r="F253" s="57"/>
      <c r="G253" s="144"/>
      <c r="H253" s="142"/>
      <c r="I253" s="143"/>
      <c r="J253" s="161"/>
      <c r="K253" s="144"/>
      <c r="L253" s="1054"/>
      <c r="M253" s="144"/>
      <c r="N253" s="155"/>
    </row>
    <row r="254" spans="5:14" ht="15" customHeight="1">
      <c r="E254" s="57"/>
      <c r="F254" s="57" t="s">
        <v>1915</v>
      </c>
      <c r="G254" s="144" t="s">
        <v>1819</v>
      </c>
      <c r="H254" s="142">
        <v>4.8499999999999996</v>
      </c>
      <c r="I254" s="143">
        <f t="shared" si="14"/>
        <v>0.2061855670103093</v>
      </c>
      <c r="J254" s="161">
        <v>0</v>
      </c>
      <c r="K254" s="144">
        <f t="shared" si="11"/>
        <v>0</v>
      </c>
      <c r="L254" s="1054">
        <v>0</v>
      </c>
      <c r="M254" s="144" t="e">
        <f t="shared" si="12"/>
        <v>#DIV/0!</v>
      </c>
      <c r="N254" s="155" t="e">
        <f t="shared" si="13"/>
        <v>#DIV/0!</v>
      </c>
    </row>
    <row r="255" spans="5:14" ht="15" customHeight="1">
      <c r="E255" s="57"/>
      <c r="F255" s="57"/>
      <c r="G255" s="144" t="s">
        <v>1824</v>
      </c>
      <c r="H255" s="142">
        <v>1.4</v>
      </c>
      <c r="I255" s="143">
        <f t="shared" si="14"/>
        <v>0.7142857142857143</v>
      </c>
      <c r="J255" s="161">
        <v>0</v>
      </c>
      <c r="K255" s="144">
        <f t="shared" si="11"/>
        <v>0</v>
      </c>
      <c r="L255" s="1054">
        <v>0</v>
      </c>
      <c r="M255" s="144" t="e">
        <f t="shared" si="12"/>
        <v>#DIV/0!</v>
      </c>
      <c r="N255" s="155" t="e">
        <f t="shared" si="13"/>
        <v>#DIV/0!</v>
      </c>
    </row>
    <row r="256" spans="5:14" ht="15" customHeight="1">
      <c r="E256" s="57"/>
      <c r="F256" s="57"/>
      <c r="G256" s="144" t="s">
        <v>1826</v>
      </c>
      <c r="H256" s="142">
        <v>0.33100000000000002</v>
      </c>
      <c r="I256" s="143">
        <f t="shared" si="14"/>
        <v>3.0211480362537761</v>
      </c>
      <c r="J256" s="161">
        <v>0</v>
      </c>
      <c r="K256" s="144">
        <f t="shared" si="11"/>
        <v>0</v>
      </c>
      <c r="L256" s="1054">
        <v>0</v>
      </c>
      <c r="M256" s="144" t="e">
        <f t="shared" si="12"/>
        <v>#DIV/0!</v>
      </c>
      <c r="N256" s="155" t="e">
        <f t="shared" si="13"/>
        <v>#DIV/0!</v>
      </c>
    </row>
    <row r="257" spans="5:14" ht="15" customHeight="1">
      <c r="E257" s="57"/>
      <c r="F257" s="57"/>
      <c r="G257" s="144" t="s">
        <v>20</v>
      </c>
      <c r="H257" s="142">
        <v>0.17</v>
      </c>
      <c r="I257" s="143">
        <f t="shared" si="14"/>
        <v>5.8823529411764701</v>
      </c>
      <c r="J257" s="161">
        <v>0</v>
      </c>
      <c r="K257" s="144">
        <f t="shared" si="11"/>
        <v>0</v>
      </c>
      <c r="L257" s="1054">
        <v>0</v>
      </c>
      <c r="M257" s="144" t="e">
        <f t="shared" si="12"/>
        <v>#DIV/0!</v>
      </c>
      <c r="N257" s="155" t="e">
        <f t="shared" si="13"/>
        <v>#DIV/0!</v>
      </c>
    </row>
    <row r="258" spans="5:14" ht="15" customHeight="1">
      <c r="E258" s="57"/>
      <c r="F258" s="57"/>
      <c r="G258" s="144"/>
      <c r="H258" s="142"/>
      <c r="I258" s="143"/>
      <c r="J258" s="161"/>
      <c r="K258" s="144"/>
      <c r="L258" s="1054"/>
      <c r="M258" s="144"/>
      <c r="N258" s="155"/>
    </row>
    <row r="259" spans="5:14" ht="15" customHeight="1">
      <c r="E259" s="57"/>
      <c r="F259" s="57" t="s">
        <v>1916</v>
      </c>
      <c r="G259" s="144" t="s">
        <v>1819</v>
      </c>
      <c r="H259" s="142">
        <v>4.8499999999999996</v>
      </c>
      <c r="I259" s="143">
        <f t="shared" si="14"/>
        <v>0.2061855670103093</v>
      </c>
      <c r="J259" s="161">
        <v>0</v>
      </c>
      <c r="K259" s="144">
        <f t="shared" si="11"/>
        <v>0</v>
      </c>
      <c r="L259" s="1054">
        <v>0</v>
      </c>
      <c r="M259" s="144" t="e">
        <f t="shared" si="12"/>
        <v>#DIV/0!</v>
      </c>
      <c r="N259" s="155" t="e">
        <f t="shared" si="13"/>
        <v>#DIV/0!</v>
      </c>
    </row>
    <row r="260" spans="5:14" ht="15" customHeight="1">
      <c r="E260" s="57"/>
      <c r="F260" s="57"/>
      <c r="G260" s="144" t="s">
        <v>1824</v>
      </c>
      <c r="H260" s="142">
        <v>1.4</v>
      </c>
      <c r="I260" s="143">
        <f t="shared" si="14"/>
        <v>0.7142857142857143</v>
      </c>
      <c r="J260" s="161">
        <v>0</v>
      </c>
      <c r="K260" s="144">
        <f t="shared" si="11"/>
        <v>0</v>
      </c>
      <c r="L260" s="1054">
        <v>0</v>
      </c>
      <c r="M260" s="144" t="e">
        <f t="shared" si="12"/>
        <v>#DIV/0!</v>
      </c>
      <c r="N260" s="155" t="e">
        <f t="shared" si="13"/>
        <v>#DIV/0!</v>
      </c>
    </row>
    <row r="261" spans="5:14" ht="15" customHeight="1">
      <c r="E261" s="57"/>
      <c r="F261" s="57"/>
      <c r="G261" s="144" t="s">
        <v>1826</v>
      </c>
      <c r="H261" s="142">
        <v>0.33100000000000002</v>
      </c>
      <c r="I261" s="143">
        <f t="shared" si="14"/>
        <v>3.0211480362537761</v>
      </c>
      <c r="J261" s="161">
        <v>0</v>
      </c>
      <c r="K261" s="144">
        <f t="shared" si="11"/>
        <v>0</v>
      </c>
      <c r="L261" s="1054">
        <v>0</v>
      </c>
      <c r="M261" s="144" t="e">
        <f t="shared" si="12"/>
        <v>#DIV/0!</v>
      </c>
      <c r="N261" s="155" t="e">
        <f t="shared" si="13"/>
        <v>#DIV/0!</v>
      </c>
    </row>
    <row r="262" spans="5:14" ht="15" customHeight="1">
      <c r="E262" s="57"/>
      <c r="F262" s="57"/>
      <c r="G262" s="144" t="s">
        <v>20</v>
      </c>
      <c r="H262" s="142">
        <v>0.17</v>
      </c>
      <c r="I262" s="143">
        <f t="shared" si="14"/>
        <v>5.8823529411764701</v>
      </c>
      <c r="J262" s="161">
        <v>0</v>
      </c>
      <c r="K262" s="144">
        <f t="shared" si="11"/>
        <v>0</v>
      </c>
      <c r="L262" s="1054">
        <v>0</v>
      </c>
      <c r="M262" s="144" t="e">
        <f t="shared" si="12"/>
        <v>#DIV/0!</v>
      </c>
      <c r="N262" s="155" t="e">
        <f t="shared" si="13"/>
        <v>#DIV/0!</v>
      </c>
    </row>
    <row r="263" spans="5:14" ht="15" customHeight="1">
      <c r="E263" s="57"/>
      <c r="F263" s="57"/>
      <c r="G263" s="144"/>
      <c r="H263" s="142"/>
      <c r="I263" s="143"/>
      <c r="J263" s="161"/>
      <c r="K263" s="144"/>
      <c r="L263" s="1054"/>
      <c r="M263" s="144"/>
      <c r="N263" s="155"/>
    </row>
    <row r="264" spans="5:14" ht="15" customHeight="1">
      <c r="E264" s="57"/>
      <c r="F264" s="57" t="s">
        <v>1917</v>
      </c>
      <c r="G264" s="144" t="s">
        <v>1819</v>
      </c>
      <c r="H264" s="142">
        <v>4.8499999999999996</v>
      </c>
      <c r="I264" s="143">
        <f t="shared" si="14"/>
        <v>0.2061855670103093</v>
      </c>
      <c r="J264" s="161">
        <v>0</v>
      </c>
      <c r="K264" s="144">
        <f t="shared" si="11"/>
        <v>0</v>
      </c>
      <c r="L264" s="1054">
        <v>0</v>
      </c>
      <c r="M264" s="144" t="e">
        <f t="shared" si="12"/>
        <v>#DIV/0!</v>
      </c>
      <c r="N264" s="155" t="e">
        <f t="shared" si="13"/>
        <v>#DIV/0!</v>
      </c>
    </row>
    <row r="265" spans="5:14" ht="15" customHeight="1">
      <c r="E265" s="57"/>
      <c r="F265" s="57"/>
      <c r="G265" s="144" t="s">
        <v>1824</v>
      </c>
      <c r="H265" s="142">
        <v>1.4</v>
      </c>
      <c r="I265" s="143">
        <f t="shared" si="14"/>
        <v>0.7142857142857143</v>
      </c>
      <c r="J265" s="161">
        <v>0</v>
      </c>
      <c r="K265" s="144">
        <f t="shared" si="11"/>
        <v>0</v>
      </c>
      <c r="L265" s="1054">
        <v>0</v>
      </c>
      <c r="M265" s="144" t="e">
        <f t="shared" si="12"/>
        <v>#DIV/0!</v>
      </c>
      <c r="N265" s="155" t="e">
        <f t="shared" si="13"/>
        <v>#DIV/0!</v>
      </c>
    </row>
    <row r="266" spans="5:14" ht="15" customHeight="1">
      <c r="E266" s="57"/>
      <c r="F266" s="57"/>
      <c r="G266" s="144" t="s">
        <v>1826</v>
      </c>
      <c r="H266" s="142">
        <v>0.33100000000000002</v>
      </c>
      <c r="I266" s="143">
        <f t="shared" si="14"/>
        <v>3.0211480362537761</v>
      </c>
      <c r="J266" s="161">
        <v>0</v>
      </c>
      <c r="K266" s="144">
        <f t="shared" si="11"/>
        <v>0</v>
      </c>
      <c r="L266" s="1054">
        <v>0</v>
      </c>
      <c r="M266" s="144" t="e">
        <f t="shared" si="12"/>
        <v>#DIV/0!</v>
      </c>
      <c r="N266" s="155" t="e">
        <f t="shared" si="13"/>
        <v>#DIV/0!</v>
      </c>
    </row>
    <row r="267" spans="5:14" ht="15" customHeight="1">
      <c r="E267" s="57"/>
      <c r="F267" s="57"/>
      <c r="G267" s="144" t="s">
        <v>20</v>
      </c>
      <c r="H267" s="142">
        <v>0.17</v>
      </c>
      <c r="I267" s="143">
        <f t="shared" si="14"/>
        <v>5.8823529411764701</v>
      </c>
      <c r="J267" s="161">
        <v>0</v>
      </c>
      <c r="K267" s="144">
        <f t="shared" si="11"/>
        <v>0</v>
      </c>
      <c r="L267" s="1054">
        <v>0</v>
      </c>
      <c r="M267" s="144" t="e">
        <f t="shared" si="12"/>
        <v>#DIV/0!</v>
      </c>
      <c r="N267" s="155" t="e">
        <f t="shared" si="13"/>
        <v>#DIV/0!</v>
      </c>
    </row>
    <row r="268" spans="5:14" ht="15" customHeight="1">
      <c r="E268" s="57"/>
      <c r="F268" s="57"/>
      <c r="G268" s="144"/>
      <c r="H268" s="142"/>
      <c r="I268" s="143"/>
      <c r="J268" s="161"/>
      <c r="K268" s="144"/>
      <c r="L268" s="1054"/>
      <c r="M268" s="144"/>
      <c r="N268" s="155"/>
    </row>
    <row r="269" spans="5:14" ht="15" customHeight="1">
      <c r="E269" s="57"/>
      <c r="F269" s="57" t="s">
        <v>1918</v>
      </c>
      <c r="G269" s="144" t="s">
        <v>1819</v>
      </c>
      <c r="H269" s="142">
        <v>4.8499999999999996</v>
      </c>
      <c r="I269" s="143">
        <f t="shared" si="14"/>
        <v>0.2061855670103093</v>
      </c>
      <c r="J269" s="161">
        <v>0</v>
      </c>
      <c r="K269" s="144">
        <f t="shared" si="11"/>
        <v>0</v>
      </c>
      <c r="L269" s="1054">
        <v>0</v>
      </c>
      <c r="M269" s="144" t="e">
        <f t="shared" si="12"/>
        <v>#DIV/0!</v>
      </c>
      <c r="N269" s="155" t="e">
        <f t="shared" si="13"/>
        <v>#DIV/0!</v>
      </c>
    </row>
    <row r="270" spans="5:14" ht="15" customHeight="1">
      <c r="E270" s="57"/>
      <c r="F270" s="57"/>
      <c r="G270" s="144" t="s">
        <v>1824</v>
      </c>
      <c r="H270" s="142">
        <v>1.4</v>
      </c>
      <c r="I270" s="143">
        <f t="shared" si="14"/>
        <v>0.7142857142857143</v>
      </c>
      <c r="J270" s="161">
        <v>0</v>
      </c>
      <c r="K270" s="144">
        <f t="shared" si="11"/>
        <v>0</v>
      </c>
      <c r="L270" s="1054">
        <v>0</v>
      </c>
      <c r="M270" s="144" t="e">
        <f t="shared" si="12"/>
        <v>#DIV/0!</v>
      </c>
      <c r="N270" s="155" t="e">
        <f t="shared" si="13"/>
        <v>#DIV/0!</v>
      </c>
    </row>
    <row r="271" spans="5:14" ht="15" customHeight="1">
      <c r="E271" s="57"/>
      <c r="F271" s="57"/>
      <c r="G271" s="144" t="s">
        <v>1826</v>
      </c>
      <c r="H271" s="142">
        <v>0.33100000000000002</v>
      </c>
      <c r="I271" s="143">
        <f t="shared" si="14"/>
        <v>3.0211480362537761</v>
      </c>
      <c r="J271" s="161">
        <v>0</v>
      </c>
      <c r="K271" s="144">
        <f t="shared" si="11"/>
        <v>0</v>
      </c>
      <c r="L271" s="1054">
        <v>0</v>
      </c>
      <c r="M271" s="144" t="e">
        <f t="shared" si="12"/>
        <v>#DIV/0!</v>
      </c>
      <c r="N271" s="155" t="e">
        <f t="shared" si="13"/>
        <v>#DIV/0!</v>
      </c>
    </row>
    <row r="272" spans="5:14" ht="15" customHeight="1">
      <c r="E272" s="57"/>
      <c r="F272" s="57"/>
      <c r="G272" s="144" t="s">
        <v>20</v>
      </c>
      <c r="H272" s="142">
        <v>0.17</v>
      </c>
      <c r="I272" s="143">
        <f t="shared" si="14"/>
        <v>5.8823529411764701</v>
      </c>
      <c r="J272" s="161">
        <v>0</v>
      </c>
      <c r="K272" s="144">
        <f t="shared" si="11"/>
        <v>0</v>
      </c>
      <c r="L272" s="1054">
        <v>0</v>
      </c>
      <c r="M272" s="144" t="e">
        <f t="shared" si="12"/>
        <v>#DIV/0!</v>
      </c>
      <c r="N272" s="155" t="e">
        <f t="shared" si="13"/>
        <v>#DIV/0!</v>
      </c>
    </row>
    <row r="273" spans="5:14" ht="15" customHeight="1">
      <c r="E273" s="57"/>
      <c r="F273" s="57"/>
      <c r="G273" s="144"/>
      <c r="H273" s="142"/>
      <c r="I273" s="143"/>
      <c r="J273" s="161"/>
      <c r="K273" s="144"/>
      <c r="L273" s="1054"/>
      <c r="M273" s="144"/>
      <c r="N273" s="155"/>
    </row>
    <row r="274" spans="5:14" ht="15" customHeight="1">
      <c r="E274" s="57"/>
      <c r="F274" s="57" t="s">
        <v>1919</v>
      </c>
      <c r="G274" s="144" t="s">
        <v>1819</v>
      </c>
      <c r="H274" s="142">
        <v>4.8499999999999996</v>
      </c>
      <c r="I274" s="143">
        <f t="shared" si="14"/>
        <v>0.2061855670103093</v>
      </c>
      <c r="J274" s="161">
        <v>0</v>
      </c>
      <c r="K274" s="144">
        <f t="shared" si="11"/>
        <v>0</v>
      </c>
      <c r="L274" s="1054">
        <v>0</v>
      </c>
      <c r="M274" s="144" t="e">
        <f t="shared" si="12"/>
        <v>#DIV/0!</v>
      </c>
      <c r="N274" s="155" t="e">
        <f t="shared" si="13"/>
        <v>#DIV/0!</v>
      </c>
    </row>
    <row r="275" spans="5:14" ht="15" customHeight="1">
      <c r="E275" s="57"/>
      <c r="F275" s="57"/>
      <c r="G275" s="144" t="s">
        <v>1824</v>
      </c>
      <c r="H275" s="142">
        <v>1.4</v>
      </c>
      <c r="I275" s="143">
        <f t="shared" si="14"/>
        <v>0.7142857142857143</v>
      </c>
      <c r="J275" s="161">
        <v>0</v>
      </c>
      <c r="K275" s="144">
        <f t="shared" si="11"/>
        <v>0</v>
      </c>
      <c r="L275" s="1054">
        <v>0</v>
      </c>
      <c r="M275" s="144" t="e">
        <f t="shared" si="12"/>
        <v>#DIV/0!</v>
      </c>
      <c r="N275" s="155" t="e">
        <f t="shared" si="13"/>
        <v>#DIV/0!</v>
      </c>
    </row>
    <row r="276" spans="5:14" ht="15" customHeight="1">
      <c r="E276" s="57"/>
      <c r="F276" s="57"/>
      <c r="G276" s="144" t="s">
        <v>1826</v>
      </c>
      <c r="H276" s="142">
        <v>0.33100000000000002</v>
      </c>
      <c r="I276" s="143">
        <f t="shared" si="14"/>
        <v>3.0211480362537761</v>
      </c>
      <c r="J276" s="161">
        <v>0</v>
      </c>
      <c r="K276" s="144">
        <f t="shared" si="11"/>
        <v>0</v>
      </c>
      <c r="L276" s="1054">
        <v>0</v>
      </c>
      <c r="M276" s="144" t="e">
        <f t="shared" si="12"/>
        <v>#DIV/0!</v>
      </c>
      <c r="N276" s="155" t="e">
        <f t="shared" si="13"/>
        <v>#DIV/0!</v>
      </c>
    </row>
    <row r="277" spans="5:14" ht="15" customHeight="1">
      <c r="E277" s="57"/>
      <c r="F277" s="57"/>
      <c r="G277" s="144" t="s">
        <v>20</v>
      </c>
      <c r="H277" s="142">
        <v>0.17</v>
      </c>
      <c r="I277" s="143">
        <f t="shared" si="14"/>
        <v>5.8823529411764701</v>
      </c>
      <c r="J277" s="161">
        <v>0</v>
      </c>
      <c r="K277" s="144">
        <f t="shared" si="11"/>
        <v>0</v>
      </c>
      <c r="L277" s="1054">
        <v>0</v>
      </c>
      <c r="M277" s="144" t="e">
        <f t="shared" si="12"/>
        <v>#DIV/0!</v>
      </c>
      <c r="N277" s="155" t="e">
        <f t="shared" si="13"/>
        <v>#DIV/0!</v>
      </c>
    </row>
    <row r="278" spans="5:14" ht="15" customHeight="1">
      <c r="E278" s="57"/>
      <c r="F278" s="57"/>
      <c r="G278" s="144"/>
      <c r="H278" s="142"/>
      <c r="I278" s="143"/>
      <c r="J278" s="161"/>
      <c r="K278" s="144"/>
      <c r="L278" s="1054"/>
      <c r="M278" s="144"/>
      <c r="N278" s="155"/>
    </row>
    <row r="279" spans="5:14" ht="15" customHeight="1">
      <c r="E279" s="57"/>
      <c r="F279" s="57" t="s">
        <v>1920</v>
      </c>
      <c r="G279" s="144" t="s">
        <v>1819</v>
      </c>
      <c r="H279" s="142">
        <v>4.8499999999999996</v>
      </c>
      <c r="I279" s="143">
        <f t="shared" si="14"/>
        <v>0.2061855670103093</v>
      </c>
      <c r="J279" s="161">
        <v>0</v>
      </c>
      <c r="K279" s="144">
        <f t="shared" si="11"/>
        <v>0</v>
      </c>
      <c r="L279" s="1054">
        <v>0</v>
      </c>
      <c r="M279" s="144" t="e">
        <f t="shared" si="12"/>
        <v>#DIV/0!</v>
      </c>
      <c r="N279" s="155" t="e">
        <f t="shared" si="13"/>
        <v>#DIV/0!</v>
      </c>
    </row>
    <row r="280" spans="5:14" ht="15" customHeight="1">
      <c r="E280" s="57"/>
      <c r="F280" s="57"/>
      <c r="G280" s="144" t="s">
        <v>1824</v>
      </c>
      <c r="H280" s="142">
        <v>1.4</v>
      </c>
      <c r="I280" s="143">
        <f t="shared" si="14"/>
        <v>0.7142857142857143</v>
      </c>
      <c r="J280" s="161">
        <v>0</v>
      </c>
      <c r="K280" s="144">
        <f t="shared" si="11"/>
        <v>0</v>
      </c>
      <c r="L280" s="1054">
        <v>0</v>
      </c>
      <c r="M280" s="144" t="e">
        <f t="shared" si="12"/>
        <v>#DIV/0!</v>
      </c>
      <c r="N280" s="155" t="e">
        <f t="shared" si="13"/>
        <v>#DIV/0!</v>
      </c>
    </row>
    <row r="281" spans="5:14" ht="15" customHeight="1">
      <c r="E281" s="57"/>
      <c r="F281" s="57"/>
      <c r="G281" s="144" t="s">
        <v>1826</v>
      </c>
      <c r="H281" s="142">
        <v>0.33100000000000002</v>
      </c>
      <c r="I281" s="143">
        <f t="shared" si="14"/>
        <v>3.0211480362537761</v>
      </c>
      <c r="J281" s="161">
        <v>0</v>
      </c>
      <c r="K281" s="144">
        <f t="shared" si="11"/>
        <v>0</v>
      </c>
      <c r="L281" s="1054">
        <v>0</v>
      </c>
      <c r="M281" s="144" t="e">
        <f t="shared" si="12"/>
        <v>#DIV/0!</v>
      </c>
      <c r="N281" s="155" t="e">
        <f t="shared" si="13"/>
        <v>#DIV/0!</v>
      </c>
    </row>
    <row r="282" spans="5:14" ht="15" customHeight="1">
      <c r="E282" s="57"/>
      <c r="F282" s="57"/>
      <c r="G282" s="144" t="s">
        <v>20</v>
      </c>
      <c r="H282" s="142">
        <v>0.17</v>
      </c>
      <c r="I282" s="143">
        <f t="shared" si="14"/>
        <v>5.8823529411764701</v>
      </c>
      <c r="J282" s="161">
        <v>0</v>
      </c>
      <c r="K282" s="144">
        <f t="shared" si="11"/>
        <v>0</v>
      </c>
      <c r="L282" s="1054">
        <v>0</v>
      </c>
      <c r="M282" s="144" t="e">
        <f t="shared" si="12"/>
        <v>#DIV/0!</v>
      </c>
      <c r="N282" s="155" t="e">
        <f t="shared" si="13"/>
        <v>#DIV/0!</v>
      </c>
    </row>
    <row r="283" spans="5:14" ht="15" customHeight="1">
      <c r="E283" s="57"/>
      <c r="F283" s="57"/>
      <c r="G283" s="144"/>
      <c r="H283" s="142"/>
      <c r="I283" s="143"/>
      <c r="J283" s="161"/>
      <c r="K283" s="144"/>
      <c r="L283" s="1054"/>
      <c r="M283" s="144"/>
      <c r="N283" s="155"/>
    </row>
    <row r="284" spans="5:14" ht="15" customHeight="1">
      <c r="E284" s="57"/>
      <c r="F284" s="57" t="s">
        <v>1921</v>
      </c>
      <c r="G284" s="144" t="s">
        <v>1819</v>
      </c>
      <c r="H284" s="142">
        <v>4.8499999999999996</v>
      </c>
      <c r="I284" s="143">
        <f t="shared" si="14"/>
        <v>0.2061855670103093</v>
      </c>
      <c r="J284" s="161">
        <v>0</v>
      </c>
      <c r="K284" s="144">
        <f t="shared" si="11"/>
        <v>0</v>
      </c>
      <c r="L284" s="1054">
        <v>0</v>
      </c>
      <c r="M284" s="144" t="e">
        <f t="shared" si="12"/>
        <v>#DIV/0!</v>
      </c>
      <c r="N284" s="155" t="e">
        <f t="shared" si="13"/>
        <v>#DIV/0!</v>
      </c>
    </row>
    <row r="285" spans="5:14" ht="15" customHeight="1">
      <c r="E285" s="57"/>
      <c r="F285" s="57"/>
      <c r="G285" s="144" t="s">
        <v>1824</v>
      </c>
      <c r="H285" s="142">
        <v>1.4</v>
      </c>
      <c r="I285" s="143">
        <f t="shared" si="14"/>
        <v>0.7142857142857143</v>
      </c>
      <c r="J285" s="161">
        <v>0</v>
      </c>
      <c r="K285" s="144">
        <f t="shared" si="11"/>
        <v>0</v>
      </c>
      <c r="L285" s="1054">
        <v>0</v>
      </c>
      <c r="M285" s="144" t="e">
        <f t="shared" si="12"/>
        <v>#DIV/0!</v>
      </c>
      <c r="N285" s="155" t="e">
        <f t="shared" si="13"/>
        <v>#DIV/0!</v>
      </c>
    </row>
    <row r="286" spans="5:14" ht="15" customHeight="1">
      <c r="E286" s="57"/>
      <c r="F286" s="57"/>
      <c r="G286" s="144" t="s">
        <v>1826</v>
      </c>
      <c r="H286" s="142">
        <v>0.33100000000000002</v>
      </c>
      <c r="I286" s="143">
        <f t="shared" si="14"/>
        <v>3.0211480362537761</v>
      </c>
      <c r="J286" s="161">
        <v>0</v>
      </c>
      <c r="K286" s="144">
        <f t="shared" si="11"/>
        <v>0</v>
      </c>
      <c r="L286" s="1054">
        <v>0</v>
      </c>
      <c r="M286" s="144" t="e">
        <f t="shared" si="12"/>
        <v>#DIV/0!</v>
      </c>
      <c r="N286" s="155" t="e">
        <f t="shared" si="13"/>
        <v>#DIV/0!</v>
      </c>
    </row>
    <row r="287" spans="5:14" ht="15" customHeight="1">
      <c r="E287" s="57"/>
      <c r="F287" s="57"/>
      <c r="G287" s="144" t="s">
        <v>20</v>
      </c>
      <c r="H287" s="142">
        <v>0.17</v>
      </c>
      <c r="I287" s="143">
        <f t="shared" si="14"/>
        <v>5.8823529411764701</v>
      </c>
      <c r="J287" s="161">
        <v>0</v>
      </c>
      <c r="K287" s="144">
        <f t="shared" si="11"/>
        <v>0</v>
      </c>
      <c r="L287" s="1054">
        <v>0</v>
      </c>
      <c r="M287" s="144" t="e">
        <f t="shared" si="12"/>
        <v>#DIV/0!</v>
      </c>
      <c r="N287" s="155" t="e">
        <f t="shared" si="13"/>
        <v>#DIV/0!</v>
      </c>
    </row>
    <row r="288" spans="5:14" ht="15" customHeight="1">
      <c r="E288" s="57"/>
      <c r="F288" s="57"/>
      <c r="G288" s="144"/>
      <c r="H288" s="142"/>
      <c r="I288" s="143"/>
      <c r="J288" s="161"/>
      <c r="K288" s="144"/>
      <c r="L288" s="1054"/>
      <c r="M288" s="144"/>
      <c r="N288" s="155"/>
    </row>
    <row r="289" spans="5:14" ht="15" customHeight="1">
      <c r="E289" s="57"/>
      <c r="F289" s="57" t="s">
        <v>1922</v>
      </c>
      <c r="G289" s="144" t="s">
        <v>1819</v>
      </c>
      <c r="H289" s="142">
        <v>4.8499999999999996</v>
      </c>
      <c r="I289" s="143">
        <f t="shared" si="14"/>
        <v>0.2061855670103093</v>
      </c>
      <c r="J289" s="161">
        <v>0</v>
      </c>
      <c r="K289" s="144">
        <f t="shared" si="11"/>
        <v>0</v>
      </c>
      <c r="L289" s="1054">
        <v>0</v>
      </c>
      <c r="M289" s="144" t="e">
        <f t="shared" si="12"/>
        <v>#DIV/0!</v>
      </c>
      <c r="N289" s="155" t="e">
        <f t="shared" si="13"/>
        <v>#DIV/0!</v>
      </c>
    </row>
    <row r="290" spans="5:14" ht="15" customHeight="1">
      <c r="E290" s="57"/>
      <c r="F290" s="57"/>
      <c r="G290" s="144" t="s">
        <v>1824</v>
      </c>
      <c r="H290" s="142">
        <v>1.4</v>
      </c>
      <c r="I290" s="143">
        <f t="shared" si="14"/>
        <v>0.7142857142857143</v>
      </c>
      <c r="J290" s="161">
        <v>0</v>
      </c>
      <c r="K290" s="144">
        <f t="shared" si="11"/>
        <v>0</v>
      </c>
      <c r="L290" s="1054">
        <v>0</v>
      </c>
      <c r="M290" s="144" t="e">
        <f t="shared" si="12"/>
        <v>#DIV/0!</v>
      </c>
      <c r="N290" s="155" t="e">
        <f t="shared" si="13"/>
        <v>#DIV/0!</v>
      </c>
    </row>
    <row r="291" spans="5:14" ht="15" customHeight="1">
      <c r="E291" s="57"/>
      <c r="F291" s="57"/>
      <c r="G291" s="144" t="s">
        <v>1826</v>
      </c>
      <c r="H291" s="142">
        <v>0.33100000000000002</v>
      </c>
      <c r="I291" s="143">
        <f t="shared" si="14"/>
        <v>3.0211480362537761</v>
      </c>
      <c r="J291" s="161">
        <v>0</v>
      </c>
      <c r="K291" s="144">
        <f t="shared" si="11"/>
        <v>0</v>
      </c>
      <c r="L291" s="1054">
        <v>0</v>
      </c>
      <c r="M291" s="144" t="e">
        <f t="shared" si="12"/>
        <v>#DIV/0!</v>
      </c>
      <c r="N291" s="155" t="e">
        <f t="shared" si="13"/>
        <v>#DIV/0!</v>
      </c>
    </row>
    <row r="292" spans="5:14" ht="15" customHeight="1">
      <c r="E292" s="57"/>
      <c r="F292" s="57"/>
      <c r="G292" s="144" t="s">
        <v>20</v>
      </c>
      <c r="H292" s="142">
        <v>0.17</v>
      </c>
      <c r="I292" s="143">
        <f t="shared" si="14"/>
        <v>5.8823529411764701</v>
      </c>
      <c r="J292" s="161">
        <v>0</v>
      </c>
      <c r="K292" s="144">
        <f t="shared" si="11"/>
        <v>0</v>
      </c>
      <c r="L292" s="1054">
        <v>0</v>
      </c>
      <c r="M292" s="144" t="e">
        <f t="shared" si="12"/>
        <v>#DIV/0!</v>
      </c>
      <c r="N292" s="155" t="e">
        <f t="shared" si="13"/>
        <v>#DIV/0!</v>
      </c>
    </row>
    <row r="293" spans="5:14" ht="15" customHeight="1">
      <c r="E293" s="57"/>
      <c r="F293" s="57"/>
      <c r="G293" s="144"/>
      <c r="H293" s="142"/>
      <c r="I293" s="143"/>
      <c r="J293" s="161"/>
      <c r="K293" s="144"/>
      <c r="L293" s="1054"/>
      <c r="M293" s="144"/>
      <c r="N293" s="155"/>
    </row>
    <row r="294" spans="5:14" ht="15" customHeight="1">
      <c r="E294" s="57"/>
      <c r="F294" s="57" t="s">
        <v>1923</v>
      </c>
      <c r="G294" s="144" t="s">
        <v>1819</v>
      </c>
      <c r="H294" s="142">
        <v>4.8499999999999996</v>
      </c>
      <c r="I294" s="143">
        <f t="shared" si="14"/>
        <v>0.2061855670103093</v>
      </c>
      <c r="J294" s="161">
        <v>0</v>
      </c>
      <c r="K294" s="144">
        <f t="shared" si="11"/>
        <v>0</v>
      </c>
      <c r="L294" s="1054">
        <v>0</v>
      </c>
      <c r="M294" s="144" t="e">
        <f t="shared" si="12"/>
        <v>#DIV/0!</v>
      </c>
      <c r="N294" s="155" t="e">
        <f t="shared" si="13"/>
        <v>#DIV/0!</v>
      </c>
    </row>
    <row r="295" spans="5:14" ht="15" customHeight="1">
      <c r="E295" s="57"/>
      <c r="F295" s="57"/>
      <c r="G295" s="144" t="s">
        <v>1824</v>
      </c>
      <c r="H295" s="142">
        <v>1.4</v>
      </c>
      <c r="I295" s="143">
        <f t="shared" si="14"/>
        <v>0.7142857142857143</v>
      </c>
      <c r="J295" s="161">
        <v>0</v>
      </c>
      <c r="K295" s="144">
        <f t="shared" si="11"/>
        <v>0</v>
      </c>
      <c r="L295" s="1054">
        <v>0</v>
      </c>
      <c r="M295" s="144" t="e">
        <f t="shared" si="12"/>
        <v>#DIV/0!</v>
      </c>
      <c r="N295" s="155" t="e">
        <f t="shared" si="13"/>
        <v>#DIV/0!</v>
      </c>
    </row>
    <row r="296" spans="5:14" ht="15" customHeight="1">
      <c r="E296" s="57"/>
      <c r="F296" s="57"/>
      <c r="G296" s="144" t="s">
        <v>1826</v>
      </c>
      <c r="H296" s="142">
        <v>0.33100000000000002</v>
      </c>
      <c r="I296" s="143">
        <f t="shared" si="14"/>
        <v>3.0211480362537761</v>
      </c>
      <c r="J296" s="161">
        <v>0</v>
      </c>
      <c r="K296" s="144">
        <f t="shared" si="11"/>
        <v>0</v>
      </c>
      <c r="L296" s="1054">
        <v>0</v>
      </c>
      <c r="M296" s="144" t="e">
        <f t="shared" si="12"/>
        <v>#DIV/0!</v>
      </c>
      <c r="N296" s="155" t="e">
        <f t="shared" si="13"/>
        <v>#DIV/0!</v>
      </c>
    </row>
    <row r="297" spans="5:14" ht="15" customHeight="1">
      <c r="E297" s="57"/>
      <c r="F297" s="57"/>
      <c r="G297" s="144" t="s">
        <v>20</v>
      </c>
      <c r="H297" s="142">
        <v>0.17</v>
      </c>
      <c r="I297" s="143">
        <f t="shared" si="14"/>
        <v>5.8823529411764701</v>
      </c>
      <c r="J297" s="161">
        <v>0</v>
      </c>
      <c r="K297" s="144">
        <f t="shared" si="11"/>
        <v>0</v>
      </c>
      <c r="L297" s="1054">
        <v>0</v>
      </c>
      <c r="M297" s="144" t="e">
        <f t="shared" si="12"/>
        <v>#DIV/0!</v>
      </c>
      <c r="N297" s="155" t="e">
        <f t="shared" si="13"/>
        <v>#DIV/0!</v>
      </c>
    </row>
    <row r="298" spans="5:14" ht="15" customHeight="1">
      <c r="E298" s="57"/>
      <c r="F298" s="57"/>
      <c r="G298" s="144"/>
      <c r="H298" s="142"/>
      <c r="I298" s="143"/>
      <c r="J298" s="161"/>
      <c r="K298" s="144"/>
      <c r="L298" s="1054"/>
      <c r="M298" s="144"/>
      <c r="N298" s="155"/>
    </row>
    <row r="299" spans="5:14" ht="15" customHeight="1">
      <c r="E299" s="57"/>
      <c r="F299" s="57" t="s">
        <v>1924</v>
      </c>
      <c r="G299" s="144" t="s">
        <v>1819</v>
      </c>
      <c r="H299" s="142">
        <v>4.8499999999999996</v>
      </c>
      <c r="I299" s="143">
        <f t="shared" si="14"/>
        <v>0.2061855670103093</v>
      </c>
      <c r="J299" s="161">
        <v>0</v>
      </c>
      <c r="K299" s="144">
        <f t="shared" si="11"/>
        <v>0</v>
      </c>
      <c r="L299" s="1054">
        <v>0</v>
      </c>
      <c r="M299" s="144" t="e">
        <f t="shared" si="12"/>
        <v>#DIV/0!</v>
      </c>
      <c r="N299" s="155" t="e">
        <f t="shared" si="13"/>
        <v>#DIV/0!</v>
      </c>
    </row>
    <row r="300" spans="5:14" ht="15" customHeight="1">
      <c r="E300" s="57"/>
      <c r="F300" s="57"/>
      <c r="G300" s="144" t="s">
        <v>1824</v>
      </c>
      <c r="H300" s="142">
        <v>1.4</v>
      </c>
      <c r="I300" s="143">
        <f t="shared" si="14"/>
        <v>0.7142857142857143</v>
      </c>
      <c r="J300" s="161">
        <v>0</v>
      </c>
      <c r="K300" s="144">
        <f t="shared" si="11"/>
        <v>0</v>
      </c>
      <c r="L300" s="1054">
        <v>0</v>
      </c>
      <c r="M300" s="144" t="e">
        <f t="shared" si="12"/>
        <v>#DIV/0!</v>
      </c>
      <c r="N300" s="155" t="e">
        <f t="shared" si="13"/>
        <v>#DIV/0!</v>
      </c>
    </row>
    <row r="301" spans="5:14" ht="15" customHeight="1">
      <c r="E301" s="57"/>
      <c r="F301" s="57"/>
      <c r="G301" s="144" t="s">
        <v>1826</v>
      </c>
      <c r="H301" s="142">
        <v>0.33100000000000002</v>
      </c>
      <c r="I301" s="143">
        <f t="shared" si="14"/>
        <v>3.0211480362537761</v>
      </c>
      <c r="J301" s="161">
        <v>0</v>
      </c>
      <c r="K301" s="144">
        <f t="shared" si="11"/>
        <v>0</v>
      </c>
      <c r="L301" s="1054">
        <v>0</v>
      </c>
      <c r="M301" s="144" t="e">
        <f t="shared" si="12"/>
        <v>#DIV/0!</v>
      </c>
      <c r="N301" s="155" t="e">
        <f t="shared" si="13"/>
        <v>#DIV/0!</v>
      </c>
    </row>
    <row r="302" spans="5:14" ht="15" customHeight="1">
      <c r="E302" s="57"/>
      <c r="F302" s="57"/>
      <c r="G302" s="144" t="s">
        <v>20</v>
      </c>
      <c r="H302" s="142">
        <v>0.17</v>
      </c>
      <c r="I302" s="143">
        <f t="shared" si="14"/>
        <v>5.8823529411764701</v>
      </c>
      <c r="J302" s="161">
        <v>0</v>
      </c>
      <c r="K302" s="144">
        <f t="shared" si="11"/>
        <v>0</v>
      </c>
      <c r="L302" s="1054">
        <v>0</v>
      </c>
      <c r="M302" s="144" t="e">
        <f t="shared" si="12"/>
        <v>#DIV/0!</v>
      </c>
      <c r="N302" s="155" t="e">
        <f t="shared" si="13"/>
        <v>#DIV/0!</v>
      </c>
    </row>
    <row r="303" spans="5:14" ht="15" customHeight="1">
      <c r="E303" s="57"/>
      <c r="F303" s="57"/>
      <c r="G303" s="144"/>
      <c r="H303" s="142"/>
      <c r="I303" s="143"/>
      <c r="J303" s="161"/>
      <c r="K303" s="144"/>
      <c r="L303" s="1054"/>
      <c r="M303" s="144"/>
      <c r="N303" s="155"/>
    </row>
    <row r="304" spans="5:14" ht="15" customHeight="1">
      <c r="E304" s="57"/>
      <c r="F304" s="57" t="s">
        <v>1925</v>
      </c>
      <c r="G304" s="144" t="s">
        <v>1819</v>
      </c>
      <c r="H304" s="142">
        <v>4.8499999999999996</v>
      </c>
      <c r="I304" s="143">
        <f t="shared" si="14"/>
        <v>0.2061855670103093</v>
      </c>
      <c r="J304" s="161">
        <v>0</v>
      </c>
      <c r="K304" s="144">
        <f t="shared" si="11"/>
        <v>0</v>
      </c>
      <c r="L304" s="1054">
        <v>0</v>
      </c>
      <c r="M304" s="144" t="e">
        <f t="shared" si="12"/>
        <v>#DIV/0!</v>
      </c>
      <c r="N304" s="155" t="e">
        <f t="shared" si="13"/>
        <v>#DIV/0!</v>
      </c>
    </row>
    <row r="305" spans="5:14" ht="15" customHeight="1">
      <c r="E305" s="57"/>
      <c r="F305" s="57"/>
      <c r="G305" s="144" t="s">
        <v>1824</v>
      </c>
      <c r="H305" s="142">
        <v>1.4</v>
      </c>
      <c r="I305" s="143">
        <f t="shared" si="14"/>
        <v>0.7142857142857143</v>
      </c>
      <c r="J305" s="161">
        <v>0</v>
      </c>
      <c r="K305" s="144">
        <f t="shared" si="11"/>
        <v>0</v>
      </c>
      <c r="L305" s="1054">
        <v>0</v>
      </c>
      <c r="M305" s="144" t="e">
        <f t="shared" si="12"/>
        <v>#DIV/0!</v>
      </c>
      <c r="N305" s="155" t="e">
        <f t="shared" si="13"/>
        <v>#DIV/0!</v>
      </c>
    </row>
    <row r="306" spans="5:14" ht="15" customHeight="1">
      <c r="E306" s="57"/>
      <c r="F306" s="57"/>
      <c r="G306" s="144" t="s">
        <v>1826</v>
      </c>
      <c r="H306" s="142">
        <v>0.33100000000000002</v>
      </c>
      <c r="I306" s="143">
        <f t="shared" si="14"/>
        <v>3.0211480362537761</v>
      </c>
      <c r="J306" s="161">
        <v>0</v>
      </c>
      <c r="K306" s="144">
        <f t="shared" si="11"/>
        <v>0</v>
      </c>
      <c r="L306" s="1054">
        <v>0</v>
      </c>
      <c r="M306" s="144" t="e">
        <f t="shared" si="12"/>
        <v>#DIV/0!</v>
      </c>
      <c r="N306" s="155" t="e">
        <f t="shared" si="13"/>
        <v>#DIV/0!</v>
      </c>
    </row>
    <row r="307" spans="5:14" ht="15" customHeight="1">
      <c r="E307" s="57"/>
      <c r="F307" s="57"/>
      <c r="G307" s="144" t="s">
        <v>20</v>
      </c>
      <c r="H307" s="142">
        <v>0.17</v>
      </c>
      <c r="I307" s="143">
        <f t="shared" si="14"/>
        <v>5.8823529411764701</v>
      </c>
      <c r="J307" s="161">
        <v>0</v>
      </c>
      <c r="K307" s="144">
        <f t="shared" si="11"/>
        <v>0</v>
      </c>
      <c r="L307" s="1054">
        <v>0</v>
      </c>
      <c r="M307" s="144" t="e">
        <f t="shared" si="12"/>
        <v>#DIV/0!</v>
      </c>
      <c r="N307" s="155" t="e">
        <f t="shared" si="13"/>
        <v>#DIV/0!</v>
      </c>
    </row>
    <row r="308" spans="5:14" ht="15" customHeight="1">
      <c r="E308" s="57"/>
      <c r="F308" s="57"/>
      <c r="G308" s="144"/>
      <c r="H308" s="142"/>
      <c r="I308" s="143"/>
      <c r="J308" s="161"/>
      <c r="K308" s="144"/>
      <c r="L308" s="1054"/>
      <c r="M308" s="144"/>
      <c r="N308" s="155"/>
    </row>
    <row r="309" spans="5:14" ht="15" customHeight="1">
      <c r="E309" s="57"/>
      <c r="F309" s="57" t="s">
        <v>1926</v>
      </c>
      <c r="G309" s="144" t="s">
        <v>1819</v>
      </c>
      <c r="H309" s="142">
        <v>4.8499999999999996</v>
      </c>
      <c r="I309" s="143">
        <f t="shared" si="14"/>
        <v>0.2061855670103093</v>
      </c>
      <c r="J309" s="161">
        <v>0</v>
      </c>
      <c r="K309" s="144">
        <f t="shared" si="11"/>
        <v>0</v>
      </c>
      <c r="L309" s="1054">
        <v>0</v>
      </c>
      <c r="M309" s="144" t="e">
        <f t="shared" si="12"/>
        <v>#DIV/0!</v>
      </c>
      <c r="N309" s="155" t="e">
        <f t="shared" si="13"/>
        <v>#DIV/0!</v>
      </c>
    </row>
    <row r="310" spans="5:14" ht="15" customHeight="1">
      <c r="E310" s="57"/>
      <c r="F310" s="57"/>
      <c r="G310" s="144" t="s">
        <v>1824</v>
      </c>
      <c r="H310" s="142">
        <v>1.4</v>
      </c>
      <c r="I310" s="143">
        <f t="shared" si="14"/>
        <v>0.7142857142857143</v>
      </c>
      <c r="J310" s="161">
        <v>0</v>
      </c>
      <c r="K310" s="144">
        <f t="shared" si="11"/>
        <v>0</v>
      </c>
      <c r="L310" s="1054">
        <v>0</v>
      </c>
      <c r="M310" s="144" t="e">
        <f t="shared" si="12"/>
        <v>#DIV/0!</v>
      </c>
      <c r="N310" s="155" t="e">
        <f t="shared" si="13"/>
        <v>#DIV/0!</v>
      </c>
    </row>
    <row r="311" spans="5:14" ht="15" customHeight="1">
      <c r="E311" s="57"/>
      <c r="F311" s="57"/>
      <c r="G311" s="144" t="s">
        <v>1826</v>
      </c>
      <c r="H311" s="142">
        <v>0.33100000000000002</v>
      </c>
      <c r="I311" s="143">
        <f t="shared" si="14"/>
        <v>3.0211480362537761</v>
      </c>
      <c r="J311" s="161">
        <v>0</v>
      </c>
      <c r="K311" s="144">
        <f t="shared" si="11"/>
        <v>0</v>
      </c>
      <c r="L311" s="1054">
        <v>0</v>
      </c>
      <c r="M311" s="144" t="e">
        <f t="shared" si="12"/>
        <v>#DIV/0!</v>
      </c>
      <c r="N311" s="155" t="e">
        <f t="shared" si="13"/>
        <v>#DIV/0!</v>
      </c>
    </row>
    <row r="312" spans="5:14" ht="15" customHeight="1">
      <c r="E312" s="57"/>
      <c r="F312" s="57"/>
      <c r="G312" s="144" t="s">
        <v>20</v>
      </c>
      <c r="H312" s="142">
        <v>0.17</v>
      </c>
      <c r="I312" s="143">
        <f t="shared" si="14"/>
        <v>5.8823529411764701</v>
      </c>
      <c r="J312" s="161">
        <v>0</v>
      </c>
      <c r="K312" s="144">
        <f t="shared" si="11"/>
        <v>0</v>
      </c>
      <c r="L312" s="1054">
        <v>0</v>
      </c>
      <c r="M312" s="144" t="e">
        <f>K312/L312</f>
        <v>#DIV/0!</v>
      </c>
      <c r="N312" s="155" t="e">
        <f t="shared" ref="N312:N380" si="15">M312</f>
        <v>#DIV/0!</v>
      </c>
    </row>
    <row r="313" spans="5:14" ht="15" customHeight="1">
      <c r="E313" s="57"/>
      <c r="F313" s="57"/>
      <c r="G313" s="144"/>
      <c r="H313" s="142"/>
      <c r="I313" s="143"/>
      <c r="J313" s="161"/>
      <c r="K313" s="144"/>
      <c r="L313" s="1054"/>
      <c r="M313" s="144"/>
      <c r="N313" s="155"/>
    </row>
    <row r="314" spans="5:14" ht="15" customHeight="1">
      <c r="E314" s="57"/>
      <c r="F314" s="57" t="s">
        <v>1927</v>
      </c>
      <c r="G314" s="144" t="s">
        <v>1819</v>
      </c>
      <c r="H314" s="142">
        <v>4.8499999999999996</v>
      </c>
      <c r="I314" s="143">
        <f t="shared" ref="I314:I377" si="16">1/H314</f>
        <v>0.2061855670103093</v>
      </c>
      <c r="J314" s="161">
        <v>0</v>
      </c>
      <c r="K314" s="144">
        <f t="shared" ref="K314:K377" si="17">J314/I314</f>
        <v>0</v>
      </c>
      <c r="L314" s="1054">
        <v>0</v>
      </c>
      <c r="M314" s="144" t="e">
        <f>K314/L314</f>
        <v>#DIV/0!</v>
      </c>
      <c r="N314" s="155" t="e">
        <f t="shared" si="15"/>
        <v>#DIV/0!</v>
      </c>
    </row>
    <row r="315" spans="5:14" ht="15" customHeight="1">
      <c r="E315" s="57"/>
      <c r="F315" s="57"/>
      <c r="G315" s="144" t="s">
        <v>1824</v>
      </c>
      <c r="H315" s="142">
        <v>1.4</v>
      </c>
      <c r="I315" s="143">
        <f t="shared" si="16"/>
        <v>0.7142857142857143</v>
      </c>
      <c r="J315" s="161">
        <v>0</v>
      </c>
      <c r="K315" s="144">
        <f t="shared" si="17"/>
        <v>0</v>
      </c>
      <c r="L315" s="1054">
        <v>0</v>
      </c>
      <c r="M315" s="144" t="e">
        <f>K315/L315</f>
        <v>#DIV/0!</v>
      </c>
      <c r="N315" s="155" t="e">
        <f t="shared" si="15"/>
        <v>#DIV/0!</v>
      </c>
    </row>
    <row r="316" spans="5:14" ht="15" customHeight="1">
      <c r="E316" s="57"/>
      <c r="F316" s="57"/>
      <c r="G316" s="144" t="s">
        <v>1826</v>
      </c>
      <c r="H316" s="142">
        <v>0.33100000000000002</v>
      </c>
      <c r="I316" s="143">
        <f t="shared" si="16"/>
        <v>3.0211480362537761</v>
      </c>
      <c r="J316" s="161">
        <v>0</v>
      </c>
      <c r="K316" s="144">
        <f t="shared" si="17"/>
        <v>0</v>
      </c>
      <c r="L316" s="1054">
        <v>0</v>
      </c>
      <c r="M316" s="144" t="e">
        <f>K316/L316</f>
        <v>#DIV/0!</v>
      </c>
      <c r="N316" s="155" t="e">
        <f t="shared" si="15"/>
        <v>#DIV/0!</v>
      </c>
    </row>
    <row r="317" spans="5:14" ht="15" customHeight="1">
      <c r="E317" s="57"/>
      <c r="F317" s="57"/>
      <c r="G317" s="144" t="s">
        <v>20</v>
      </c>
      <c r="H317" s="142">
        <v>0.17</v>
      </c>
      <c r="I317" s="143">
        <f t="shared" si="16"/>
        <v>5.8823529411764701</v>
      </c>
      <c r="J317" s="161">
        <v>0</v>
      </c>
      <c r="K317" s="144">
        <f t="shared" si="17"/>
        <v>0</v>
      </c>
      <c r="L317" s="1054">
        <v>0</v>
      </c>
      <c r="M317" s="144" t="e">
        <f>K317/L317</f>
        <v>#DIV/0!</v>
      </c>
      <c r="N317" s="155" t="e">
        <f t="shared" si="15"/>
        <v>#DIV/0!</v>
      </c>
    </row>
    <row r="318" spans="5:14" ht="15" customHeight="1">
      <c r="E318" s="57"/>
      <c r="F318" s="57"/>
      <c r="G318" s="144"/>
      <c r="H318" s="142"/>
      <c r="I318" s="143"/>
      <c r="J318" s="161"/>
      <c r="K318" s="144"/>
      <c r="L318" s="1054"/>
      <c r="M318" s="144"/>
      <c r="N318" s="155"/>
    </row>
    <row r="319" spans="5:14" ht="15" customHeight="1">
      <c r="E319" s="57"/>
      <c r="F319" s="57" t="s">
        <v>1928</v>
      </c>
      <c r="G319" s="144" t="s">
        <v>1819</v>
      </c>
      <c r="H319" s="142">
        <v>4.8499999999999996</v>
      </c>
      <c r="I319" s="143">
        <f t="shared" si="16"/>
        <v>0.2061855670103093</v>
      </c>
      <c r="J319" s="161">
        <v>0</v>
      </c>
      <c r="K319" s="144">
        <f>J319/I319</f>
        <v>0</v>
      </c>
      <c r="L319" s="1054">
        <v>0</v>
      </c>
      <c r="M319" s="144" t="e">
        <f>K319/L319</f>
        <v>#DIV/0!</v>
      </c>
      <c r="N319" s="155" t="e">
        <f t="shared" si="15"/>
        <v>#DIV/0!</v>
      </c>
    </row>
    <row r="320" spans="5:14" ht="15" customHeight="1">
      <c r="E320" s="57"/>
      <c r="F320" s="57"/>
      <c r="G320" s="144" t="s">
        <v>1824</v>
      </c>
      <c r="H320" s="142">
        <v>1.4</v>
      </c>
      <c r="I320" s="143">
        <f t="shared" si="16"/>
        <v>0.7142857142857143</v>
      </c>
      <c r="J320" s="161">
        <v>0</v>
      </c>
      <c r="K320" s="144">
        <f>J320/I320</f>
        <v>0</v>
      </c>
      <c r="L320" s="1054">
        <v>0</v>
      </c>
      <c r="M320" s="144" t="e">
        <f>K320/L320</f>
        <v>#DIV/0!</v>
      </c>
      <c r="N320" s="155" t="e">
        <f t="shared" si="15"/>
        <v>#DIV/0!</v>
      </c>
    </row>
    <row r="321" spans="5:14" ht="15" customHeight="1">
      <c r="E321" s="57"/>
      <c r="F321" s="57"/>
      <c r="G321" s="144" t="s">
        <v>1826</v>
      </c>
      <c r="H321" s="142">
        <v>0.33100000000000002</v>
      </c>
      <c r="I321" s="143">
        <f t="shared" si="16"/>
        <v>3.0211480362537761</v>
      </c>
      <c r="J321" s="161">
        <v>0</v>
      </c>
      <c r="K321" s="144">
        <f>J321/I321</f>
        <v>0</v>
      </c>
      <c r="L321" s="1054">
        <v>0</v>
      </c>
      <c r="M321" s="144" t="e">
        <f>K321/L321</f>
        <v>#DIV/0!</v>
      </c>
      <c r="N321" s="155" t="e">
        <f t="shared" si="15"/>
        <v>#DIV/0!</v>
      </c>
    </row>
    <row r="322" spans="5:14" ht="15" customHeight="1">
      <c r="E322" s="57"/>
      <c r="F322" s="57"/>
      <c r="G322" s="144" t="s">
        <v>20</v>
      </c>
      <c r="H322" s="142">
        <v>0.17</v>
      </c>
      <c r="I322" s="143">
        <f t="shared" si="16"/>
        <v>5.8823529411764701</v>
      </c>
      <c r="J322" s="161">
        <v>0</v>
      </c>
      <c r="K322" s="144">
        <f>J322/I322</f>
        <v>0</v>
      </c>
      <c r="L322" s="1054">
        <v>0</v>
      </c>
      <c r="M322" s="144" t="e">
        <f>K322/L322</f>
        <v>#DIV/0!</v>
      </c>
      <c r="N322" s="155" t="e">
        <f t="shared" si="15"/>
        <v>#DIV/0!</v>
      </c>
    </row>
    <row r="323" spans="5:14" ht="15" customHeight="1">
      <c r="E323" s="57"/>
      <c r="F323" s="57"/>
      <c r="G323" s="144"/>
      <c r="H323" s="142"/>
      <c r="I323" s="143"/>
      <c r="J323" s="161"/>
      <c r="K323" s="144"/>
      <c r="L323" s="1054"/>
      <c r="M323" s="144"/>
      <c r="N323" s="155"/>
    </row>
    <row r="324" spans="5:14" ht="15" customHeight="1">
      <c r="E324" s="57"/>
      <c r="F324" s="57" t="s">
        <v>1929</v>
      </c>
      <c r="G324" s="144" t="s">
        <v>1819</v>
      </c>
      <c r="H324" s="142">
        <v>4.8499999999999996</v>
      </c>
      <c r="I324" s="143">
        <f t="shared" si="16"/>
        <v>0.2061855670103093</v>
      </c>
      <c r="J324" s="161">
        <v>0</v>
      </c>
      <c r="K324" s="144">
        <f t="shared" si="17"/>
        <v>0</v>
      </c>
      <c r="L324" s="1054">
        <v>8</v>
      </c>
      <c r="M324" s="144">
        <f>K324/L324</f>
        <v>0</v>
      </c>
      <c r="N324" s="155">
        <v>4</v>
      </c>
    </row>
    <row r="325" spans="5:14" ht="15" customHeight="1">
      <c r="E325" s="57"/>
      <c r="F325" s="57"/>
      <c r="G325" s="144" t="s">
        <v>1824</v>
      </c>
      <c r="H325" s="142">
        <v>1.4</v>
      </c>
      <c r="I325" s="143">
        <f t="shared" si="16"/>
        <v>0.7142857142857143</v>
      </c>
      <c r="J325" s="161">
        <v>0</v>
      </c>
      <c r="K325" s="144">
        <f t="shared" si="17"/>
        <v>0</v>
      </c>
      <c r="L325" s="1054">
        <v>8</v>
      </c>
      <c r="M325" s="144">
        <f>K325/L325</f>
        <v>0</v>
      </c>
      <c r="N325" s="155">
        <v>1</v>
      </c>
    </row>
    <row r="326" spans="5:14" ht="15" customHeight="1">
      <c r="E326" s="57"/>
      <c r="F326" s="57"/>
      <c r="G326" s="144" t="s">
        <v>1826</v>
      </c>
      <c r="H326" s="142">
        <v>0.33100000000000002</v>
      </c>
      <c r="I326" s="143">
        <f t="shared" si="16"/>
        <v>3.0211480362537761</v>
      </c>
      <c r="J326" s="161">
        <v>0</v>
      </c>
      <c r="K326" s="144">
        <f t="shared" si="17"/>
        <v>0</v>
      </c>
      <c r="L326" s="1054">
        <v>8</v>
      </c>
      <c r="M326" s="144">
        <f>K326/L326</f>
        <v>0</v>
      </c>
      <c r="N326" s="155">
        <v>1</v>
      </c>
    </row>
    <row r="327" spans="5:14" ht="15" customHeight="1">
      <c r="E327" s="57"/>
      <c r="F327" s="57"/>
      <c r="G327" s="144" t="s">
        <v>20</v>
      </c>
      <c r="H327" s="142">
        <v>0.17</v>
      </c>
      <c r="I327" s="143">
        <f t="shared" si="16"/>
        <v>5.8823529411764701</v>
      </c>
      <c r="J327" s="161">
        <v>0</v>
      </c>
      <c r="K327" s="144">
        <f t="shared" si="17"/>
        <v>0</v>
      </c>
      <c r="L327" s="1054">
        <v>8</v>
      </c>
      <c r="M327" s="144">
        <f>K327/L327</f>
        <v>0</v>
      </c>
      <c r="N327" s="155">
        <v>1</v>
      </c>
    </row>
    <row r="328" spans="5:14" ht="15" customHeight="1">
      <c r="E328" s="57"/>
      <c r="F328" s="57"/>
      <c r="G328" s="144"/>
      <c r="H328" s="142"/>
      <c r="I328" s="143"/>
      <c r="J328" s="161"/>
      <c r="K328" s="144"/>
      <c r="L328" s="1054"/>
      <c r="M328" s="144"/>
      <c r="N328" s="155"/>
    </row>
    <row r="329" spans="5:14" ht="15" customHeight="1">
      <c r="E329" s="57"/>
      <c r="F329" s="57" t="s">
        <v>1930</v>
      </c>
      <c r="G329" s="144" t="s">
        <v>1819</v>
      </c>
      <c r="H329" s="142">
        <v>4.8499999999999996</v>
      </c>
      <c r="I329" s="143">
        <f t="shared" si="16"/>
        <v>0.2061855670103093</v>
      </c>
      <c r="J329" s="161">
        <v>0</v>
      </c>
      <c r="K329" s="144">
        <f t="shared" si="17"/>
        <v>0</v>
      </c>
      <c r="L329" s="1054">
        <v>0</v>
      </c>
      <c r="M329" s="144" t="e">
        <f>K329/L329</f>
        <v>#DIV/0!</v>
      </c>
      <c r="N329" s="155" t="e">
        <f t="shared" si="15"/>
        <v>#DIV/0!</v>
      </c>
    </row>
    <row r="330" spans="5:14" ht="15" customHeight="1">
      <c r="E330" s="57"/>
      <c r="F330" s="57"/>
      <c r="G330" s="144" t="s">
        <v>1824</v>
      </c>
      <c r="H330" s="142">
        <v>1.4</v>
      </c>
      <c r="I330" s="143">
        <f t="shared" si="16"/>
        <v>0.7142857142857143</v>
      </c>
      <c r="J330" s="161">
        <v>0</v>
      </c>
      <c r="K330" s="144">
        <f t="shared" si="17"/>
        <v>0</v>
      </c>
      <c r="L330" s="1054">
        <v>0</v>
      </c>
      <c r="M330" s="144" t="e">
        <f>K330/L330</f>
        <v>#DIV/0!</v>
      </c>
      <c r="N330" s="155" t="e">
        <f t="shared" si="15"/>
        <v>#DIV/0!</v>
      </c>
    </row>
    <row r="331" spans="5:14" ht="15" customHeight="1">
      <c r="E331" s="57"/>
      <c r="F331" s="57"/>
      <c r="G331" s="144" t="s">
        <v>1826</v>
      </c>
      <c r="H331" s="142">
        <v>0.33100000000000002</v>
      </c>
      <c r="I331" s="143">
        <f t="shared" si="16"/>
        <v>3.0211480362537761</v>
      </c>
      <c r="J331" s="161">
        <v>0</v>
      </c>
      <c r="K331" s="144">
        <f t="shared" si="17"/>
        <v>0</v>
      </c>
      <c r="L331" s="1054">
        <v>0</v>
      </c>
      <c r="M331" s="144" t="e">
        <f>K331/L331</f>
        <v>#DIV/0!</v>
      </c>
      <c r="N331" s="155" t="e">
        <f t="shared" si="15"/>
        <v>#DIV/0!</v>
      </c>
    </row>
    <row r="332" spans="5:14" ht="15" customHeight="1">
      <c r="E332" s="57"/>
      <c r="F332" s="57"/>
      <c r="G332" s="144" t="s">
        <v>20</v>
      </c>
      <c r="H332" s="142">
        <v>0.17</v>
      </c>
      <c r="I332" s="143">
        <f t="shared" si="16"/>
        <v>5.8823529411764701</v>
      </c>
      <c r="J332" s="161">
        <v>0</v>
      </c>
      <c r="K332" s="144">
        <f t="shared" si="17"/>
        <v>0</v>
      </c>
      <c r="L332" s="1054">
        <v>0</v>
      </c>
      <c r="M332" s="144" t="e">
        <f>K332/L332</f>
        <v>#DIV/0!</v>
      </c>
      <c r="N332" s="155" t="e">
        <f t="shared" si="15"/>
        <v>#DIV/0!</v>
      </c>
    </row>
    <row r="333" spans="5:14" ht="15" customHeight="1">
      <c r="E333" s="57"/>
      <c r="F333" s="57"/>
      <c r="G333" s="144"/>
      <c r="H333" s="142"/>
      <c r="I333" s="143"/>
      <c r="J333" s="161"/>
      <c r="K333" s="144"/>
      <c r="L333" s="1054"/>
      <c r="M333" s="144"/>
      <c r="N333" s="155"/>
    </row>
    <row r="334" spans="5:14" ht="15" customHeight="1">
      <c r="E334" s="57"/>
      <c r="F334" s="57" t="s">
        <v>1931</v>
      </c>
      <c r="G334" s="144" t="s">
        <v>1819</v>
      </c>
      <c r="H334" s="142">
        <v>4.8499999999999996</v>
      </c>
      <c r="I334" s="143">
        <f t="shared" si="16"/>
        <v>0.2061855670103093</v>
      </c>
      <c r="J334" s="161">
        <v>0</v>
      </c>
      <c r="K334" s="144">
        <f t="shared" si="17"/>
        <v>0</v>
      </c>
      <c r="L334" s="1054">
        <v>0</v>
      </c>
      <c r="M334" s="144" t="e">
        <f>K334/L334</f>
        <v>#DIV/0!</v>
      </c>
      <c r="N334" s="155" t="e">
        <f t="shared" si="15"/>
        <v>#DIV/0!</v>
      </c>
    </row>
    <row r="335" spans="5:14" ht="15" customHeight="1">
      <c r="E335" s="57"/>
      <c r="F335" s="57"/>
      <c r="G335" s="144" t="s">
        <v>1824</v>
      </c>
      <c r="H335" s="142">
        <v>1.4</v>
      </c>
      <c r="I335" s="143">
        <f t="shared" si="16"/>
        <v>0.7142857142857143</v>
      </c>
      <c r="J335" s="161">
        <v>0</v>
      </c>
      <c r="K335" s="144">
        <f t="shared" si="17"/>
        <v>0</v>
      </c>
      <c r="L335" s="1054">
        <v>0</v>
      </c>
      <c r="M335" s="144" t="e">
        <f>K335/L335</f>
        <v>#DIV/0!</v>
      </c>
      <c r="N335" s="155" t="e">
        <f t="shared" si="15"/>
        <v>#DIV/0!</v>
      </c>
    </row>
    <row r="336" spans="5:14" ht="15" customHeight="1">
      <c r="E336" s="57"/>
      <c r="F336" s="57"/>
      <c r="G336" s="144" t="s">
        <v>1826</v>
      </c>
      <c r="H336" s="142">
        <v>0.33100000000000002</v>
      </c>
      <c r="I336" s="143">
        <f t="shared" si="16"/>
        <v>3.0211480362537761</v>
      </c>
      <c r="J336" s="161">
        <v>0</v>
      </c>
      <c r="K336" s="144">
        <f t="shared" si="17"/>
        <v>0</v>
      </c>
      <c r="L336" s="1054">
        <v>0</v>
      </c>
      <c r="M336" s="144" t="e">
        <f>K336/L336</f>
        <v>#DIV/0!</v>
      </c>
      <c r="N336" s="155" t="e">
        <f t="shared" si="15"/>
        <v>#DIV/0!</v>
      </c>
    </row>
    <row r="337" spans="5:14" ht="15" customHeight="1">
      <c r="E337" s="57"/>
      <c r="F337" s="57"/>
      <c r="G337" s="144" t="s">
        <v>20</v>
      </c>
      <c r="H337" s="142">
        <v>0.17</v>
      </c>
      <c r="I337" s="143">
        <f t="shared" si="16"/>
        <v>5.8823529411764701</v>
      </c>
      <c r="J337" s="161">
        <v>0</v>
      </c>
      <c r="K337" s="144">
        <f t="shared" si="17"/>
        <v>0</v>
      </c>
      <c r="L337" s="1054">
        <v>0</v>
      </c>
      <c r="M337" s="144" t="e">
        <f>K337/L337</f>
        <v>#DIV/0!</v>
      </c>
      <c r="N337" s="155" t="e">
        <f t="shared" si="15"/>
        <v>#DIV/0!</v>
      </c>
    </row>
    <row r="338" spans="5:14" ht="15" customHeight="1">
      <c r="E338" s="57"/>
      <c r="F338" s="57"/>
      <c r="G338" s="144"/>
      <c r="H338" s="142"/>
      <c r="I338" s="143"/>
      <c r="J338" s="161"/>
      <c r="K338" s="144"/>
      <c r="L338" s="1054"/>
      <c r="M338" s="144"/>
      <c r="N338" s="155"/>
    </row>
    <row r="339" spans="5:14" ht="15" customHeight="1">
      <c r="E339" s="57"/>
      <c r="F339" s="57" t="s">
        <v>1932</v>
      </c>
      <c r="G339" s="144" t="s">
        <v>1819</v>
      </c>
      <c r="H339" s="142">
        <v>4.8499999999999996</v>
      </c>
      <c r="I339" s="143">
        <f t="shared" si="16"/>
        <v>0.2061855670103093</v>
      </c>
      <c r="J339" s="161">
        <v>0</v>
      </c>
      <c r="K339" s="144">
        <f t="shared" si="17"/>
        <v>0</v>
      </c>
      <c r="L339" s="1054">
        <v>0</v>
      </c>
      <c r="M339" s="144" t="e">
        <f>K339/L339</f>
        <v>#DIV/0!</v>
      </c>
      <c r="N339" s="155" t="e">
        <f t="shared" si="15"/>
        <v>#DIV/0!</v>
      </c>
    </row>
    <row r="340" spans="5:14" ht="15" customHeight="1">
      <c r="E340" s="57"/>
      <c r="F340" s="57"/>
      <c r="G340" s="144" t="s">
        <v>1824</v>
      </c>
      <c r="H340" s="142">
        <v>1.4</v>
      </c>
      <c r="I340" s="143">
        <f t="shared" si="16"/>
        <v>0.7142857142857143</v>
      </c>
      <c r="J340" s="161">
        <v>0</v>
      </c>
      <c r="K340" s="144">
        <f t="shared" si="17"/>
        <v>0</v>
      </c>
      <c r="L340" s="1054">
        <v>0</v>
      </c>
      <c r="M340" s="144" t="e">
        <f>K340/L340</f>
        <v>#DIV/0!</v>
      </c>
      <c r="N340" s="155" t="e">
        <f t="shared" si="15"/>
        <v>#DIV/0!</v>
      </c>
    </row>
    <row r="341" spans="5:14" ht="15" customHeight="1">
      <c r="E341" s="57"/>
      <c r="F341" s="57"/>
      <c r="G341" s="144" t="s">
        <v>1826</v>
      </c>
      <c r="H341" s="142">
        <v>0.33100000000000002</v>
      </c>
      <c r="I341" s="143">
        <f t="shared" si="16"/>
        <v>3.0211480362537761</v>
      </c>
      <c r="J341" s="161">
        <v>0</v>
      </c>
      <c r="K341" s="144">
        <f t="shared" si="17"/>
        <v>0</v>
      </c>
      <c r="L341" s="1054">
        <v>0</v>
      </c>
      <c r="M341" s="144" t="e">
        <f>K341/L341</f>
        <v>#DIV/0!</v>
      </c>
      <c r="N341" s="155" t="e">
        <f t="shared" si="15"/>
        <v>#DIV/0!</v>
      </c>
    </row>
    <row r="342" spans="5:14" ht="15" customHeight="1">
      <c r="E342" s="57"/>
      <c r="F342" s="57"/>
      <c r="G342" s="144" t="s">
        <v>20</v>
      </c>
      <c r="H342" s="142">
        <v>0.17</v>
      </c>
      <c r="I342" s="143">
        <f t="shared" si="16"/>
        <v>5.8823529411764701</v>
      </c>
      <c r="J342" s="161">
        <v>0</v>
      </c>
      <c r="K342" s="144">
        <f t="shared" si="17"/>
        <v>0</v>
      </c>
      <c r="L342" s="1054">
        <v>0</v>
      </c>
      <c r="M342" s="144" t="e">
        <f>K342/L342</f>
        <v>#DIV/0!</v>
      </c>
      <c r="N342" s="155" t="e">
        <f t="shared" si="15"/>
        <v>#DIV/0!</v>
      </c>
    </row>
    <row r="343" spans="5:14" ht="15" customHeight="1">
      <c r="E343" s="57"/>
      <c r="F343" s="57"/>
      <c r="G343" s="144"/>
      <c r="H343" s="142"/>
      <c r="I343" s="143"/>
      <c r="J343" s="161"/>
      <c r="K343" s="144"/>
      <c r="L343" s="1054"/>
      <c r="M343" s="144"/>
      <c r="N343" s="155"/>
    </row>
    <row r="344" spans="5:14" ht="15" customHeight="1">
      <c r="E344" s="57"/>
      <c r="F344" s="57" t="s">
        <v>1933</v>
      </c>
      <c r="G344" s="144" t="s">
        <v>1819</v>
      </c>
      <c r="H344" s="142">
        <v>4.8499999999999996</v>
      </c>
      <c r="I344" s="143">
        <f t="shared" si="16"/>
        <v>0.2061855670103093</v>
      </c>
      <c r="J344" s="161">
        <v>0</v>
      </c>
      <c r="K344" s="144">
        <f t="shared" si="17"/>
        <v>0</v>
      </c>
      <c r="L344" s="1054">
        <v>0</v>
      </c>
      <c r="M344" s="144" t="e">
        <f>K344/L344</f>
        <v>#DIV/0!</v>
      </c>
      <c r="N344" s="155" t="e">
        <f t="shared" si="15"/>
        <v>#DIV/0!</v>
      </c>
    </row>
    <row r="345" spans="5:14" ht="15" customHeight="1">
      <c r="E345" s="57"/>
      <c r="F345" s="57"/>
      <c r="G345" s="144" t="s">
        <v>1824</v>
      </c>
      <c r="H345" s="142">
        <v>1.4</v>
      </c>
      <c r="I345" s="143">
        <f t="shared" si="16"/>
        <v>0.7142857142857143</v>
      </c>
      <c r="J345" s="161">
        <v>0</v>
      </c>
      <c r="K345" s="144">
        <f t="shared" si="17"/>
        <v>0</v>
      </c>
      <c r="L345" s="1054">
        <v>0</v>
      </c>
      <c r="M345" s="144" t="e">
        <f>K345/L345</f>
        <v>#DIV/0!</v>
      </c>
      <c r="N345" s="155" t="e">
        <f t="shared" si="15"/>
        <v>#DIV/0!</v>
      </c>
    </row>
    <row r="346" spans="5:14" ht="15" customHeight="1">
      <c r="E346" s="57"/>
      <c r="F346" s="57"/>
      <c r="G346" s="144" t="s">
        <v>1826</v>
      </c>
      <c r="H346" s="142">
        <v>0.33100000000000002</v>
      </c>
      <c r="I346" s="143">
        <f t="shared" si="16"/>
        <v>3.0211480362537761</v>
      </c>
      <c r="J346" s="161">
        <v>0</v>
      </c>
      <c r="K346" s="144">
        <f t="shared" si="17"/>
        <v>0</v>
      </c>
      <c r="L346" s="1054">
        <v>0</v>
      </c>
      <c r="M346" s="144" t="e">
        <f>K346/L346</f>
        <v>#DIV/0!</v>
      </c>
      <c r="N346" s="155" t="e">
        <f t="shared" si="15"/>
        <v>#DIV/0!</v>
      </c>
    </row>
    <row r="347" spans="5:14" ht="15" customHeight="1">
      <c r="E347" s="57"/>
      <c r="F347" s="57"/>
      <c r="G347" s="144" t="s">
        <v>20</v>
      </c>
      <c r="H347" s="142">
        <v>0.17</v>
      </c>
      <c r="I347" s="143">
        <f t="shared" si="16"/>
        <v>5.8823529411764701</v>
      </c>
      <c r="J347" s="161">
        <v>0</v>
      </c>
      <c r="K347" s="144">
        <f t="shared" si="17"/>
        <v>0</v>
      </c>
      <c r="L347" s="1054">
        <v>0</v>
      </c>
      <c r="M347" s="144" t="e">
        <f>K347/L347</f>
        <v>#DIV/0!</v>
      </c>
      <c r="N347" s="155" t="e">
        <f t="shared" si="15"/>
        <v>#DIV/0!</v>
      </c>
    </row>
    <row r="348" spans="5:14" ht="15" customHeight="1">
      <c r="E348" s="57"/>
      <c r="F348" s="57"/>
      <c r="G348" s="144"/>
      <c r="H348" s="142"/>
      <c r="I348" s="143"/>
      <c r="J348" s="161"/>
      <c r="K348" s="144"/>
      <c r="L348" s="1054"/>
      <c r="M348" s="144"/>
      <c r="N348" s="155"/>
    </row>
    <row r="349" spans="5:14" ht="15" customHeight="1">
      <c r="E349" s="57"/>
      <c r="F349" s="57" t="s">
        <v>1934</v>
      </c>
      <c r="G349" s="144" t="s">
        <v>1819</v>
      </c>
      <c r="H349" s="142">
        <v>4.8499999999999996</v>
      </c>
      <c r="I349" s="143">
        <f t="shared" si="16"/>
        <v>0.2061855670103093</v>
      </c>
      <c r="J349" s="161">
        <v>0</v>
      </c>
      <c r="K349" s="144">
        <f t="shared" si="17"/>
        <v>0</v>
      </c>
      <c r="L349" s="1054">
        <v>0</v>
      </c>
      <c r="M349" s="144" t="e">
        <f>K349/L349</f>
        <v>#DIV/0!</v>
      </c>
      <c r="N349" s="155" t="e">
        <f t="shared" si="15"/>
        <v>#DIV/0!</v>
      </c>
    </row>
    <row r="350" spans="5:14" ht="15" customHeight="1">
      <c r="E350" s="57"/>
      <c r="F350" s="57"/>
      <c r="G350" s="144" t="s">
        <v>1824</v>
      </c>
      <c r="H350" s="142">
        <v>1.4</v>
      </c>
      <c r="I350" s="143">
        <f t="shared" si="16"/>
        <v>0.7142857142857143</v>
      </c>
      <c r="J350" s="161">
        <v>0</v>
      </c>
      <c r="K350" s="144">
        <f t="shared" si="17"/>
        <v>0</v>
      </c>
      <c r="L350" s="1054">
        <v>0</v>
      </c>
      <c r="M350" s="144" t="e">
        <f>K350/L350</f>
        <v>#DIV/0!</v>
      </c>
      <c r="N350" s="155" t="e">
        <f t="shared" si="15"/>
        <v>#DIV/0!</v>
      </c>
    </row>
    <row r="351" spans="5:14" ht="15" customHeight="1">
      <c r="E351" s="57"/>
      <c r="F351" s="57"/>
      <c r="G351" s="144" t="s">
        <v>1826</v>
      </c>
      <c r="H351" s="142">
        <v>0.33100000000000002</v>
      </c>
      <c r="I351" s="143">
        <f t="shared" si="16"/>
        <v>3.0211480362537761</v>
      </c>
      <c r="J351" s="161">
        <v>0</v>
      </c>
      <c r="K351" s="144">
        <f t="shared" si="17"/>
        <v>0</v>
      </c>
      <c r="L351" s="1054">
        <v>0</v>
      </c>
      <c r="M351" s="144" t="e">
        <f>K351/L351</f>
        <v>#DIV/0!</v>
      </c>
      <c r="N351" s="155" t="e">
        <f t="shared" si="15"/>
        <v>#DIV/0!</v>
      </c>
    </row>
    <row r="352" spans="5:14" ht="15" customHeight="1">
      <c r="E352" s="57"/>
      <c r="F352" s="57"/>
      <c r="G352" s="144" t="s">
        <v>20</v>
      </c>
      <c r="H352" s="142">
        <v>0.17</v>
      </c>
      <c r="I352" s="143">
        <f t="shared" si="16"/>
        <v>5.8823529411764701</v>
      </c>
      <c r="J352" s="161">
        <v>0</v>
      </c>
      <c r="K352" s="144">
        <f t="shared" si="17"/>
        <v>0</v>
      </c>
      <c r="L352" s="1054">
        <v>0</v>
      </c>
      <c r="M352" s="144" t="e">
        <f>K352/L352</f>
        <v>#DIV/0!</v>
      </c>
      <c r="N352" s="155" t="e">
        <f t="shared" si="15"/>
        <v>#DIV/0!</v>
      </c>
    </row>
    <row r="353" spans="5:14" ht="15" customHeight="1">
      <c r="E353" s="57"/>
      <c r="F353" s="57"/>
      <c r="G353" s="144"/>
      <c r="H353" s="142"/>
      <c r="I353" s="143"/>
      <c r="J353" s="161"/>
      <c r="K353" s="144"/>
      <c r="L353" s="1054"/>
      <c r="M353" s="144"/>
      <c r="N353" s="155"/>
    </row>
    <row r="354" spans="5:14" ht="15" customHeight="1">
      <c r="E354" s="57"/>
      <c r="F354" s="57" t="s">
        <v>1935</v>
      </c>
      <c r="G354" s="144" t="s">
        <v>1819</v>
      </c>
      <c r="H354" s="142">
        <v>4.8499999999999996</v>
      </c>
      <c r="I354" s="143">
        <f t="shared" si="16"/>
        <v>0.2061855670103093</v>
      </c>
      <c r="J354" s="161">
        <v>0</v>
      </c>
      <c r="K354" s="144">
        <f t="shared" si="17"/>
        <v>0</v>
      </c>
      <c r="L354" s="1054">
        <v>0</v>
      </c>
      <c r="M354" s="144" t="e">
        <f>K354/L354</f>
        <v>#DIV/0!</v>
      </c>
      <c r="N354" s="155" t="e">
        <f t="shared" si="15"/>
        <v>#DIV/0!</v>
      </c>
    </row>
    <row r="355" spans="5:14" ht="15" customHeight="1">
      <c r="E355" s="57"/>
      <c r="F355" s="57"/>
      <c r="G355" s="144" t="s">
        <v>1824</v>
      </c>
      <c r="H355" s="142">
        <v>1.4</v>
      </c>
      <c r="I355" s="143">
        <f t="shared" si="16"/>
        <v>0.7142857142857143</v>
      </c>
      <c r="J355" s="161">
        <v>0</v>
      </c>
      <c r="K355" s="144">
        <f t="shared" si="17"/>
        <v>0</v>
      </c>
      <c r="L355" s="1054">
        <v>0</v>
      </c>
      <c r="M355" s="144" t="e">
        <f>K355/L355</f>
        <v>#DIV/0!</v>
      </c>
      <c r="N355" s="155" t="e">
        <f t="shared" si="15"/>
        <v>#DIV/0!</v>
      </c>
    </row>
    <row r="356" spans="5:14" ht="15" customHeight="1">
      <c r="E356" s="57"/>
      <c r="F356" s="57"/>
      <c r="G356" s="144" t="s">
        <v>1826</v>
      </c>
      <c r="H356" s="142">
        <v>0.33100000000000002</v>
      </c>
      <c r="I356" s="143">
        <f t="shared" si="16"/>
        <v>3.0211480362537761</v>
      </c>
      <c r="J356" s="161">
        <v>0</v>
      </c>
      <c r="K356" s="144">
        <f t="shared" si="17"/>
        <v>0</v>
      </c>
      <c r="L356" s="1054">
        <v>0</v>
      </c>
      <c r="M356" s="144" t="e">
        <f>K356/L356</f>
        <v>#DIV/0!</v>
      </c>
      <c r="N356" s="155" t="e">
        <f t="shared" si="15"/>
        <v>#DIV/0!</v>
      </c>
    </row>
    <row r="357" spans="5:14" ht="15" customHeight="1">
      <c r="E357" s="57"/>
      <c r="F357" s="57"/>
      <c r="G357" s="144" t="s">
        <v>20</v>
      </c>
      <c r="H357" s="142">
        <v>0.17</v>
      </c>
      <c r="I357" s="143">
        <f t="shared" si="16"/>
        <v>5.8823529411764701</v>
      </c>
      <c r="J357" s="161">
        <v>0</v>
      </c>
      <c r="K357" s="144">
        <f t="shared" si="17"/>
        <v>0</v>
      </c>
      <c r="L357" s="1054">
        <v>0</v>
      </c>
      <c r="M357" s="144" t="e">
        <f>K357/L357</f>
        <v>#DIV/0!</v>
      </c>
      <c r="N357" s="155" t="e">
        <f t="shared" si="15"/>
        <v>#DIV/0!</v>
      </c>
    </row>
    <row r="358" spans="5:14" ht="15" customHeight="1">
      <c r="E358" s="57"/>
      <c r="F358" s="57"/>
      <c r="G358" s="144"/>
      <c r="H358" s="142"/>
      <c r="I358" s="143"/>
      <c r="J358" s="161"/>
      <c r="K358" s="144"/>
      <c r="L358" s="1054"/>
      <c r="M358" s="144"/>
      <c r="N358" s="155"/>
    </row>
    <row r="359" spans="5:14" ht="15" customHeight="1">
      <c r="E359" s="57"/>
      <c r="F359" s="57" t="s">
        <v>1936</v>
      </c>
      <c r="G359" s="144" t="s">
        <v>1819</v>
      </c>
      <c r="H359" s="142">
        <v>4.8499999999999996</v>
      </c>
      <c r="I359" s="143">
        <f t="shared" si="16"/>
        <v>0.2061855670103093</v>
      </c>
      <c r="J359" s="161">
        <v>0</v>
      </c>
      <c r="K359" s="144">
        <f t="shared" si="17"/>
        <v>0</v>
      </c>
      <c r="L359" s="1054">
        <v>10</v>
      </c>
      <c r="M359" s="144">
        <f>K359/L359</f>
        <v>0</v>
      </c>
      <c r="N359" s="155">
        <v>4</v>
      </c>
    </row>
    <row r="360" spans="5:14" ht="15" customHeight="1">
      <c r="E360" s="57"/>
      <c r="F360" s="57"/>
      <c r="G360" s="144" t="s">
        <v>1824</v>
      </c>
      <c r="H360" s="142">
        <v>1.4</v>
      </c>
      <c r="I360" s="143">
        <f t="shared" si="16"/>
        <v>0.7142857142857143</v>
      </c>
      <c r="J360" s="161">
        <v>0</v>
      </c>
      <c r="K360" s="144">
        <f t="shared" si="17"/>
        <v>0</v>
      </c>
      <c r="L360" s="1054">
        <v>10</v>
      </c>
      <c r="M360" s="144">
        <f>K360/L360</f>
        <v>0</v>
      </c>
      <c r="N360" s="155">
        <v>2</v>
      </c>
    </row>
    <row r="361" spans="5:14" ht="15" customHeight="1">
      <c r="E361" s="57"/>
      <c r="F361" s="57"/>
      <c r="G361" s="144" t="s">
        <v>1826</v>
      </c>
      <c r="H361" s="142">
        <v>0.33100000000000002</v>
      </c>
      <c r="I361" s="143">
        <f t="shared" si="16"/>
        <v>3.0211480362537761</v>
      </c>
      <c r="J361" s="161">
        <v>0</v>
      </c>
      <c r="K361" s="144">
        <f t="shared" si="17"/>
        <v>0</v>
      </c>
      <c r="L361" s="1054">
        <v>10</v>
      </c>
      <c r="M361" s="144">
        <f>K361/L361</f>
        <v>0</v>
      </c>
      <c r="N361" s="155">
        <v>1</v>
      </c>
    </row>
    <row r="362" spans="5:14" ht="15" customHeight="1">
      <c r="E362" s="57"/>
      <c r="F362" s="57"/>
      <c r="G362" s="144" t="s">
        <v>20</v>
      </c>
      <c r="H362" s="142">
        <v>0.17</v>
      </c>
      <c r="I362" s="143">
        <f t="shared" si="16"/>
        <v>5.8823529411764701</v>
      </c>
      <c r="J362" s="161">
        <v>0</v>
      </c>
      <c r="K362" s="144">
        <f t="shared" si="17"/>
        <v>0</v>
      </c>
      <c r="L362" s="1054">
        <v>10</v>
      </c>
      <c r="M362" s="144">
        <f>K362/L362</f>
        <v>0</v>
      </c>
      <c r="N362" s="155">
        <v>1</v>
      </c>
    </row>
    <row r="363" spans="5:14" ht="15" customHeight="1">
      <c r="E363" s="57"/>
      <c r="F363" s="57"/>
      <c r="G363" s="144"/>
      <c r="H363" s="142"/>
      <c r="I363" s="143"/>
      <c r="J363" s="161"/>
      <c r="K363" s="144"/>
      <c r="L363" s="1054"/>
      <c r="M363" s="144"/>
      <c r="N363" s="155"/>
    </row>
    <row r="364" spans="5:14" ht="15" customHeight="1">
      <c r="E364" s="57"/>
      <c r="F364" s="57" t="s">
        <v>1937</v>
      </c>
      <c r="G364" s="144" t="s">
        <v>1819</v>
      </c>
      <c r="H364" s="142">
        <v>4.8499999999999996</v>
      </c>
      <c r="I364" s="143">
        <f t="shared" si="16"/>
        <v>0.2061855670103093</v>
      </c>
      <c r="J364" s="161">
        <v>0</v>
      </c>
      <c r="K364" s="144">
        <f t="shared" si="17"/>
        <v>0</v>
      </c>
      <c r="L364" s="1054">
        <v>4</v>
      </c>
      <c r="M364" s="144">
        <f>K364/L364</f>
        <v>0</v>
      </c>
      <c r="N364" s="155">
        <f t="shared" si="15"/>
        <v>0</v>
      </c>
    </row>
    <row r="365" spans="5:14" ht="15" customHeight="1">
      <c r="E365" s="57"/>
      <c r="F365" s="57"/>
      <c r="G365" s="144" t="s">
        <v>1824</v>
      </c>
      <c r="H365" s="142">
        <v>1.4</v>
      </c>
      <c r="I365" s="143">
        <f t="shared" si="16"/>
        <v>0.7142857142857143</v>
      </c>
      <c r="J365" s="161">
        <v>0</v>
      </c>
      <c r="K365" s="144">
        <f t="shared" si="17"/>
        <v>0</v>
      </c>
      <c r="L365" s="1054">
        <v>4</v>
      </c>
      <c r="M365" s="144">
        <f>K365/L365</f>
        <v>0</v>
      </c>
      <c r="N365" s="155">
        <v>2</v>
      </c>
    </row>
    <row r="366" spans="5:14" ht="15" customHeight="1">
      <c r="E366" s="57"/>
      <c r="F366" s="57"/>
      <c r="G366" s="144" t="s">
        <v>1826</v>
      </c>
      <c r="H366" s="142">
        <v>0.33100000000000002</v>
      </c>
      <c r="I366" s="143">
        <f t="shared" si="16"/>
        <v>3.0211480362537761</v>
      </c>
      <c r="J366" s="161">
        <v>0</v>
      </c>
      <c r="K366" s="144">
        <f t="shared" si="17"/>
        <v>0</v>
      </c>
      <c r="L366" s="1054">
        <v>4</v>
      </c>
      <c r="M366" s="144">
        <f>K366/L366</f>
        <v>0</v>
      </c>
      <c r="N366" s="155">
        <v>1</v>
      </c>
    </row>
    <row r="367" spans="5:14" ht="15" customHeight="1">
      <c r="E367" s="57"/>
      <c r="F367" s="57"/>
      <c r="G367" s="144" t="s">
        <v>20</v>
      </c>
      <c r="H367" s="142">
        <v>0.17</v>
      </c>
      <c r="I367" s="143">
        <f t="shared" si="16"/>
        <v>5.8823529411764701</v>
      </c>
      <c r="J367" s="161">
        <v>0</v>
      </c>
      <c r="K367" s="144">
        <f t="shared" si="17"/>
        <v>0</v>
      </c>
      <c r="L367" s="1054">
        <v>4</v>
      </c>
      <c r="M367" s="144">
        <f>K367/L367</f>
        <v>0</v>
      </c>
      <c r="N367" s="155">
        <v>1</v>
      </c>
    </row>
    <row r="368" spans="5:14" ht="15" customHeight="1">
      <c r="E368" s="57"/>
      <c r="F368" s="57"/>
      <c r="G368" s="144"/>
      <c r="H368" s="142"/>
      <c r="I368" s="143"/>
      <c r="J368" s="161"/>
      <c r="K368" s="144"/>
      <c r="L368" s="1054"/>
      <c r="M368" s="144"/>
      <c r="N368" s="155"/>
    </row>
    <row r="369" spans="5:14" ht="15" customHeight="1">
      <c r="E369" s="57"/>
      <c r="F369" s="57" t="s">
        <v>1938</v>
      </c>
      <c r="G369" s="144" t="s">
        <v>1819</v>
      </c>
      <c r="H369" s="142">
        <v>4.8499999999999996</v>
      </c>
      <c r="I369" s="143">
        <f t="shared" si="16"/>
        <v>0.2061855670103093</v>
      </c>
      <c r="J369" s="161">
        <v>0</v>
      </c>
      <c r="K369" s="144">
        <f t="shared" si="17"/>
        <v>0</v>
      </c>
      <c r="L369" s="1054">
        <v>4</v>
      </c>
      <c r="M369" s="144">
        <f>K369/L369</f>
        <v>0</v>
      </c>
      <c r="N369" s="155">
        <f t="shared" si="15"/>
        <v>0</v>
      </c>
    </row>
    <row r="370" spans="5:14" ht="15" customHeight="1">
      <c r="E370" s="57"/>
      <c r="F370" s="57"/>
      <c r="G370" s="144" t="s">
        <v>1824</v>
      </c>
      <c r="H370" s="142">
        <v>1.4</v>
      </c>
      <c r="I370" s="143">
        <f t="shared" si="16"/>
        <v>0.7142857142857143</v>
      </c>
      <c r="J370" s="161">
        <v>0</v>
      </c>
      <c r="K370" s="144">
        <f t="shared" si="17"/>
        <v>0</v>
      </c>
      <c r="L370" s="1054">
        <v>4</v>
      </c>
      <c r="M370" s="144">
        <f>K370/L370</f>
        <v>0</v>
      </c>
      <c r="N370" s="155">
        <f t="shared" si="15"/>
        <v>0</v>
      </c>
    </row>
    <row r="371" spans="5:14" ht="15" customHeight="1">
      <c r="E371" s="57"/>
      <c r="F371" s="57"/>
      <c r="G371" s="144" t="s">
        <v>1826</v>
      </c>
      <c r="H371" s="142">
        <v>0.33100000000000002</v>
      </c>
      <c r="I371" s="143">
        <f t="shared" si="16"/>
        <v>3.0211480362537761</v>
      </c>
      <c r="J371" s="161">
        <v>0</v>
      </c>
      <c r="K371" s="144">
        <f t="shared" si="17"/>
        <v>0</v>
      </c>
      <c r="L371" s="1054">
        <v>4</v>
      </c>
      <c r="M371" s="144">
        <f>K371/L371</f>
        <v>0</v>
      </c>
      <c r="N371" s="155">
        <v>1</v>
      </c>
    </row>
    <row r="372" spans="5:14" ht="15" customHeight="1">
      <c r="E372" s="57"/>
      <c r="F372" s="57"/>
      <c r="G372" s="144" t="s">
        <v>20</v>
      </c>
      <c r="H372" s="142">
        <v>0.17</v>
      </c>
      <c r="I372" s="143">
        <f t="shared" si="16"/>
        <v>5.8823529411764701</v>
      </c>
      <c r="J372" s="161">
        <v>0</v>
      </c>
      <c r="K372" s="144">
        <f t="shared" si="17"/>
        <v>0</v>
      </c>
      <c r="L372" s="1054">
        <v>4</v>
      </c>
      <c r="M372" s="144">
        <f>K372/L372</f>
        <v>0</v>
      </c>
      <c r="N372" s="155">
        <v>1</v>
      </c>
    </row>
    <row r="373" spans="5:14" ht="15" customHeight="1">
      <c r="E373" s="57"/>
      <c r="F373" s="57"/>
      <c r="G373" s="144"/>
      <c r="H373" s="142"/>
      <c r="I373" s="143"/>
      <c r="J373" s="161"/>
      <c r="K373" s="144"/>
      <c r="L373" s="1054"/>
      <c r="M373" s="144"/>
      <c r="N373" s="155"/>
    </row>
    <row r="374" spans="5:14" ht="15" customHeight="1">
      <c r="E374" s="57"/>
      <c r="F374" s="57" t="s">
        <v>1939</v>
      </c>
      <c r="G374" s="144" t="s">
        <v>1819</v>
      </c>
      <c r="H374" s="142">
        <v>0.32</v>
      </c>
      <c r="I374" s="143">
        <f t="shared" si="16"/>
        <v>3.125</v>
      </c>
      <c r="J374" s="161">
        <v>0</v>
      </c>
      <c r="K374" s="144">
        <f t="shared" si="17"/>
        <v>0</v>
      </c>
      <c r="L374" s="1054">
        <v>34</v>
      </c>
      <c r="M374" s="144">
        <f>K374/L374</f>
        <v>0</v>
      </c>
      <c r="N374" s="155">
        <f t="shared" si="15"/>
        <v>0</v>
      </c>
    </row>
    <row r="375" spans="5:14" ht="15" customHeight="1">
      <c r="E375" s="57"/>
      <c r="F375" s="57"/>
      <c r="G375" s="144" t="s">
        <v>1824</v>
      </c>
      <c r="H375" s="142">
        <v>0.1</v>
      </c>
      <c r="I375" s="143">
        <f t="shared" si="16"/>
        <v>10</v>
      </c>
      <c r="J375" s="161">
        <v>0</v>
      </c>
      <c r="K375" s="144">
        <f t="shared" si="17"/>
        <v>0</v>
      </c>
      <c r="L375" s="1054">
        <v>34</v>
      </c>
      <c r="M375" s="144">
        <f>K375/L375</f>
        <v>0</v>
      </c>
      <c r="N375" s="155">
        <v>2</v>
      </c>
    </row>
    <row r="376" spans="5:14" ht="15" customHeight="1">
      <c r="E376" s="57"/>
      <c r="F376" s="57"/>
      <c r="G376" s="144" t="s">
        <v>1826</v>
      </c>
      <c r="H376" s="142">
        <v>0.01</v>
      </c>
      <c r="I376" s="143">
        <f t="shared" si="16"/>
        <v>100</v>
      </c>
      <c r="J376" s="161">
        <v>0</v>
      </c>
      <c r="K376" s="144">
        <f t="shared" si="17"/>
        <v>0</v>
      </c>
      <c r="L376" s="1054">
        <v>34</v>
      </c>
      <c r="M376" s="144">
        <f>K376/L376</f>
        <v>0</v>
      </c>
      <c r="N376" s="155">
        <v>1</v>
      </c>
    </row>
    <row r="377" spans="5:14" ht="15" customHeight="1">
      <c r="E377" s="57"/>
      <c r="F377" s="57"/>
      <c r="G377" s="144" t="s">
        <v>20</v>
      </c>
      <c r="H377" s="142">
        <v>1.4999999999999999E-2</v>
      </c>
      <c r="I377" s="143">
        <f t="shared" si="16"/>
        <v>66.666666666666671</v>
      </c>
      <c r="J377" s="161">
        <v>0</v>
      </c>
      <c r="K377" s="144">
        <f t="shared" si="17"/>
        <v>0</v>
      </c>
      <c r="L377" s="1054">
        <v>34</v>
      </c>
      <c r="M377" s="144">
        <f>K377/L377</f>
        <v>0</v>
      </c>
      <c r="N377" s="155">
        <v>1</v>
      </c>
    </row>
    <row r="378" spans="5:14" ht="15" customHeight="1">
      <c r="E378" s="57"/>
      <c r="F378" s="57"/>
      <c r="G378" s="144"/>
      <c r="H378" s="142"/>
      <c r="I378" s="143"/>
      <c r="J378" s="161"/>
      <c r="K378" s="144"/>
      <c r="L378" s="1054"/>
      <c r="M378" s="144"/>
      <c r="N378" s="155"/>
    </row>
    <row r="379" spans="5:14" ht="15" customHeight="1">
      <c r="E379" s="57"/>
      <c r="F379" s="57" t="s">
        <v>1940</v>
      </c>
      <c r="G379" s="144" t="s">
        <v>1819</v>
      </c>
      <c r="H379" s="142">
        <v>0.32</v>
      </c>
      <c r="I379" s="143">
        <f t="shared" ref="I379:I451" si="18">1/H379</f>
        <v>3.125</v>
      </c>
      <c r="J379" s="161">
        <v>0</v>
      </c>
      <c r="K379" s="144">
        <f t="shared" ref="K379:K451" si="19">J379/I379</f>
        <v>0</v>
      </c>
      <c r="L379" s="1054">
        <v>5</v>
      </c>
      <c r="M379" s="144">
        <f>K379/L379</f>
        <v>0</v>
      </c>
      <c r="N379" s="155">
        <v>4</v>
      </c>
    </row>
    <row r="380" spans="5:14" ht="15" customHeight="1">
      <c r="E380" s="57"/>
      <c r="F380" s="57"/>
      <c r="G380" s="144" t="s">
        <v>1824</v>
      </c>
      <c r="H380" s="142">
        <v>0.1</v>
      </c>
      <c r="I380" s="143">
        <f t="shared" si="18"/>
        <v>10</v>
      </c>
      <c r="J380" s="161">
        <v>0</v>
      </c>
      <c r="K380" s="144">
        <f t="shared" si="19"/>
        <v>0</v>
      </c>
      <c r="L380" s="1054">
        <v>5</v>
      </c>
      <c r="M380" s="144">
        <f>K380/L380</f>
        <v>0</v>
      </c>
      <c r="N380" s="155">
        <f t="shared" si="15"/>
        <v>0</v>
      </c>
    </row>
    <row r="381" spans="5:14" ht="15" customHeight="1">
      <c r="E381" s="57"/>
      <c r="F381" s="57"/>
      <c r="G381" s="144" t="s">
        <v>1826</v>
      </c>
      <c r="H381" s="142">
        <v>0.01</v>
      </c>
      <c r="I381" s="143">
        <f t="shared" si="18"/>
        <v>100</v>
      </c>
      <c r="J381" s="161">
        <v>0</v>
      </c>
      <c r="K381" s="144">
        <f t="shared" si="19"/>
        <v>0</v>
      </c>
      <c r="L381" s="1054">
        <v>5</v>
      </c>
      <c r="M381" s="144">
        <f>K381/L381</f>
        <v>0</v>
      </c>
      <c r="N381" s="155">
        <v>1</v>
      </c>
    </row>
    <row r="382" spans="5:14" ht="15" customHeight="1">
      <c r="E382" s="57"/>
      <c r="F382" s="57"/>
      <c r="G382" s="144" t="s">
        <v>20</v>
      </c>
      <c r="H382" s="142">
        <v>1.4999999999999999E-2</v>
      </c>
      <c r="I382" s="143">
        <f t="shared" si="18"/>
        <v>66.666666666666671</v>
      </c>
      <c r="J382" s="161">
        <v>0</v>
      </c>
      <c r="K382" s="144">
        <f t="shared" si="19"/>
        <v>0</v>
      </c>
      <c r="L382" s="1054">
        <v>5</v>
      </c>
      <c r="M382" s="144">
        <f>K382/L382</f>
        <v>0</v>
      </c>
      <c r="N382" s="155">
        <v>1</v>
      </c>
    </row>
    <row r="383" spans="5:14" ht="15" customHeight="1">
      <c r="E383" s="57"/>
      <c r="F383" s="57"/>
      <c r="G383" s="144"/>
      <c r="H383" s="142"/>
      <c r="I383" s="143"/>
      <c r="J383" s="161"/>
      <c r="K383" s="144"/>
      <c r="L383" s="1054"/>
      <c r="M383" s="144"/>
      <c r="N383" s="155"/>
    </row>
    <row r="384" spans="5:14" ht="15" customHeight="1">
      <c r="E384" s="57"/>
      <c r="F384" s="57" t="s">
        <v>1941</v>
      </c>
      <c r="G384" s="144" t="s">
        <v>1819</v>
      </c>
      <c r="H384" s="142">
        <v>6</v>
      </c>
      <c r="I384" s="143">
        <f t="shared" si="18"/>
        <v>0.16666666666666666</v>
      </c>
      <c r="J384" s="161">
        <v>0</v>
      </c>
      <c r="K384" s="144">
        <f t="shared" si="19"/>
        <v>0</v>
      </c>
      <c r="L384" s="1054">
        <v>7</v>
      </c>
      <c r="M384" s="144">
        <f>K384/L384</f>
        <v>0</v>
      </c>
      <c r="N384" s="155">
        <v>2</v>
      </c>
    </row>
    <row r="385" spans="5:14" ht="15" customHeight="1">
      <c r="E385" s="57"/>
      <c r="F385" s="57"/>
      <c r="G385" s="144" t="s">
        <v>1824</v>
      </c>
      <c r="H385" s="142">
        <v>20</v>
      </c>
      <c r="I385" s="143">
        <f t="shared" si="18"/>
        <v>0.05</v>
      </c>
      <c r="J385" s="161">
        <v>0</v>
      </c>
      <c r="K385" s="144">
        <f t="shared" si="19"/>
        <v>0</v>
      </c>
      <c r="L385" s="1054">
        <v>7</v>
      </c>
      <c r="M385" s="144">
        <f>K385/L385</f>
        <v>0</v>
      </c>
      <c r="N385" s="155">
        <v>4</v>
      </c>
    </row>
    <row r="386" spans="5:14" ht="15" customHeight="1">
      <c r="E386" s="57"/>
      <c r="F386" s="57"/>
      <c r="G386" s="144" t="s">
        <v>1826</v>
      </c>
      <c r="H386" s="142">
        <v>2</v>
      </c>
      <c r="I386" s="143">
        <f t="shared" si="18"/>
        <v>0.5</v>
      </c>
      <c r="J386" s="161">
        <v>0</v>
      </c>
      <c r="K386" s="144">
        <f t="shared" si="19"/>
        <v>0</v>
      </c>
      <c r="L386" s="1054">
        <v>7</v>
      </c>
      <c r="M386" s="144">
        <f>K386/L386</f>
        <v>0</v>
      </c>
      <c r="N386" s="155">
        <v>1</v>
      </c>
    </row>
    <row r="387" spans="5:14" ht="15" customHeight="1">
      <c r="E387" s="57"/>
      <c r="F387" s="57"/>
      <c r="G387" s="144" t="s">
        <v>20</v>
      </c>
      <c r="H387" s="142">
        <v>0.3</v>
      </c>
      <c r="I387" s="143">
        <f t="shared" si="18"/>
        <v>3.3333333333333335</v>
      </c>
      <c r="J387" s="161">
        <v>0</v>
      </c>
      <c r="K387" s="144">
        <f t="shared" si="19"/>
        <v>0</v>
      </c>
      <c r="L387" s="1054">
        <v>7</v>
      </c>
      <c r="M387" s="144">
        <f>K387/L387</f>
        <v>0</v>
      </c>
      <c r="N387" s="155">
        <v>1</v>
      </c>
    </row>
    <row r="388" spans="5:14" ht="15" customHeight="1">
      <c r="E388" s="57"/>
      <c r="F388" s="149" t="s">
        <v>1942</v>
      </c>
      <c r="G388" s="163"/>
      <c r="H388" s="149"/>
      <c r="I388" s="147"/>
      <c r="J388" s="163"/>
      <c r="K388" s="144"/>
      <c r="L388" s="1054"/>
      <c r="M388" s="144"/>
      <c r="N388" s="155"/>
    </row>
    <row r="389" spans="5:14" ht="15" customHeight="1">
      <c r="E389" s="57"/>
      <c r="F389" s="57" t="s">
        <v>1943</v>
      </c>
      <c r="G389" s="144" t="s">
        <v>1819</v>
      </c>
      <c r="H389" s="142">
        <v>0.1</v>
      </c>
      <c r="I389" s="143">
        <f t="shared" si="18"/>
        <v>10</v>
      </c>
      <c r="J389" s="161">
        <v>0</v>
      </c>
      <c r="K389" s="144">
        <f t="shared" si="19"/>
        <v>0</v>
      </c>
      <c r="L389" s="1054">
        <v>2</v>
      </c>
      <c r="M389" s="144">
        <f>K389/L389</f>
        <v>0</v>
      </c>
      <c r="N389" s="155">
        <v>1</v>
      </c>
    </row>
    <row r="390" spans="5:14" ht="15" customHeight="1">
      <c r="E390" s="57"/>
      <c r="F390" s="57"/>
      <c r="G390" s="144" t="s">
        <v>1824</v>
      </c>
      <c r="H390" s="142">
        <v>3.3000000000000002E-2</v>
      </c>
      <c r="I390" s="143">
        <f t="shared" si="18"/>
        <v>30.303030303030301</v>
      </c>
      <c r="J390" s="161">
        <v>0</v>
      </c>
      <c r="K390" s="144">
        <f t="shared" si="19"/>
        <v>0</v>
      </c>
      <c r="L390" s="1054">
        <v>2</v>
      </c>
      <c r="M390" s="144">
        <f>K390/L390</f>
        <v>0</v>
      </c>
      <c r="N390" s="155">
        <v>1</v>
      </c>
    </row>
    <row r="391" spans="5:14" ht="15" customHeight="1">
      <c r="E391" s="57"/>
      <c r="F391" s="57"/>
      <c r="G391" s="144" t="s">
        <v>1826</v>
      </c>
      <c r="H391" s="142">
        <v>0.01</v>
      </c>
      <c r="I391" s="143">
        <f t="shared" si="18"/>
        <v>100</v>
      </c>
      <c r="J391" s="161">
        <v>0</v>
      </c>
      <c r="K391" s="144">
        <f t="shared" si="19"/>
        <v>0</v>
      </c>
      <c r="L391" s="1054">
        <v>2</v>
      </c>
      <c r="M391" s="144">
        <f>K391/L391</f>
        <v>0</v>
      </c>
      <c r="N391" s="155">
        <v>1</v>
      </c>
    </row>
    <row r="392" spans="5:14" ht="15" customHeight="1">
      <c r="E392" s="57"/>
      <c r="F392" s="57"/>
      <c r="G392" s="144" t="s">
        <v>20</v>
      </c>
      <c r="H392" s="142">
        <v>5.0000000000000001E-3</v>
      </c>
      <c r="I392" s="143">
        <f t="shared" si="18"/>
        <v>200</v>
      </c>
      <c r="J392" s="161">
        <v>0</v>
      </c>
      <c r="K392" s="144">
        <f t="shared" si="19"/>
        <v>0</v>
      </c>
      <c r="L392" s="1054">
        <v>2</v>
      </c>
      <c r="M392" s="144">
        <f t="shared" ref="M392:M460" si="20">K392/L392</f>
        <v>0</v>
      </c>
      <c r="N392" s="155">
        <v>1</v>
      </c>
    </row>
    <row r="393" spans="5:14" ht="15" customHeight="1">
      <c r="E393" s="57"/>
      <c r="F393" s="57" t="s">
        <v>1944</v>
      </c>
      <c r="G393" s="144" t="s">
        <v>1819</v>
      </c>
      <c r="H393" s="142">
        <v>5.5</v>
      </c>
      <c r="I393" s="143">
        <f t="shared" si="18"/>
        <v>0.18181818181818182</v>
      </c>
      <c r="J393" s="161">
        <v>0</v>
      </c>
      <c r="K393" s="144">
        <f t="shared" si="19"/>
        <v>0</v>
      </c>
      <c r="L393" s="1054">
        <v>4</v>
      </c>
      <c r="M393" s="144">
        <f t="shared" si="20"/>
        <v>0</v>
      </c>
      <c r="N393" s="155">
        <v>2</v>
      </c>
    </row>
    <row r="394" spans="5:14" ht="15" customHeight="1">
      <c r="E394" s="57"/>
      <c r="F394" s="57"/>
      <c r="G394" s="144" t="s">
        <v>1824</v>
      </c>
      <c r="H394" s="142">
        <v>8.3000000000000007</v>
      </c>
      <c r="I394" s="143">
        <f t="shared" si="18"/>
        <v>0.12048192771084336</v>
      </c>
      <c r="J394" s="161">
        <v>0</v>
      </c>
      <c r="K394" s="144">
        <f t="shared" si="19"/>
        <v>0</v>
      </c>
      <c r="L394" s="1054">
        <v>4</v>
      </c>
      <c r="M394" s="144">
        <f t="shared" si="20"/>
        <v>0</v>
      </c>
      <c r="N394" s="155">
        <v>3</v>
      </c>
    </row>
    <row r="395" spans="5:14" ht="15" customHeight="1">
      <c r="E395" s="57"/>
      <c r="F395" s="57"/>
      <c r="G395" s="144" t="s">
        <v>1826</v>
      </c>
      <c r="H395" s="142">
        <v>2.2000000000000002</v>
      </c>
      <c r="I395" s="143">
        <f t="shared" si="18"/>
        <v>0.45454545454545453</v>
      </c>
      <c r="J395" s="161">
        <v>0</v>
      </c>
      <c r="K395" s="144">
        <f t="shared" si="19"/>
        <v>0</v>
      </c>
      <c r="L395" s="1054">
        <v>4</v>
      </c>
      <c r="M395" s="144">
        <f t="shared" si="20"/>
        <v>0</v>
      </c>
      <c r="N395" s="155">
        <v>1</v>
      </c>
    </row>
    <row r="396" spans="5:14" ht="15" customHeight="1">
      <c r="E396" s="57"/>
      <c r="F396" s="57"/>
      <c r="G396" s="144" t="s">
        <v>20</v>
      </c>
      <c r="H396" s="142">
        <v>1.5</v>
      </c>
      <c r="I396" s="143">
        <f t="shared" si="18"/>
        <v>0.66666666666666663</v>
      </c>
      <c r="J396" s="161">
        <v>0</v>
      </c>
      <c r="K396" s="144">
        <f t="shared" si="19"/>
        <v>0</v>
      </c>
      <c r="L396" s="1054">
        <v>4</v>
      </c>
      <c r="M396" s="144">
        <f t="shared" si="20"/>
        <v>0</v>
      </c>
      <c r="N396" s="155">
        <v>1</v>
      </c>
    </row>
    <row r="397" spans="5:14" ht="15" customHeight="1">
      <c r="E397" s="57"/>
      <c r="F397" s="57"/>
      <c r="G397" s="144"/>
      <c r="H397" s="142"/>
      <c r="I397" s="143"/>
      <c r="J397" s="161"/>
      <c r="K397" s="144"/>
      <c r="L397" s="1054"/>
      <c r="M397" s="144"/>
      <c r="N397" s="155"/>
    </row>
    <row r="398" spans="5:14" ht="15" customHeight="1">
      <c r="E398" s="57"/>
      <c r="F398" s="57" t="s">
        <v>1945</v>
      </c>
      <c r="G398" s="144" t="s">
        <v>1819</v>
      </c>
      <c r="H398" s="142">
        <v>0.1</v>
      </c>
      <c r="I398" s="143">
        <f t="shared" si="18"/>
        <v>10</v>
      </c>
      <c r="J398" s="161">
        <v>0</v>
      </c>
      <c r="K398" s="144">
        <f t="shared" si="19"/>
        <v>0</v>
      </c>
      <c r="L398" s="1054">
        <v>7</v>
      </c>
      <c r="M398" s="144">
        <f t="shared" si="20"/>
        <v>0</v>
      </c>
      <c r="N398" s="155">
        <v>2</v>
      </c>
    </row>
    <row r="399" spans="5:14" ht="15" customHeight="1">
      <c r="E399" s="57"/>
      <c r="F399" s="57"/>
      <c r="G399" s="144" t="s">
        <v>1824</v>
      </c>
      <c r="H399" s="142">
        <v>0.1</v>
      </c>
      <c r="I399" s="143">
        <f t="shared" si="18"/>
        <v>10</v>
      </c>
      <c r="J399" s="161">
        <v>0</v>
      </c>
      <c r="K399" s="144">
        <f t="shared" si="19"/>
        <v>0</v>
      </c>
      <c r="L399" s="1054">
        <v>7</v>
      </c>
      <c r="M399" s="144">
        <f t="shared" si="20"/>
        <v>0</v>
      </c>
      <c r="N399" s="155">
        <v>2</v>
      </c>
    </row>
    <row r="400" spans="5:14" ht="15" customHeight="1">
      <c r="E400" s="57"/>
      <c r="F400" s="57"/>
      <c r="G400" s="144" t="s">
        <v>1826</v>
      </c>
      <c r="H400" s="142">
        <v>0.01</v>
      </c>
      <c r="I400" s="143">
        <f t="shared" si="18"/>
        <v>100</v>
      </c>
      <c r="J400" s="161">
        <v>0</v>
      </c>
      <c r="K400" s="144">
        <f t="shared" si="19"/>
        <v>0</v>
      </c>
      <c r="L400" s="1054">
        <v>7</v>
      </c>
      <c r="M400" s="144">
        <f t="shared" si="20"/>
        <v>0</v>
      </c>
      <c r="N400" s="155">
        <v>1</v>
      </c>
    </row>
    <row r="401" spans="5:14" ht="15" customHeight="1">
      <c r="E401" s="57"/>
      <c r="F401" s="57"/>
      <c r="G401" s="144" t="s">
        <v>20</v>
      </c>
      <c r="H401" s="142">
        <v>5.0000000000000001E-3</v>
      </c>
      <c r="I401" s="143">
        <f t="shared" si="18"/>
        <v>200</v>
      </c>
      <c r="J401" s="161">
        <v>0</v>
      </c>
      <c r="K401" s="144">
        <f t="shared" si="19"/>
        <v>0</v>
      </c>
      <c r="L401" s="1054">
        <v>7</v>
      </c>
      <c r="M401" s="144">
        <f t="shared" si="20"/>
        <v>0</v>
      </c>
      <c r="N401" s="155">
        <v>1</v>
      </c>
    </row>
    <row r="402" spans="5:14" ht="15" customHeight="1">
      <c r="E402" s="57"/>
      <c r="F402" s="57"/>
      <c r="G402" s="144"/>
      <c r="H402" s="142"/>
      <c r="I402" s="143"/>
      <c r="J402" s="161"/>
      <c r="K402" s="144"/>
      <c r="L402" s="1054"/>
      <c r="M402" s="144"/>
      <c r="N402" s="155"/>
    </row>
    <row r="403" spans="5:14" ht="15" customHeight="1">
      <c r="E403" s="57"/>
      <c r="F403" s="57" t="s">
        <v>1946</v>
      </c>
      <c r="G403" s="144" t="s">
        <v>1819</v>
      </c>
      <c r="H403" s="142">
        <v>0.1</v>
      </c>
      <c r="I403" s="143">
        <f t="shared" si="18"/>
        <v>10</v>
      </c>
      <c r="J403" s="161">
        <v>0</v>
      </c>
      <c r="K403" s="144">
        <f t="shared" si="19"/>
        <v>0</v>
      </c>
      <c r="L403" s="1054">
        <v>3</v>
      </c>
      <c r="M403" s="144">
        <f t="shared" si="20"/>
        <v>0</v>
      </c>
      <c r="N403" s="155">
        <f>M403</f>
        <v>0</v>
      </c>
    </row>
    <row r="404" spans="5:14" ht="15" customHeight="1">
      <c r="E404" s="57"/>
      <c r="F404" s="57"/>
      <c r="G404" s="144" t="s">
        <v>1824</v>
      </c>
      <c r="H404" s="142">
        <v>0.2</v>
      </c>
      <c r="I404" s="143">
        <f t="shared" si="18"/>
        <v>5</v>
      </c>
      <c r="J404" s="161">
        <v>0</v>
      </c>
      <c r="K404" s="144">
        <f t="shared" si="19"/>
        <v>0</v>
      </c>
      <c r="L404" s="1054">
        <v>3</v>
      </c>
      <c r="M404" s="144">
        <f t="shared" si="20"/>
        <v>0</v>
      </c>
      <c r="N404" s="155">
        <v>4</v>
      </c>
    </row>
    <row r="405" spans="5:14" ht="15" customHeight="1">
      <c r="E405" s="57"/>
      <c r="F405" s="57"/>
      <c r="G405" s="144" t="s">
        <v>1826</v>
      </c>
      <c r="H405" s="142">
        <v>0.02</v>
      </c>
      <c r="I405" s="143">
        <f t="shared" si="18"/>
        <v>50</v>
      </c>
      <c r="J405" s="161">
        <v>0</v>
      </c>
      <c r="K405" s="144">
        <f t="shared" si="19"/>
        <v>0</v>
      </c>
      <c r="L405" s="1054">
        <v>3</v>
      </c>
      <c r="M405" s="144">
        <f t="shared" si="20"/>
        <v>0</v>
      </c>
      <c r="N405" s="155">
        <v>1</v>
      </c>
    </row>
    <row r="406" spans="5:14" ht="15" customHeight="1">
      <c r="E406" s="57"/>
      <c r="F406" s="57"/>
      <c r="G406" s="144" t="s">
        <v>20</v>
      </c>
      <c r="H406" s="142">
        <v>5.0000000000000001E-3</v>
      </c>
      <c r="I406" s="143">
        <f t="shared" si="18"/>
        <v>200</v>
      </c>
      <c r="J406" s="161">
        <v>0</v>
      </c>
      <c r="K406" s="144">
        <f t="shared" si="19"/>
        <v>0</v>
      </c>
      <c r="L406" s="1054">
        <v>3</v>
      </c>
      <c r="M406" s="144">
        <f t="shared" si="20"/>
        <v>0</v>
      </c>
      <c r="N406" s="155">
        <v>1</v>
      </c>
    </row>
    <row r="407" spans="5:14" ht="15" customHeight="1">
      <c r="E407" s="57"/>
      <c r="F407" s="57"/>
      <c r="G407" s="144"/>
      <c r="H407" s="142"/>
      <c r="I407" s="143"/>
      <c r="J407" s="161"/>
      <c r="K407" s="144"/>
      <c r="L407" s="1054"/>
      <c r="M407" s="144"/>
      <c r="N407" s="155"/>
    </row>
    <row r="408" spans="5:14" ht="15" customHeight="1">
      <c r="E408" s="57"/>
      <c r="F408" s="57" t="s">
        <v>1947</v>
      </c>
      <c r="G408" s="144" t="s">
        <v>1819</v>
      </c>
      <c r="H408" s="142">
        <v>12</v>
      </c>
      <c r="I408" s="143">
        <f t="shared" si="18"/>
        <v>8.3333333333333329E-2</v>
      </c>
      <c r="J408" s="161">
        <v>0</v>
      </c>
      <c r="K408" s="144">
        <f t="shared" si="19"/>
        <v>0</v>
      </c>
      <c r="L408" s="1054">
        <v>14</v>
      </c>
      <c r="M408" s="144">
        <f t="shared" si="20"/>
        <v>0</v>
      </c>
      <c r="N408" s="155">
        <v>5</v>
      </c>
    </row>
    <row r="409" spans="5:14" ht="15" customHeight="1">
      <c r="E409" s="57"/>
      <c r="F409" s="57"/>
      <c r="G409" s="144" t="s">
        <v>1824</v>
      </c>
      <c r="H409" s="142">
        <v>4</v>
      </c>
      <c r="I409" s="143">
        <f t="shared" si="18"/>
        <v>0.25</v>
      </c>
      <c r="J409" s="161">
        <v>0</v>
      </c>
      <c r="K409" s="144">
        <f t="shared" si="19"/>
        <v>0</v>
      </c>
      <c r="L409" s="1054">
        <v>14</v>
      </c>
      <c r="M409" s="144">
        <f t="shared" si="20"/>
        <v>0</v>
      </c>
      <c r="N409" s="155">
        <v>2</v>
      </c>
    </row>
    <row r="410" spans="5:14" ht="15" customHeight="1">
      <c r="E410" s="57"/>
      <c r="F410" s="57"/>
      <c r="G410" s="144" t="s">
        <v>1826</v>
      </c>
      <c r="H410" s="142">
        <v>1.2</v>
      </c>
      <c r="I410" s="143">
        <f t="shared" si="18"/>
        <v>0.83333333333333337</v>
      </c>
      <c r="J410" s="161">
        <v>0</v>
      </c>
      <c r="K410" s="144">
        <f t="shared" si="19"/>
        <v>0</v>
      </c>
      <c r="L410" s="1054">
        <v>14</v>
      </c>
      <c r="M410" s="144">
        <f t="shared" si="20"/>
        <v>0</v>
      </c>
      <c r="N410" s="155">
        <f>M410</f>
        <v>0</v>
      </c>
    </row>
    <row r="411" spans="5:14" ht="15" customHeight="1">
      <c r="E411" s="57"/>
      <c r="F411" s="57"/>
      <c r="G411" s="144" t="s">
        <v>20</v>
      </c>
      <c r="H411" s="142">
        <v>0.2</v>
      </c>
      <c r="I411" s="143">
        <f t="shared" si="18"/>
        <v>5</v>
      </c>
      <c r="J411" s="161">
        <v>0</v>
      </c>
      <c r="K411" s="144">
        <f t="shared" si="19"/>
        <v>0</v>
      </c>
      <c r="L411" s="1054">
        <v>14</v>
      </c>
      <c r="M411" s="144">
        <f t="shared" si="20"/>
        <v>0</v>
      </c>
      <c r="N411" s="155">
        <v>1</v>
      </c>
    </row>
    <row r="412" spans="5:14" ht="15" customHeight="1">
      <c r="E412" s="57"/>
      <c r="F412" s="57"/>
      <c r="G412" s="144"/>
      <c r="H412" s="142"/>
      <c r="I412" s="143"/>
      <c r="J412" s="161"/>
      <c r="K412" s="144"/>
      <c r="L412" s="1054"/>
      <c r="M412" s="144"/>
      <c r="N412" s="155"/>
    </row>
    <row r="413" spans="5:14" ht="15" customHeight="1">
      <c r="E413" s="57"/>
      <c r="F413" s="57" t="s">
        <v>1948</v>
      </c>
      <c r="G413" s="144" t="s">
        <v>1819</v>
      </c>
      <c r="H413" s="142">
        <v>0.04</v>
      </c>
      <c r="I413" s="143">
        <f t="shared" si="18"/>
        <v>25</v>
      </c>
      <c r="J413" s="161">
        <v>0</v>
      </c>
      <c r="K413" s="144">
        <f t="shared" si="19"/>
        <v>0</v>
      </c>
      <c r="L413" s="1054">
        <v>2</v>
      </c>
      <c r="M413" s="144">
        <f t="shared" si="20"/>
        <v>0</v>
      </c>
      <c r="N413" s="155">
        <v>1</v>
      </c>
    </row>
    <row r="414" spans="5:14" ht="15" customHeight="1">
      <c r="E414" s="57"/>
      <c r="F414" s="57"/>
      <c r="G414" s="144" t="s">
        <v>1824</v>
      </c>
      <c r="H414" s="142">
        <v>0.4</v>
      </c>
      <c r="I414" s="143">
        <f t="shared" si="18"/>
        <v>2.5</v>
      </c>
      <c r="J414" s="161">
        <v>0</v>
      </c>
      <c r="K414" s="144">
        <f t="shared" si="19"/>
        <v>0</v>
      </c>
      <c r="L414" s="1054">
        <v>2</v>
      </c>
      <c r="M414" s="144">
        <f t="shared" si="20"/>
        <v>0</v>
      </c>
      <c r="N414" s="155">
        <v>4</v>
      </c>
    </row>
    <row r="415" spans="5:14" ht="15" customHeight="1">
      <c r="E415" s="57"/>
      <c r="F415" s="57"/>
      <c r="G415" s="144" t="s">
        <v>1826</v>
      </c>
      <c r="H415" s="142">
        <v>2.5000000000000001E-2</v>
      </c>
      <c r="I415" s="143">
        <f t="shared" si="18"/>
        <v>40</v>
      </c>
      <c r="J415" s="161">
        <v>0</v>
      </c>
      <c r="K415" s="144">
        <f t="shared" si="19"/>
        <v>0</v>
      </c>
      <c r="L415" s="1054">
        <v>2</v>
      </c>
      <c r="M415" s="144">
        <f t="shared" si="20"/>
        <v>0</v>
      </c>
      <c r="N415" s="155">
        <v>1</v>
      </c>
    </row>
    <row r="416" spans="5:14" ht="15" customHeight="1">
      <c r="E416" s="57"/>
      <c r="F416" s="57"/>
      <c r="G416" s="144" t="s">
        <v>20</v>
      </c>
      <c r="H416" s="142">
        <v>1.2999999999999999E-3</v>
      </c>
      <c r="I416" s="143">
        <f t="shared" si="18"/>
        <v>769.23076923076928</v>
      </c>
      <c r="J416" s="161">
        <v>0</v>
      </c>
      <c r="K416" s="144">
        <f t="shared" si="19"/>
        <v>0</v>
      </c>
      <c r="L416" s="1054">
        <v>2</v>
      </c>
      <c r="M416" s="144">
        <f t="shared" si="20"/>
        <v>0</v>
      </c>
      <c r="N416" s="155">
        <v>1</v>
      </c>
    </row>
    <row r="417" spans="5:14" ht="15" customHeight="1">
      <c r="E417" s="57"/>
      <c r="F417" s="57"/>
      <c r="G417" s="144"/>
      <c r="H417" s="142"/>
      <c r="I417" s="143"/>
      <c r="J417" s="161"/>
      <c r="K417" s="144"/>
      <c r="L417" s="1054"/>
      <c r="M417" s="144"/>
      <c r="N417" s="155"/>
    </row>
    <row r="418" spans="5:14" ht="15" customHeight="1">
      <c r="E418" s="57"/>
      <c r="F418" s="57" t="s">
        <v>1949</v>
      </c>
      <c r="G418" s="144" t="s">
        <v>1819</v>
      </c>
      <c r="H418" s="142">
        <v>0.2</v>
      </c>
      <c r="I418" s="143">
        <f t="shared" si="18"/>
        <v>5</v>
      </c>
      <c r="J418" s="161">
        <v>0</v>
      </c>
      <c r="K418" s="144">
        <f t="shared" si="19"/>
        <v>0</v>
      </c>
      <c r="L418" s="1054">
        <v>4</v>
      </c>
      <c r="M418" s="144">
        <f t="shared" si="20"/>
        <v>0</v>
      </c>
      <c r="N418" s="155">
        <v>2</v>
      </c>
    </row>
    <row r="419" spans="5:14" ht="15" customHeight="1">
      <c r="E419" s="57"/>
      <c r="F419" s="57"/>
      <c r="G419" s="144" t="s">
        <v>1824</v>
      </c>
      <c r="H419" s="142">
        <v>0.1</v>
      </c>
      <c r="I419" s="143">
        <f t="shared" si="18"/>
        <v>10</v>
      </c>
      <c r="J419" s="161">
        <v>0</v>
      </c>
      <c r="K419" s="144">
        <f t="shared" si="19"/>
        <v>0</v>
      </c>
      <c r="L419" s="1054">
        <v>4</v>
      </c>
      <c r="M419" s="144">
        <f t="shared" si="20"/>
        <v>0</v>
      </c>
      <c r="N419" s="155">
        <v>4</v>
      </c>
    </row>
    <row r="420" spans="5:14" ht="15" customHeight="1">
      <c r="E420" s="57"/>
      <c r="F420" s="57"/>
      <c r="G420" s="144" t="s">
        <v>1826</v>
      </c>
      <c r="H420" s="142">
        <v>0.01</v>
      </c>
      <c r="I420" s="143">
        <f t="shared" si="18"/>
        <v>100</v>
      </c>
      <c r="J420" s="161">
        <v>0</v>
      </c>
      <c r="K420" s="144">
        <f t="shared" si="19"/>
        <v>0</v>
      </c>
      <c r="L420" s="1054">
        <v>4</v>
      </c>
      <c r="M420" s="144">
        <f t="shared" si="20"/>
        <v>0</v>
      </c>
      <c r="N420" s="155">
        <v>1</v>
      </c>
    </row>
    <row r="421" spans="5:14" ht="15" customHeight="1">
      <c r="E421" s="57"/>
      <c r="F421" s="57"/>
      <c r="G421" s="144" t="s">
        <v>20</v>
      </c>
      <c r="H421" s="142">
        <v>1E-3</v>
      </c>
      <c r="I421" s="143">
        <f t="shared" si="18"/>
        <v>1000</v>
      </c>
      <c r="J421" s="161">
        <v>0</v>
      </c>
      <c r="K421" s="144">
        <f t="shared" si="19"/>
        <v>0</v>
      </c>
      <c r="L421" s="1054">
        <v>4</v>
      </c>
      <c r="M421" s="144">
        <f t="shared" si="20"/>
        <v>0</v>
      </c>
      <c r="N421" s="155">
        <v>1</v>
      </c>
    </row>
    <row r="422" spans="5:14" ht="15" customHeight="1">
      <c r="E422" s="57"/>
      <c r="F422" s="57"/>
      <c r="G422" s="144"/>
      <c r="H422" s="142"/>
      <c r="I422" s="143"/>
      <c r="J422" s="161"/>
      <c r="K422" s="144"/>
      <c r="L422" s="1054"/>
      <c r="M422" s="144"/>
      <c r="N422" s="155"/>
    </row>
    <row r="423" spans="5:14" ht="15" customHeight="1">
      <c r="E423" s="57"/>
      <c r="F423" s="57" t="s">
        <v>1950</v>
      </c>
      <c r="G423" s="144" t="s">
        <v>1819</v>
      </c>
      <c r="H423" s="142">
        <v>4.5687600000000002E-2</v>
      </c>
      <c r="I423" s="143">
        <f t="shared" si="18"/>
        <v>21.887776989817805</v>
      </c>
      <c r="J423" s="161">
        <v>0</v>
      </c>
      <c r="K423" s="144">
        <f t="shared" si="19"/>
        <v>0</v>
      </c>
      <c r="L423" s="1054">
        <v>1</v>
      </c>
      <c r="M423" s="144">
        <f t="shared" si="20"/>
        <v>0</v>
      </c>
      <c r="N423" s="155">
        <f>M423</f>
        <v>0</v>
      </c>
    </row>
    <row r="424" spans="5:14" ht="15" customHeight="1">
      <c r="E424" s="57"/>
      <c r="F424" s="57"/>
      <c r="G424" s="144" t="s">
        <v>1824</v>
      </c>
      <c r="H424" s="142">
        <v>0.05</v>
      </c>
      <c r="I424" s="143">
        <f t="shared" si="18"/>
        <v>20</v>
      </c>
      <c r="J424" s="161">
        <v>0</v>
      </c>
      <c r="K424" s="144">
        <f t="shared" si="19"/>
        <v>0</v>
      </c>
      <c r="L424" s="1054">
        <v>1</v>
      </c>
      <c r="M424" s="144">
        <f t="shared" si="20"/>
        <v>0</v>
      </c>
      <c r="N424" s="155">
        <f>M424</f>
        <v>0</v>
      </c>
    </row>
    <row r="425" spans="5:14" ht="15" customHeight="1">
      <c r="E425" s="57"/>
      <c r="F425" s="57"/>
      <c r="G425" s="144" t="s">
        <v>1826</v>
      </c>
      <c r="H425" s="142">
        <v>5.0000000000000001E-3</v>
      </c>
      <c r="I425" s="143">
        <f t="shared" si="18"/>
        <v>200</v>
      </c>
      <c r="J425" s="161">
        <v>0</v>
      </c>
      <c r="K425" s="144">
        <f t="shared" si="19"/>
        <v>0</v>
      </c>
      <c r="L425" s="1054">
        <v>1</v>
      </c>
      <c r="M425" s="144">
        <f t="shared" si="20"/>
        <v>0</v>
      </c>
      <c r="N425" s="155">
        <v>1</v>
      </c>
    </row>
    <row r="426" spans="5:14" ht="15" customHeight="1">
      <c r="E426" s="57"/>
      <c r="F426" s="57"/>
      <c r="G426" s="144" t="s">
        <v>20</v>
      </c>
      <c r="H426" s="142">
        <v>1E-3</v>
      </c>
      <c r="I426" s="143">
        <f t="shared" si="18"/>
        <v>1000</v>
      </c>
      <c r="J426" s="161">
        <v>0</v>
      </c>
      <c r="K426" s="144">
        <f t="shared" si="19"/>
        <v>0</v>
      </c>
      <c r="L426" s="1054">
        <v>1</v>
      </c>
      <c r="M426" s="144">
        <f t="shared" si="20"/>
        <v>0</v>
      </c>
      <c r="N426" s="155">
        <v>1</v>
      </c>
    </row>
    <row r="427" spans="5:14" ht="15" customHeight="1">
      <c r="E427" s="57"/>
      <c r="F427" s="150" t="s">
        <v>1856</v>
      </c>
      <c r="G427" s="144"/>
      <c r="H427" s="142"/>
      <c r="I427" s="143"/>
      <c r="J427" s="161"/>
      <c r="K427" s="144"/>
      <c r="L427" s="1054"/>
      <c r="M427" s="144"/>
      <c r="N427" s="155"/>
    </row>
    <row r="428" spans="5:14" ht="15" customHeight="1">
      <c r="E428" s="57"/>
      <c r="F428" s="57" t="s">
        <v>1951</v>
      </c>
      <c r="G428" s="144" t="s">
        <v>1819</v>
      </c>
      <c r="H428" s="142">
        <v>0.15</v>
      </c>
      <c r="I428" s="143">
        <f t="shared" si="18"/>
        <v>6.666666666666667</v>
      </c>
      <c r="J428" s="161">
        <v>0</v>
      </c>
      <c r="K428" s="144">
        <f t="shared" si="19"/>
        <v>0</v>
      </c>
      <c r="L428" s="1054">
        <v>12</v>
      </c>
      <c r="M428" s="144">
        <f t="shared" si="20"/>
        <v>0</v>
      </c>
      <c r="N428" s="155">
        <f>M428</f>
        <v>0</v>
      </c>
    </row>
    <row r="429" spans="5:14" ht="15" customHeight="1">
      <c r="E429" s="57"/>
      <c r="F429" s="57"/>
      <c r="G429" s="144" t="s">
        <v>1824</v>
      </c>
      <c r="H429" s="142">
        <v>0.25</v>
      </c>
      <c r="I429" s="143">
        <f t="shared" si="18"/>
        <v>4</v>
      </c>
      <c r="J429" s="161">
        <v>0</v>
      </c>
      <c r="K429" s="144">
        <f t="shared" si="19"/>
        <v>0</v>
      </c>
      <c r="L429" s="1054">
        <v>12</v>
      </c>
      <c r="M429" s="144">
        <f t="shared" si="20"/>
        <v>0</v>
      </c>
      <c r="N429" s="155">
        <f>M429</f>
        <v>0</v>
      </c>
    </row>
    <row r="430" spans="5:14" ht="15" customHeight="1">
      <c r="E430" s="57"/>
      <c r="F430" s="57"/>
      <c r="G430" s="144" t="s">
        <v>1826</v>
      </c>
      <c r="H430" s="142">
        <v>2.5000000000000001E-2</v>
      </c>
      <c r="I430" s="143">
        <f t="shared" si="18"/>
        <v>40</v>
      </c>
      <c r="J430" s="161">
        <v>0</v>
      </c>
      <c r="K430" s="144">
        <f t="shared" si="19"/>
        <v>0</v>
      </c>
      <c r="L430" s="1054">
        <v>12</v>
      </c>
      <c r="M430" s="144">
        <f t="shared" si="20"/>
        <v>0</v>
      </c>
      <c r="N430" s="155">
        <v>1</v>
      </c>
    </row>
    <row r="431" spans="5:14" ht="15" customHeight="1">
      <c r="E431" s="57"/>
      <c r="F431" s="57"/>
      <c r="G431" s="144" t="s">
        <v>20</v>
      </c>
      <c r="H431" s="142">
        <v>7.4999999999999997E-3</v>
      </c>
      <c r="I431" s="143">
        <f t="shared" si="18"/>
        <v>133.33333333333334</v>
      </c>
      <c r="J431" s="161">
        <v>0</v>
      </c>
      <c r="K431" s="144">
        <f t="shared" si="19"/>
        <v>0</v>
      </c>
      <c r="L431" s="1054">
        <v>12</v>
      </c>
      <c r="M431" s="144">
        <f t="shared" si="20"/>
        <v>0</v>
      </c>
      <c r="N431" s="155">
        <v>1</v>
      </c>
    </row>
    <row r="432" spans="5:14" ht="15" customHeight="1">
      <c r="E432" s="57"/>
      <c r="F432" s="57"/>
      <c r="G432" s="144"/>
      <c r="H432" s="142"/>
      <c r="I432" s="143"/>
      <c r="J432" s="161"/>
      <c r="K432" s="144"/>
      <c r="L432" s="1054"/>
      <c r="M432" s="144"/>
      <c r="N432" s="155"/>
    </row>
    <row r="433" spans="5:14" ht="15" customHeight="1">
      <c r="E433" s="57"/>
      <c r="F433" s="57" t="s">
        <v>1952</v>
      </c>
      <c r="G433" s="144" t="s">
        <v>1819</v>
      </c>
      <c r="H433" s="142">
        <v>0.2</v>
      </c>
      <c r="I433" s="143">
        <f t="shared" si="18"/>
        <v>5</v>
      </c>
      <c r="J433" s="161">
        <v>0</v>
      </c>
      <c r="K433" s="144">
        <f t="shared" si="19"/>
        <v>0</v>
      </c>
      <c r="L433" s="1054">
        <v>17</v>
      </c>
      <c r="M433" s="144">
        <f t="shared" si="20"/>
        <v>0</v>
      </c>
      <c r="N433" s="155">
        <f>M433</f>
        <v>0</v>
      </c>
    </row>
    <row r="434" spans="5:14" ht="15" customHeight="1">
      <c r="E434" s="57"/>
      <c r="F434" s="57"/>
      <c r="G434" s="144" t="s">
        <v>1824</v>
      </c>
      <c r="H434" s="142">
        <v>0.6</v>
      </c>
      <c r="I434" s="143">
        <f t="shared" si="18"/>
        <v>1.6666666666666667</v>
      </c>
      <c r="J434" s="161">
        <v>0</v>
      </c>
      <c r="K434" s="144">
        <f t="shared" si="19"/>
        <v>0</v>
      </c>
      <c r="L434" s="1054">
        <v>17</v>
      </c>
      <c r="M434" s="144">
        <f t="shared" si="20"/>
        <v>0</v>
      </c>
      <c r="N434" s="155">
        <v>6</v>
      </c>
    </row>
    <row r="435" spans="5:14" ht="15" customHeight="1">
      <c r="E435" s="57"/>
      <c r="F435" s="57"/>
      <c r="G435" s="144" t="s">
        <v>1826</v>
      </c>
      <c r="H435" s="142">
        <v>0.06</v>
      </c>
      <c r="I435" s="143">
        <f t="shared" si="18"/>
        <v>16.666666666666668</v>
      </c>
      <c r="J435" s="161">
        <v>0</v>
      </c>
      <c r="K435" s="144">
        <f t="shared" si="19"/>
        <v>0</v>
      </c>
      <c r="L435" s="1054">
        <v>17</v>
      </c>
      <c r="M435" s="144">
        <f t="shared" si="20"/>
        <v>0</v>
      </c>
      <c r="N435" s="155">
        <f>M435</f>
        <v>0</v>
      </c>
    </row>
    <row r="436" spans="5:14" ht="15" customHeight="1">
      <c r="E436" s="57"/>
      <c r="F436" s="57"/>
      <c r="G436" s="144" t="s">
        <v>20</v>
      </c>
      <c r="H436" s="142">
        <v>0.01</v>
      </c>
      <c r="I436" s="143">
        <f t="shared" si="18"/>
        <v>100</v>
      </c>
      <c r="J436" s="161">
        <v>0</v>
      </c>
      <c r="K436" s="144">
        <f t="shared" si="19"/>
        <v>0</v>
      </c>
      <c r="L436" s="1054">
        <v>17</v>
      </c>
      <c r="M436" s="144">
        <f t="shared" si="20"/>
        <v>0</v>
      </c>
      <c r="N436" s="155">
        <v>1</v>
      </c>
    </row>
    <row r="437" spans="5:14" ht="15" customHeight="1">
      <c r="E437" s="57"/>
      <c r="F437" s="57"/>
      <c r="G437" s="144"/>
      <c r="H437" s="142"/>
      <c r="I437" s="143"/>
      <c r="J437" s="161"/>
      <c r="K437" s="144"/>
      <c r="L437" s="1054"/>
      <c r="M437" s="144"/>
      <c r="N437" s="155"/>
    </row>
    <row r="438" spans="5:14" ht="15" customHeight="1">
      <c r="E438" s="57"/>
      <c r="F438" s="57" t="s">
        <v>1860</v>
      </c>
      <c r="G438" s="144" t="s">
        <v>1819</v>
      </c>
      <c r="H438" s="142">
        <v>2.1000000000000001E-2</v>
      </c>
      <c r="I438" s="143">
        <f t="shared" si="18"/>
        <v>47.619047619047613</v>
      </c>
      <c r="J438" s="161">
        <v>0</v>
      </c>
      <c r="K438" s="144">
        <f t="shared" si="19"/>
        <v>0</v>
      </c>
      <c r="L438" s="1054">
        <v>2</v>
      </c>
      <c r="M438" s="144">
        <f t="shared" si="20"/>
        <v>0</v>
      </c>
      <c r="N438" s="155">
        <f>M438</f>
        <v>0</v>
      </c>
    </row>
    <row r="439" spans="5:14" ht="15" customHeight="1">
      <c r="E439" s="57"/>
      <c r="F439" s="57"/>
      <c r="G439" s="144" t="s">
        <v>1824</v>
      </c>
      <c r="H439" s="142">
        <v>2.1000000000000001E-2</v>
      </c>
      <c r="I439" s="143">
        <f t="shared" si="18"/>
        <v>47.619047619047613</v>
      </c>
      <c r="J439" s="161">
        <v>0</v>
      </c>
      <c r="K439" s="144">
        <f t="shared" si="19"/>
        <v>0</v>
      </c>
      <c r="L439" s="1054">
        <v>2</v>
      </c>
      <c r="M439" s="144">
        <f t="shared" si="20"/>
        <v>0</v>
      </c>
      <c r="N439" s="155">
        <f>M439</f>
        <v>0</v>
      </c>
    </row>
    <row r="440" spans="5:14" ht="15" customHeight="1">
      <c r="E440" s="57"/>
      <c r="F440" s="57"/>
      <c r="G440" s="144" t="s">
        <v>1826</v>
      </c>
      <c r="H440" s="142">
        <v>2E-3</v>
      </c>
      <c r="I440" s="143">
        <f t="shared" si="18"/>
        <v>500</v>
      </c>
      <c r="J440" s="161">
        <v>0</v>
      </c>
      <c r="K440" s="144">
        <f t="shared" si="19"/>
        <v>0</v>
      </c>
      <c r="L440" s="1054">
        <v>2</v>
      </c>
      <c r="M440" s="144">
        <f t="shared" si="20"/>
        <v>0</v>
      </c>
      <c r="N440" s="155">
        <v>1</v>
      </c>
    </row>
    <row r="441" spans="5:14" ht="15" customHeight="1">
      <c r="E441" s="57"/>
      <c r="F441" s="57"/>
      <c r="G441" s="144" t="s">
        <v>20</v>
      </c>
      <c r="H441" s="142">
        <v>1E-3</v>
      </c>
      <c r="I441" s="143">
        <f t="shared" si="18"/>
        <v>1000</v>
      </c>
      <c r="J441" s="161">
        <v>0</v>
      </c>
      <c r="K441" s="144">
        <f t="shared" si="19"/>
        <v>0</v>
      </c>
      <c r="L441" s="1054">
        <v>2</v>
      </c>
      <c r="M441" s="144">
        <f t="shared" si="20"/>
        <v>0</v>
      </c>
      <c r="N441" s="155">
        <v>1</v>
      </c>
    </row>
    <row r="442" spans="5:14" ht="15" customHeight="1">
      <c r="E442" s="57"/>
      <c r="F442" s="150" t="s">
        <v>1861</v>
      </c>
      <c r="G442" s="144"/>
      <c r="H442" s="142"/>
      <c r="I442" s="143"/>
      <c r="J442" s="161"/>
      <c r="K442" s="144"/>
      <c r="L442" s="1054"/>
      <c r="M442" s="144"/>
      <c r="N442" s="155"/>
    </row>
    <row r="443" spans="5:14" ht="15" customHeight="1">
      <c r="E443" s="57"/>
      <c r="F443" s="57" t="s">
        <v>1953</v>
      </c>
      <c r="G443" s="144" t="s">
        <v>1819</v>
      </c>
      <c r="H443" s="142">
        <v>0.2</v>
      </c>
      <c r="I443" s="143">
        <f t="shared" si="18"/>
        <v>5</v>
      </c>
      <c r="J443" s="161">
        <v>0</v>
      </c>
      <c r="K443" s="144">
        <f t="shared" si="19"/>
        <v>0</v>
      </c>
      <c r="L443" s="1054">
        <v>9</v>
      </c>
      <c r="M443" s="144">
        <f t="shared" si="20"/>
        <v>0</v>
      </c>
      <c r="N443" s="155">
        <v>3</v>
      </c>
    </row>
    <row r="444" spans="5:14" ht="15" customHeight="1">
      <c r="E444" s="57"/>
      <c r="F444" s="57"/>
      <c r="G444" s="144" t="s">
        <v>1824</v>
      </c>
      <c r="H444" s="142">
        <v>0.15</v>
      </c>
      <c r="I444" s="143">
        <f t="shared" si="18"/>
        <v>6.666666666666667</v>
      </c>
      <c r="J444" s="161">
        <v>0</v>
      </c>
      <c r="K444" s="144">
        <f t="shared" si="19"/>
        <v>0</v>
      </c>
      <c r="L444" s="1054">
        <v>9</v>
      </c>
      <c r="M444" s="144">
        <f t="shared" si="20"/>
        <v>0</v>
      </c>
      <c r="N444" s="155">
        <v>3</v>
      </c>
    </row>
    <row r="445" spans="5:14" ht="15" customHeight="1">
      <c r="E445" s="57"/>
      <c r="F445" s="57"/>
      <c r="G445" s="144" t="s">
        <v>1826</v>
      </c>
      <c r="H445" s="142">
        <v>1.4999999999999999E-2</v>
      </c>
      <c r="I445" s="143">
        <f t="shared" si="18"/>
        <v>66.666666666666671</v>
      </c>
      <c r="J445" s="161">
        <v>0</v>
      </c>
      <c r="K445" s="144">
        <f t="shared" si="19"/>
        <v>0</v>
      </c>
      <c r="L445" s="1054">
        <v>9</v>
      </c>
      <c r="M445" s="144">
        <f t="shared" si="20"/>
        <v>0</v>
      </c>
      <c r="N445" s="155">
        <v>1</v>
      </c>
    </row>
    <row r="446" spans="5:14" ht="15" customHeight="1">
      <c r="E446" s="57"/>
      <c r="F446" s="57"/>
      <c r="G446" s="144" t="s">
        <v>20</v>
      </c>
      <c r="H446" s="142">
        <v>0.01</v>
      </c>
      <c r="I446" s="143">
        <f t="shared" si="18"/>
        <v>100</v>
      </c>
      <c r="J446" s="161">
        <v>0</v>
      </c>
      <c r="K446" s="144">
        <f t="shared" si="19"/>
        <v>0</v>
      </c>
      <c r="L446" s="1054">
        <v>9</v>
      </c>
      <c r="M446" s="144">
        <f t="shared" si="20"/>
        <v>0</v>
      </c>
      <c r="N446" s="155">
        <v>1</v>
      </c>
    </row>
    <row r="447" spans="5:14" ht="15" customHeight="1">
      <c r="E447" s="57"/>
      <c r="F447" s="57"/>
      <c r="G447" s="144"/>
      <c r="H447" s="142"/>
      <c r="I447" s="143"/>
      <c r="J447" s="161"/>
      <c r="K447" s="144"/>
      <c r="L447" s="1054"/>
      <c r="M447" s="144"/>
      <c r="N447" s="155"/>
    </row>
    <row r="448" spans="5:14" ht="15" customHeight="1">
      <c r="E448" s="57"/>
      <c r="F448" s="57" t="s">
        <v>1954</v>
      </c>
      <c r="G448" s="144" t="s">
        <v>1819</v>
      </c>
      <c r="H448" s="142">
        <v>0.2</v>
      </c>
      <c r="I448" s="143">
        <f t="shared" si="18"/>
        <v>5</v>
      </c>
      <c r="J448" s="161">
        <v>0</v>
      </c>
      <c r="K448" s="144">
        <f t="shared" si="19"/>
        <v>0</v>
      </c>
      <c r="L448" s="1054">
        <v>40</v>
      </c>
      <c r="M448" s="144">
        <f t="shared" si="20"/>
        <v>0</v>
      </c>
      <c r="N448" s="155">
        <f>M448</f>
        <v>0</v>
      </c>
    </row>
    <row r="449" spans="5:14" ht="15" customHeight="1">
      <c r="E449" s="57"/>
      <c r="F449" s="57"/>
      <c r="G449" s="144" t="s">
        <v>1824</v>
      </c>
      <c r="H449" s="142">
        <v>0.15</v>
      </c>
      <c r="I449" s="143">
        <f t="shared" si="18"/>
        <v>6.666666666666667</v>
      </c>
      <c r="J449" s="161">
        <v>0</v>
      </c>
      <c r="K449" s="144">
        <f t="shared" si="19"/>
        <v>0</v>
      </c>
      <c r="L449" s="1054">
        <v>40</v>
      </c>
      <c r="M449" s="144">
        <f t="shared" si="20"/>
        <v>0</v>
      </c>
      <c r="N449" s="155">
        <v>3</v>
      </c>
    </row>
    <row r="450" spans="5:14" ht="15" customHeight="1">
      <c r="E450" s="57"/>
      <c r="F450" s="57"/>
      <c r="G450" s="144" t="s">
        <v>1826</v>
      </c>
      <c r="H450" s="142">
        <v>1.4999999999999999E-2</v>
      </c>
      <c r="I450" s="143">
        <f t="shared" si="18"/>
        <v>66.666666666666671</v>
      </c>
      <c r="J450" s="161">
        <v>0</v>
      </c>
      <c r="K450" s="144">
        <f t="shared" si="19"/>
        <v>0</v>
      </c>
      <c r="L450" s="1054">
        <v>40</v>
      </c>
      <c r="M450" s="144">
        <f t="shared" si="20"/>
        <v>0</v>
      </c>
      <c r="N450" s="155">
        <v>1</v>
      </c>
    </row>
    <row r="451" spans="5:14" ht="15" customHeight="1">
      <c r="E451" s="57"/>
      <c r="F451" s="57"/>
      <c r="G451" s="144" t="s">
        <v>20</v>
      </c>
      <c r="H451" s="142">
        <v>0.01</v>
      </c>
      <c r="I451" s="143">
        <f t="shared" si="18"/>
        <v>100</v>
      </c>
      <c r="J451" s="161">
        <v>0</v>
      </c>
      <c r="K451" s="144">
        <f t="shared" si="19"/>
        <v>0</v>
      </c>
      <c r="L451" s="1054">
        <v>40</v>
      </c>
      <c r="M451" s="144">
        <f t="shared" si="20"/>
        <v>0</v>
      </c>
      <c r="N451" s="155">
        <v>1</v>
      </c>
    </row>
    <row r="452" spans="5:14" ht="15" customHeight="1">
      <c r="E452" s="57"/>
      <c r="F452" s="57"/>
      <c r="G452" s="144"/>
      <c r="H452" s="142"/>
      <c r="I452" s="143"/>
      <c r="J452" s="161"/>
      <c r="K452" s="144"/>
      <c r="L452" s="1054"/>
      <c r="M452" s="144"/>
      <c r="N452" s="155"/>
    </row>
    <row r="453" spans="5:14" ht="15" customHeight="1">
      <c r="E453" s="57"/>
      <c r="F453" s="57" t="s">
        <v>1955</v>
      </c>
      <c r="G453" s="144" t="s">
        <v>1824</v>
      </c>
      <c r="H453" s="142">
        <v>5.5E-2</v>
      </c>
      <c r="I453" s="143">
        <f>1/H453</f>
        <v>18.181818181818183</v>
      </c>
      <c r="J453" s="161">
        <v>0</v>
      </c>
      <c r="K453" s="144">
        <f>J453/I453</f>
        <v>0</v>
      </c>
      <c r="L453" s="1054">
        <v>12</v>
      </c>
      <c r="M453" s="144">
        <f t="shared" si="20"/>
        <v>0</v>
      </c>
      <c r="N453" s="155">
        <v>5</v>
      </c>
    </row>
    <row r="454" spans="5:14" ht="15" customHeight="1">
      <c r="E454" s="57"/>
      <c r="F454" s="57"/>
      <c r="G454" s="144" t="s">
        <v>1826</v>
      </c>
      <c r="H454" s="142">
        <v>3.8727299999999999E-2</v>
      </c>
      <c r="I454" s="143">
        <f>1/H454</f>
        <v>25.821578059921556</v>
      </c>
      <c r="J454" s="161">
        <v>0</v>
      </c>
      <c r="K454" s="144">
        <f>J454/I454</f>
        <v>0</v>
      </c>
      <c r="L454" s="1054">
        <v>12</v>
      </c>
      <c r="M454" s="144">
        <f t="shared" si="20"/>
        <v>0</v>
      </c>
      <c r="N454" s="155">
        <v>3</v>
      </c>
    </row>
    <row r="455" spans="5:14" ht="15" customHeight="1">
      <c r="E455" s="57"/>
      <c r="F455" s="57"/>
      <c r="G455" s="144" t="s">
        <v>20</v>
      </c>
      <c r="H455" s="142">
        <v>2E-3</v>
      </c>
      <c r="I455" s="143">
        <f>1/H455</f>
        <v>500</v>
      </c>
      <c r="J455" s="161">
        <v>0</v>
      </c>
      <c r="K455" s="144">
        <f>J455/I455</f>
        <v>0</v>
      </c>
      <c r="L455" s="1054">
        <v>12</v>
      </c>
      <c r="M455" s="144">
        <f t="shared" si="20"/>
        <v>0</v>
      </c>
      <c r="N455" s="155">
        <v>1</v>
      </c>
    </row>
    <row r="456" spans="5:14" ht="15" customHeight="1">
      <c r="E456" s="57"/>
      <c r="F456" s="57"/>
      <c r="G456" s="144"/>
      <c r="H456" s="142"/>
      <c r="I456" s="143"/>
      <c r="J456" s="161"/>
      <c r="K456" s="144"/>
      <c r="L456" s="1054"/>
      <c r="M456" s="144"/>
      <c r="N456" s="155"/>
    </row>
    <row r="457" spans="5:14" ht="15" customHeight="1">
      <c r="E457" s="57"/>
      <c r="F457" s="57" t="s">
        <v>1956</v>
      </c>
      <c r="G457" s="144" t="s">
        <v>1819</v>
      </c>
      <c r="H457" s="142">
        <v>0.6</v>
      </c>
      <c r="I457" s="143">
        <f t="shared" ref="I457:I531" si="21">1/H457</f>
        <v>1.6666666666666667</v>
      </c>
      <c r="J457" s="164">
        <v>0</v>
      </c>
      <c r="K457" s="144">
        <f t="shared" ref="K457:K531" si="22">J457/I457</f>
        <v>0</v>
      </c>
      <c r="L457" s="1054">
        <v>6</v>
      </c>
      <c r="M457" s="144">
        <f t="shared" si="20"/>
        <v>0</v>
      </c>
      <c r="N457" s="155">
        <v>5</v>
      </c>
    </row>
    <row r="458" spans="5:14" ht="15" customHeight="1">
      <c r="E458" s="57"/>
      <c r="F458" s="57"/>
      <c r="G458" s="144" t="s">
        <v>1824</v>
      </c>
      <c r="H458" s="142">
        <v>0.45500000000000002</v>
      </c>
      <c r="I458" s="143">
        <f t="shared" si="21"/>
        <v>2.1978021978021975</v>
      </c>
      <c r="J458" s="164">
        <v>0</v>
      </c>
      <c r="K458" s="144">
        <f t="shared" si="22"/>
        <v>0</v>
      </c>
      <c r="L458" s="1054">
        <v>6</v>
      </c>
      <c r="M458" s="144">
        <f t="shared" si="20"/>
        <v>0</v>
      </c>
      <c r="N458" s="155">
        <v>4</v>
      </c>
    </row>
    <row r="459" spans="5:14" ht="15" customHeight="1">
      <c r="E459" s="57"/>
      <c r="F459" s="57"/>
      <c r="G459" s="144" t="s">
        <v>1826</v>
      </c>
      <c r="H459" s="142">
        <v>4.4999999999999998E-2</v>
      </c>
      <c r="I459" s="143">
        <f t="shared" si="21"/>
        <v>22.222222222222221</v>
      </c>
      <c r="J459" s="164">
        <v>0</v>
      </c>
      <c r="K459" s="144">
        <f t="shared" si="22"/>
        <v>0</v>
      </c>
      <c r="L459" s="1054">
        <v>6</v>
      </c>
      <c r="M459" s="144">
        <f t="shared" si="20"/>
        <v>0</v>
      </c>
      <c r="N459" s="155">
        <v>1</v>
      </c>
    </row>
    <row r="460" spans="5:14" ht="15" customHeight="1">
      <c r="E460" s="57"/>
      <c r="F460" s="57"/>
      <c r="G460" s="144" t="s">
        <v>20</v>
      </c>
      <c r="H460" s="142">
        <v>0.03</v>
      </c>
      <c r="I460" s="143">
        <f t="shared" si="21"/>
        <v>33.333333333333336</v>
      </c>
      <c r="J460" s="164">
        <v>0</v>
      </c>
      <c r="K460" s="144">
        <f t="shared" si="22"/>
        <v>0</v>
      </c>
      <c r="L460" s="1054">
        <v>6</v>
      </c>
      <c r="M460" s="144">
        <f t="shared" si="20"/>
        <v>0</v>
      </c>
      <c r="N460" s="155">
        <v>1</v>
      </c>
    </row>
    <row r="461" spans="5:14" ht="15" customHeight="1">
      <c r="E461" s="57"/>
      <c r="F461" s="150" t="s">
        <v>1868</v>
      </c>
      <c r="G461" s="144"/>
      <c r="H461" s="142"/>
      <c r="I461" s="143"/>
      <c r="J461" s="161"/>
      <c r="K461" s="144"/>
      <c r="L461" s="1054"/>
      <c r="M461" s="144"/>
      <c r="N461" s="155"/>
    </row>
    <row r="462" spans="5:14" ht="15" customHeight="1">
      <c r="E462" s="57"/>
      <c r="F462" s="57" t="s">
        <v>1957</v>
      </c>
      <c r="G462" s="144" t="s">
        <v>1819</v>
      </c>
      <c r="H462" s="142">
        <v>0.3</v>
      </c>
      <c r="I462" s="143">
        <f t="shared" si="21"/>
        <v>3.3333333333333335</v>
      </c>
      <c r="J462" s="161">
        <v>0</v>
      </c>
      <c r="K462" s="144">
        <f t="shared" si="22"/>
        <v>0</v>
      </c>
      <c r="L462" s="1054">
        <v>1</v>
      </c>
      <c r="M462" s="144">
        <f t="shared" ref="M462:M537" si="23">K462/L462</f>
        <v>0</v>
      </c>
      <c r="N462" s="155">
        <v>4</v>
      </c>
    </row>
    <row r="463" spans="5:14" ht="15" customHeight="1">
      <c r="E463" s="57"/>
      <c r="F463" s="57"/>
      <c r="G463" s="144" t="s">
        <v>20</v>
      </c>
      <c r="H463" s="142">
        <v>0.01</v>
      </c>
      <c r="I463" s="143">
        <f t="shared" si="21"/>
        <v>100</v>
      </c>
      <c r="J463" s="161">
        <v>0</v>
      </c>
      <c r="K463" s="144">
        <f t="shared" si="22"/>
        <v>0</v>
      </c>
      <c r="L463" s="1054">
        <v>1</v>
      </c>
      <c r="M463" s="144">
        <f t="shared" si="23"/>
        <v>0</v>
      </c>
      <c r="N463" s="155">
        <v>1</v>
      </c>
    </row>
    <row r="464" spans="5:14" ht="15" customHeight="1">
      <c r="E464" s="57"/>
      <c r="F464" s="57"/>
      <c r="G464" s="144"/>
      <c r="H464" s="142"/>
      <c r="I464" s="143"/>
      <c r="J464" s="161"/>
      <c r="K464" s="144"/>
      <c r="L464" s="1054"/>
      <c r="M464" s="144"/>
      <c r="N464" s="155"/>
    </row>
    <row r="465" spans="5:14" ht="15" customHeight="1">
      <c r="E465" s="57"/>
      <c r="F465" s="57" t="s">
        <v>1958</v>
      </c>
      <c r="G465" s="144" t="s">
        <v>1819</v>
      </c>
      <c r="H465" s="142">
        <v>0.62</v>
      </c>
      <c r="I465" s="143">
        <f t="shared" si="21"/>
        <v>1.6129032258064517</v>
      </c>
      <c r="J465" s="161">
        <v>0</v>
      </c>
      <c r="K465" s="144">
        <f t="shared" si="22"/>
        <v>0</v>
      </c>
      <c r="L465" s="1054">
        <v>29</v>
      </c>
      <c r="M465" s="144">
        <f t="shared" si="23"/>
        <v>0</v>
      </c>
      <c r="N465" s="155">
        <v>4</v>
      </c>
    </row>
    <row r="466" spans="5:14" ht="15" customHeight="1">
      <c r="E466" s="57"/>
      <c r="F466" s="57"/>
      <c r="G466" s="144" t="s">
        <v>1824</v>
      </c>
      <c r="H466" s="142">
        <v>0.35</v>
      </c>
      <c r="I466" s="143">
        <f t="shared" si="21"/>
        <v>2.8571428571428572</v>
      </c>
      <c r="J466" s="161">
        <v>0</v>
      </c>
      <c r="K466" s="144">
        <f t="shared" si="22"/>
        <v>0</v>
      </c>
      <c r="L466" s="1054">
        <v>29</v>
      </c>
      <c r="M466" s="144">
        <f t="shared" si="23"/>
        <v>0</v>
      </c>
      <c r="N466" s="155">
        <v>3</v>
      </c>
    </row>
    <row r="467" spans="5:14" ht="15" customHeight="1">
      <c r="E467" s="57"/>
      <c r="F467" s="57"/>
      <c r="G467" s="144" t="s">
        <v>1826</v>
      </c>
      <c r="H467" s="142">
        <v>3.5000000000000003E-2</v>
      </c>
      <c r="I467" s="143">
        <f t="shared" si="21"/>
        <v>28.571428571428569</v>
      </c>
      <c r="J467" s="161">
        <v>0</v>
      </c>
      <c r="K467" s="144">
        <f t="shared" si="22"/>
        <v>0</v>
      </c>
      <c r="L467" s="1054">
        <v>29</v>
      </c>
      <c r="M467" s="144">
        <f t="shared" si="23"/>
        <v>0</v>
      </c>
      <c r="N467" s="155">
        <v>1</v>
      </c>
    </row>
    <row r="468" spans="5:14" ht="15" customHeight="1">
      <c r="E468" s="57"/>
      <c r="F468" s="57"/>
      <c r="G468" s="144" t="s">
        <v>20</v>
      </c>
      <c r="H468" s="142">
        <v>0.03</v>
      </c>
      <c r="I468" s="143">
        <f t="shared" si="21"/>
        <v>33.333333333333336</v>
      </c>
      <c r="J468" s="161">
        <v>0</v>
      </c>
      <c r="K468" s="144">
        <f t="shared" si="22"/>
        <v>0</v>
      </c>
      <c r="L468" s="1054">
        <v>29</v>
      </c>
      <c r="M468" s="144">
        <f t="shared" si="23"/>
        <v>0</v>
      </c>
      <c r="N468" s="155">
        <v>1</v>
      </c>
    </row>
    <row r="469" spans="5:14" ht="15" customHeight="1">
      <c r="E469" s="57"/>
      <c r="F469" s="57"/>
      <c r="G469" s="144"/>
      <c r="H469" s="142"/>
      <c r="I469" s="143"/>
      <c r="J469" s="161"/>
      <c r="K469" s="144"/>
      <c r="L469" s="1054"/>
      <c r="M469" s="144"/>
      <c r="N469" s="155"/>
    </row>
    <row r="470" spans="5:14" ht="15" customHeight="1">
      <c r="E470" s="57"/>
      <c r="F470" s="57" t="s">
        <v>1959</v>
      </c>
      <c r="G470" s="144" t="s">
        <v>1819</v>
      </c>
      <c r="H470" s="142">
        <v>0.62</v>
      </c>
      <c r="I470" s="143">
        <f t="shared" si="21"/>
        <v>1.6129032258064517</v>
      </c>
      <c r="J470" s="161">
        <v>0</v>
      </c>
      <c r="K470" s="144">
        <f t="shared" si="22"/>
        <v>0</v>
      </c>
      <c r="L470" s="1054">
        <v>4</v>
      </c>
      <c r="M470" s="144">
        <f t="shared" si="23"/>
        <v>0</v>
      </c>
      <c r="N470" s="155">
        <v>4</v>
      </c>
    </row>
    <row r="471" spans="5:14" ht="15" customHeight="1">
      <c r="E471" s="57"/>
      <c r="F471" s="57"/>
      <c r="G471" s="144" t="s">
        <v>1824</v>
      </c>
      <c r="H471" s="142">
        <v>0.35</v>
      </c>
      <c r="I471" s="143">
        <f t="shared" si="21"/>
        <v>2.8571428571428572</v>
      </c>
      <c r="J471" s="161">
        <v>0</v>
      </c>
      <c r="K471" s="144">
        <f t="shared" si="22"/>
        <v>0</v>
      </c>
      <c r="L471" s="1054">
        <v>4</v>
      </c>
      <c r="M471" s="144">
        <f t="shared" si="23"/>
        <v>0</v>
      </c>
      <c r="N471" s="155">
        <v>3</v>
      </c>
    </row>
    <row r="472" spans="5:14" ht="15" customHeight="1">
      <c r="E472" s="57"/>
      <c r="F472" s="57"/>
      <c r="G472" s="144" t="s">
        <v>1826</v>
      </c>
      <c r="H472" s="142">
        <v>3.5000000000000003E-2</v>
      </c>
      <c r="I472" s="143">
        <f t="shared" si="21"/>
        <v>28.571428571428569</v>
      </c>
      <c r="J472" s="161">
        <v>0</v>
      </c>
      <c r="K472" s="144">
        <f t="shared" si="22"/>
        <v>0</v>
      </c>
      <c r="L472" s="1054">
        <v>4</v>
      </c>
      <c r="M472" s="144">
        <f t="shared" si="23"/>
        <v>0</v>
      </c>
      <c r="N472" s="155">
        <v>1</v>
      </c>
    </row>
    <row r="473" spans="5:14" ht="15" customHeight="1">
      <c r="E473" s="57"/>
      <c r="F473" s="57"/>
      <c r="G473" s="144" t="s">
        <v>20</v>
      </c>
      <c r="H473" s="142">
        <v>0.03</v>
      </c>
      <c r="I473" s="143">
        <f t="shared" si="21"/>
        <v>33.333333333333336</v>
      </c>
      <c r="J473" s="161">
        <v>0</v>
      </c>
      <c r="K473" s="144">
        <f t="shared" si="22"/>
        <v>0</v>
      </c>
      <c r="L473" s="1054">
        <v>4</v>
      </c>
      <c r="M473" s="144">
        <f t="shared" si="23"/>
        <v>0</v>
      </c>
      <c r="N473" s="155">
        <v>1</v>
      </c>
    </row>
    <row r="474" spans="5:14" ht="15" customHeight="1">
      <c r="E474" s="57"/>
      <c r="F474" s="57"/>
      <c r="G474" s="144"/>
      <c r="H474" s="142"/>
      <c r="I474" s="143"/>
      <c r="J474" s="161"/>
      <c r="K474" s="144"/>
      <c r="L474" s="1054"/>
      <c r="M474" s="144"/>
      <c r="N474" s="155"/>
    </row>
    <row r="475" spans="5:14" ht="15" customHeight="1">
      <c r="E475" s="57"/>
      <c r="F475" s="150" t="s">
        <v>1960</v>
      </c>
      <c r="G475" s="144"/>
      <c r="H475" s="142"/>
      <c r="I475" s="143"/>
      <c r="J475" s="161"/>
      <c r="K475" s="144"/>
      <c r="L475" s="1054"/>
      <c r="M475" s="144"/>
      <c r="N475" s="155"/>
    </row>
    <row r="476" spans="5:14" ht="15" customHeight="1">
      <c r="E476" s="57"/>
      <c r="F476" s="57" t="s">
        <v>1961</v>
      </c>
      <c r="G476" s="144" t="s">
        <v>1819</v>
      </c>
      <c r="H476" s="142">
        <v>0.8</v>
      </c>
      <c r="I476" s="143">
        <f t="shared" si="21"/>
        <v>1.25</v>
      </c>
      <c r="J476" s="161">
        <v>0</v>
      </c>
      <c r="K476" s="144">
        <f t="shared" si="22"/>
        <v>0</v>
      </c>
      <c r="L476" s="1054">
        <v>44</v>
      </c>
      <c r="M476" s="144">
        <f t="shared" si="23"/>
        <v>0</v>
      </c>
      <c r="N476" s="155">
        <v>2</v>
      </c>
    </row>
    <row r="477" spans="5:14" ht="15" customHeight="1">
      <c r="E477" s="57"/>
      <c r="F477" s="57"/>
      <c r="G477" s="144" t="s">
        <v>1824</v>
      </c>
      <c r="H477" s="142">
        <v>2</v>
      </c>
      <c r="I477" s="143">
        <f t="shared" si="21"/>
        <v>0.5</v>
      </c>
      <c r="J477" s="161">
        <v>0</v>
      </c>
      <c r="K477" s="144">
        <f t="shared" si="22"/>
        <v>0</v>
      </c>
      <c r="L477" s="1054">
        <v>44</v>
      </c>
      <c r="M477" s="144">
        <f t="shared" si="23"/>
        <v>0</v>
      </c>
      <c r="N477" s="155">
        <v>5</v>
      </c>
    </row>
    <row r="478" spans="5:14" ht="15" customHeight="1">
      <c r="E478" s="57"/>
      <c r="F478" s="57"/>
      <c r="G478" s="144" t="s">
        <v>1826</v>
      </c>
      <c r="H478" s="142">
        <v>0.2</v>
      </c>
      <c r="I478" s="143">
        <f t="shared" si="21"/>
        <v>5</v>
      </c>
      <c r="J478" s="161">
        <v>0</v>
      </c>
      <c r="K478" s="144">
        <f t="shared" si="22"/>
        <v>0</v>
      </c>
      <c r="L478" s="1054">
        <v>44</v>
      </c>
      <c r="M478" s="144">
        <f t="shared" si="23"/>
        <v>0</v>
      </c>
      <c r="N478" s="155">
        <v>1</v>
      </c>
    </row>
    <row r="479" spans="5:14" ht="15" customHeight="1">
      <c r="E479" s="57"/>
      <c r="F479" s="57"/>
      <c r="G479" s="144" t="s">
        <v>20</v>
      </c>
      <c r="H479" s="142">
        <v>0.04</v>
      </c>
      <c r="I479" s="143">
        <f t="shared" si="21"/>
        <v>25</v>
      </c>
      <c r="J479" s="161">
        <v>0</v>
      </c>
      <c r="K479" s="144">
        <f t="shared" si="22"/>
        <v>0</v>
      </c>
      <c r="L479" s="1054">
        <v>44</v>
      </c>
      <c r="M479" s="144">
        <f t="shared" si="23"/>
        <v>0</v>
      </c>
      <c r="N479" s="155">
        <v>1</v>
      </c>
    </row>
    <row r="480" spans="5:14" ht="15" customHeight="1">
      <c r="E480" s="57"/>
      <c r="F480" s="57"/>
      <c r="G480" s="144"/>
      <c r="H480" s="142"/>
      <c r="I480" s="143"/>
      <c r="J480" s="161"/>
      <c r="K480" s="144"/>
      <c r="L480" s="1054"/>
      <c r="M480" s="144"/>
      <c r="N480" s="155"/>
    </row>
    <row r="481" spans="5:14" ht="15" customHeight="1">
      <c r="E481" s="57"/>
      <c r="F481" s="57" t="s">
        <v>1962</v>
      </c>
      <c r="G481" s="144" t="s">
        <v>1819</v>
      </c>
      <c r="H481" s="142">
        <v>1.4999999999999999E-2</v>
      </c>
      <c r="I481" s="143">
        <f t="shared" si="21"/>
        <v>66.666666666666671</v>
      </c>
      <c r="J481" s="161">
        <v>0</v>
      </c>
      <c r="K481" s="144">
        <f t="shared" si="22"/>
        <v>0</v>
      </c>
      <c r="L481" s="1054">
        <v>1</v>
      </c>
      <c r="M481" s="144">
        <f t="shared" si="23"/>
        <v>0</v>
      </c>
      <c r="N481" s="155">
        <v>1</v>
      </c>
    </row>
    <row r="482" spans="5:14" ht="15" customHeight="1">
      <c r="E482" s="57"/>
      <c r="F482" s="57"/>
      <c r="G482" s="144" t="s">
        <v>1824</v>
      </c>
      <c r="H482" s="142">
        <v>0.15</v>
      </c>
      <c r="I482" s="143">
        <f t="shared" si="21"/>
        <v>6.666666666666667</v>
      </c>
      <c r="J482" s="161">
        <v>0</v>
      </c>
      <c r="K482" s="144">
        <f t="shared" si="22"/>
        <v>0</v>
      </c>
      <c r="L482" s="1054">
        <v>1</v>
      </c>
      <c r="M482" s="144">
        <f t="shared" si="23"/>
        <v>0</v>
      </c>
      <c r="N482" s="155">
        <f>M482</f>
        <v>0</v>
      </c>
    </row>
    <row r="483" spans="5:14" ht="15" customHeight="1">
      <c r="E483" s="57"/>
      <c r="F483" s="57"/>
      <c r="G483" s="144" t="s">
        <v>1826</v>
      </c>
      <c r="H483" s="142">
        <v>1.4999999999999999E-2</v>
      </c>
      <c r="I483" s="143">
        <f t="shared" si="21"/>
        <v>66.666666666666671</v>
      </c>
      <c r="J483" s="161">
        <v>0</v>
      </c>
      <c r="K483" s="144">
        <f t="shared" si="22"/>
        <v>0</v>
      </c>
      <c r="L483" s="1054">
        <v>1</v>
      </c>
      <c r="M483" s="144">
        <f t="shared" si="23"/>
        <v>0</v>
      </c>
      <c r="N483" s="155">
        <v>1</v>
      </c>
    </row>
    <row r="484" spans="5:14" ht="15" customHeight="1">
      <c r="E484" s="57"/>
      <c r="F484" s="57"/>
      <c r="G484" s="144" t="s">
        <v>20</v>
      </c>
      <c r="H484" s="142">
        <v>1.4999999999999999E-4</v>
      </c>
      <c r="I484" s="143">
        <f t="shared" si="21"/>
        <v>6666.666666666667</v>
      </c>
      <c r="J484" s="161">
        <v>0</v>
      </c>
      <c r="K484" s="144">
        <f t="shared" si="22"/>
        <v>0</v>
      </c>
      <c r="L484" s="1054">
        <v>1</v>
      </c>
      <c r="M484" s="144">
        <f t="shared" si="23"/>
        <v>0</v>
      </c>
      <c r="N484" s="155">
        <v>1</v>
      </c>
    </row>
    <row r="485" spans="5:14" ht="15" customHeight="1">
      <c r="E485" s="57"/>
      <c r="F485" s="57"/>
      <c r="G485" s="144"/>
      <c r="H485" s="142"/>
      <c r="I485" s="143"/>
      <c r="J485" s="161"/>
      <c r="K485" s="144"/>
      <c r="L485" s="1054"/>
      <c r="M485" s="144"/>
      <c r="N485" s="155"/>
    </row>
    <row r="486" spans="5:14" ht="15" customHeight="1">
      <c r="E486" s="57"/>
      <c r="F486" s="57" t="s">
        <v>1963</v>
      </c>
      <c r="G486" s="144" t="s">
        <v>1819</v>
      </c>
      <c r="H486" s="142">
        <v>0.01</v>
      </c>
      <c r="I486" s="143">
        <f t="shared" si="21"/>
        <v>100</v>
      </c>
      <c r="J486" s="161">
        <v>0</v>
      </c>
      <c r="K486" s="144">
        <f t="shared" si="22"/>
        <v>0</v>
      </c>
      <c r="L486" s="1054">
        <v>5</v>
      </c>
      <c r="M486" s="144">
        <f t="shared" si="23"/>
        <v>0</v>
      </c>
      <c r="N486" s="155">
        <v>1</v>
      </c>
    </row>
    <row r="487" spans="5:14" ht="15" customHeight="1">
      <c r="E487" s="57"/>
      <c r="F487" s="57"/>
      <c r="G487" s="144" t="s">
        <v>1824</v>
      </c>
      <c r="H487" s="142">
        <v>0.6</v>
      </c>
      <c r="I487" s="143">
        <f t="shared" si="21"/>
        <v>1.6666666666666667</v>
      </c>
      <c r="J487" s="161">
        <v>0</v>
      </c>
      <c r="K487" s="144">
        <f t="shared" si="22"/>
        <v>0</v>
      </c>
      <c r="L487" s="1054">
        <v>5</v>
      </c>
      <c r="M487" s="144">
        <f t="shared" si="23"/>
        <v>0</v>
      </c>
      <c r="N487" s="155">
        <v>5</v>
      </c>
    </row>
    <row r="488" spans="5:14" ht="15" customHeight="1">
      <c r="E488" s="57"/>
      <c r="F488" s="57"/>
      <c r="G488" s="144" t="s">
        <v>1826</v>
      </c>
      <c r="H488" s="142">
        <v>0.06</v>
      </c>
      <c r="I488" s="143">
        <f t="shared" si="21"/>
        <v>16.666666666666668</v>
      </c>
      <c r="J488" s="161">
        <v>0</v>
      </c>
      <c r="K488" s="144">
        <f t="shared" si="22"/>
        <v>0</v>
      </c>
      <c r="L488" s="1054">
        <v>5</v>
      </c>
      <c r="M488" s="144">
        <f t="shared" si="23"/>
        <v>0</v>
      </c>
      <c r="N488" s="155">
        <v>1</v>
      </c>
    </row>
    <row r="489" spans="5:14" ht="15" customHeight="1">
      <c r="E489" s="57"/>
      <c r="F489" s="57"/>
      <c r="G489" s="144" t="s">
        <v>20</v>
      </c>
      <c r="H489" s="142">
        <v>3.0000000000000001E-3</v>
      </c>
      <c r="I489" s="143">
        <f t="shared" si="21"/>
        <v>333.33333333333331</v>
      </c>
      <c r="J489" s="161">
        <v>0</v>
      </c>
      <c r="K489" s="144">
        <f t="shared" si="22"/>
        <v>0</v>
      </c>
      <c r="L489" s="1054">
        <v>5</v>
      </c>
      <c r="M489" s="144">
        <f t="shared" si="23"/>
        <v>0</v>
      </c>
      <c r="N489" s="155">
        <v>1</v>
      </c>
    </row>
    <row r="490" spans="5:14" ht="15" customHeight="1">
      <c r="E490" s="57"/>
      <c r="F490" s="57"/>
      <c r="G490" s="144"/>
      <c r="H490" s="142"/>
      <c r="I490" s="143"/>
      <c r="J490" s="161"/>
      <c r="K490" s="144"/>
      <c r="L490" s="1054"/>
      <c r="M490" s="144"/>
      <c r="N490" s="155"/>
    </row>
    <row r="491" spans="5:14" ht="15" customHeight="1">
      <c r="E491" s="57"/>
      <c r="F491" s="57" t="s">
        <v>1964</v>
      </c>
      <c r="G491" s="144" t="s">
        <v>1819</v>
      </c>
      <c r="H491" s="142">
        <v>0.06</v>
      </c>
      <c r="I491" s="143">
        <f t="shared" si="21"/>
        <v>16.666666666666668</v>
      </c>
      <c r="J491" s="161">
        <v>0</v>
      </c>
      <c r="K491" s="144">
        <f t="shared" si="22"/>
        <v>0</v>
      </c>
      <c r="L491" s="1054">
        <v>2</v>
      </c>
      <c r="M491" s="144">
        <f t="shared" si="23"/>
        <v>0</v>
      </c>
      <c r="N491" s="155">
        <v>1</v>
      </c>
    </row>
    <row r="492" spans="5:14" ht="15" customHeight="1">
      <c r="E492" s="57"/>
      <c r="F492" s="57"/>
      <c r="G492" s="144" t="s">
        <v>1824</v>
      </c>
      <c r="H492" s="142">
        <v>0.6</v>
      </c>
      <c r="I492" s="143">
        <f t="shared" si="21"/>
        <v>1.6666666666666667</v>
      </c>
      <c r="J492" s="161">
        <v>0</v>
      </c>
      <c r="K492" s="144">
        <f t="shared" si="22"/>
        <v>0</v>
      </c>
      <c r="L492" s="1054">
        <v>2</v>
      </c>
      <c r="M492" s="144">
        <f t="shared" si="23"/>
        <v>0</v>
      </c>
      <c r="N492" s="155">
        <v>4</v>
      </c>
    </row>
    <row r="493" spans="5:14" ht="15" customHeight="1">
      <c r="E493" s="57"/>
      <c r="F493" s="57"/>
      <c r="G493" s="144" t="s">
        <v>1826</v>
      </c>
      <c r="H493" s="142">
        <v>0.06</v>
      </c>
      <c r="I493" s="143">
        <f t="shared" si="21"/>
        <v>16.666666666666668</v>
      </c>
      <c r="J493" s="161">
        <v>0</v>
      </c>
      <c r="K493" s="144">
        <f t="shared" si="22"/>
        <v>0</v>
      </c>
      <c r="L493" s="1054">
        <v>2</v>
      </c>
      <c r="M493" s="144">
        <f t="shared" si="23"/>
        <v>0</v>
      </c>
      <c r="N493" s="155">
        <v>1</v>
      </c>
    </row>
    <row r="494" spans="5:14" ht="15" customHeight="1">
      <c r="E494" s="57"/>
      <c r="F494" s="57"/>
      <c r="G494" s="144" t="s">
        <v>20</v>
      </c>
      <c r="H494" s="142">
        <v>3.0000000000000001E-3</v>
      </c>
      <c r="I494" s="143">
        <f t="shared" si="21"/>
        <v>333.33333333333331</v>
      </c>
      <c r="J494" s="161">
        <v>0</v>
      </c>
      <c r="K494" s="144">
        <f t="shared" si="22"/>
        <v>0</v>
      </c>
      <c r="L494" s="1054">
        <v>2</v>
      </c>
      <c r="M494" s="144">
        <f t="shared" si="23"/>
        <v>0</v>
      </c>
      <c r="N494" s="155">
        <v>1</v>
      </c>
    </row>
    <row r="495" spans="5:14" ht="15" customHeight="1">
      <c r="E495" s="57"/>
      <c r="F495" s="150" t="s">
        <v>1878</v>
      </c>
      <c r="G495" s="144"/>
      <c r="H495" s="142"/>
      <c r="I495" s="143"/>
      <c r="J495" s="161"/>
      <c r="K495" s="144"/>
      <c r="L495" s="1054"/>
      <c r="M495" s="144"/>
      <c r="N495" s="155"/>
    </row>
    <row r="496" spans="5:14" ht="15" customHeight="1">
      <c r="E496" s="57"/>
      <c r="F496" s="57" t="s">
        <v>1965</v>
      </c>
      <c r="G496" s="144" t="s">
        <v>1819</v>
      </c>
      <c r="H496" s="142">
        <v>0.04</v>
      </c>
      <c r="I496" s="143">
        <f t="shared" si="21"/>
        <v>25</v>
      </c>
      <c r="J496" s="161">
        <v>0</v>
      </c>
      <c r="K496" s="144">
        <f t="shared" si="22"/>
        <v>0</v>
      </c>
      <c r="L496" s="1054">
        <v>1</v>
      </c>
      <c r="M496" s="144">
        <f t="shared" si="23"/>
        <v>0</v>
      </c>
      <c r="N496" s="155">
        <f>M496</f>
        <v>0</v>
      </c>
    </row>
    <row r="497" spans="5:14" ht="15" customHeight="1">
      <c r="E497" s="57"/>
      <c r="F497" s="57"/>
      <c r="G497" s="144" t="s">
        <v>1824</v>
      </c>
      <c r="H497" s="142">
        <v>0.04</v>
      </c>
      <c r="I497" s="143">
        <f t="shared" si="21"/>
        <v>25</v>
      </c>
      <c r="J497" s="161">
        <v>0</v>
      </c>
      <c r="K497" s="144">
        <f t="shared" si="22"/>
        <v>0</v>
      </c>
      <c r="L497" s="1054">
        <v>1</v>
      </c>
      <c r="M497" s="144">
        <f t="shared" si="23"/>
        <v>0</v>
      </c>
      <c r="N497" s="155">
        <f>M497</f>
        <v>0</v>
      </c>
    </row>
    <row r="498" spans="5:14" ht="15" customHeight="1">
      <c r="E498" s="57"/>
      <c r="F498" s="57"/>
      <c r="G498" s="144" t="s">
        <v>1826</v>
      </c>
      <c r="H498" s="142">
        <v>4.0000000000000001E-3</v>
      </c>
      <c r="I498" s="143">
        <f t="shared" si="21"/>
        <v>250</v>
      </c>
      <c r="J498" s="161">
        <v>0</v>
      </c>
      <c r="K498" s="144">
        <f t="shared" si="22"/>
        <v>0</v>
      </c>
      <c r="L498" s="1054">
        <v>1</v>
      </c>
      <c r="M498" s="144">
        <f t="shared" si="23"/>
        <v>0</v>
      </c>
      <c r="N498" s="155">
        <v>1</v>
      </c>
    </row>
    <row r="499" spans="5:14" ht="15" customHeight="1">
      <c r="E499" s="57"/>
      <c r="F499" s="57"/>
      <c r="G499" s="144" t="s">
        <v>20</v>
      </c>
      <c r="H499" s="142">
        <v>2.5000000000000001E-3</v>
      </c>
      <c r="I499" s="143">
        <f t="shared" si="21"/>
        <v>400</v>
      </c>
      <c r="J499" s="161">
        <v>0</v>
      </c>
      <c r="K499" s="144">
        <f t="shared" si="22"/>
        <v>0</v>
      </c>
      <c r="L499" s="1054">
        <v>1</v>
      </c>
      <c r="M499" s="144">
        <f t="shared" si="23"/>
        <v>0</v>
      </c>
      <c r="N499" s="155">
        <v>1</v>
      </c>
    </row>
    <row r="500" spans="5:14" ht="15" customHeight="1">
      <c r="E500" s="57"/>
      <c r="F500" s="57"/>
      <c r="G500" s="144"/>
      <c r="H500" s="142"/>
      <c r="I500" s="143"/>
      <c r="J500" s="161"/>
      <c r="K500" s="144"/>
      <c r="L500" s="1054"/>
      <c r="M500" s="144"/>
      <c r="N500" s="155"/>
    </row>
    <row r="501" spans="5:14" ht="15" customHeight="1">
      <c r="E501" s="57"/>
      <c r="F501" s="57" t="s">
        <v>1966</v>
      </c>
      <c r="G501" s="144" t="s">
        <v>1819</v>
      </c>
      <c r="H501" s="142">
        <v>7.0000000000000007E-2</v>
      </c>
      <c r="I501" s="143">
        <f t="shared" si="21"/>
        <v>14.285714285714285</v>
      </c>
      <c r="J501" s="161">
        <v>0</v>
      </c>
      <c r="K501" s="144">
        <f t="shared" si="22"/>
        <v>0</v>
      </c>
      <c r="L501" s="1054">
        <v>8</v>
      </c>
      <c r="M501" s="144">
        <f t="shared" si="23"/>
        <v>0</v>
      </c>
      <c r="N501" s="155">
        <f>M501</f>
        <v>0</v>
      </c>
    </row>
    <row r="502" spans="5:14" ht="15" customHeight="1">
      <c r="E502" s="57"/>
      <c r="F502" s="57"/>
      <c r="G502" s="144" t="s">
        <v>1824</v>
      </c>
      <c r="H502" s="142">
        <v>8.9999999999999993E-3</v>
      </c>
      <c r="I502" s="143">
        <f t="shared" si="21"/>
        <v>111.11111111111111</v>
      </c>
      <c r="J502" s="161">
        <v>0</v>
      </c>
      <c r="K502" s="144">
        <f t="shared" si="22"/>
        <v>0</v>
      </c>
      <c r="L502" s="1054">
        <v>8</v>
      </c>
      <c r="M502" s="144">
        <f t="shared" si="23"/>
        <v>0</v>
      </c>
      <c r="N502" s="155">
        <v>1</v>
      </c>
    </row>
    <row r="503" spans="5:14" ht="15" customHeight="1">
      <c r="E503" s="57"/>
      <c r="F503" s="57"/>
      <c r="G503" s="144" t="s">
        <v>1826</v>
      </c>
      <c r="H503" s="142">
        <v>6.0000000000000001E-3</v>
      </c>
      <c r="I503" s="143">
        <f t="shared" si="21"/>
        <v>166.66666666666666</v>
      </c>
      <c r="J503" s="161">
        <v>0</v>
      </c>
      <c r="K503" s="144">
        <f t="shared" si="22"/>
        <v>0</v>
      </c>
      <c r="L503" s="1054">
        <v>8</v>
      </c>
      <c r="M503" s="144">
        <f t="shared" si="23"/>
        <v>0</v>
      </c>
      <c r="N503" s="155">
        <v>1</v>
      </c>
    </row>
    <row r="504" spans="5:14" ht="15" customHeight="1">
      <c r="E504" s="57"/>
      <c r="F504" s="57"/>
      <c r="G504" s="144" t="s">
        <v>20</v>
      </c>
      <c r="H504" s="142">
        <v>2.5000000000000001E-3</v>
      </c>
      <c r="I504" s="143">
        <f t="shared" si="21"/>
        <v>400</v>
      </c>
      <c r="J504" s="161">
        <v>0</v>
      </c>
      <c r="K504" s="144">
        <f t="shared" si="22"/>
        <v>0</v>
      </c>
      <c r="L504" s="1054">
        <v>8</v>
      </c>
      <c r="M504" s="144">
        <f t="shared" si="23"/>
        <v>0</v>
      </c>
      <c r="N504" s="155">
        <v>1</v>
      </c>
    </row>
    <row r="505" spans="5:14" ht="15" customHeight="1">
      <c r="E505" s="57"/>
      <c r="F505" s="57"/>
      <c r="G505" s="144"/>
      <c r="H505" s="142"/>
      <c r="I505" s="143"/>
      <c r="J505" s="161"/>
      <c r="K505" s="144"/>
      <c r="L505" s="1054"/>
      <c r="M505" s="144"/>
      <c r="N505" s="155"/>
    </row>
    <row r="506" spans="5:14" ht="15" customHeight="1">
      <c r="E506" s="57"/>
      <c r="F506" s="57" t="s">
        <v>1967</v>
      </c>
      <c r="G506" s="144" t="s">
        <v>1819</v>
      </c>
      <c r="H506" s="142">
        <v>0.02</v>
      </c>
      <c r="I506" s="143">
        <f t="shared" si="21"/>
        <v>50</v>
      </c>
      <c r="J506" s="161">
        <v>0</v>
      </c>
      <c r="K506" s="144">
        <f t="shared" si="22"/>
        <v>0</v>
      </c>
      <c r="L506" s="1054">
        <v>6</v>
      </c>
      <c r="M506" s="144">
        <f t="shared" si="23"/>
        <v>0</v>
      </c>
      <c r="N506" s="155">
        <v>3</v>
      </c>
    </row>
    <row r="507" spans="5:14" ht="15" customHeight="1">
      <c r="E507" s="57"/>
      <c r="F507" s="57"/>
      <c r="G507" s="144" t="s">
        <v>1824</v>
      </c>
      <c r="H507" s="142">
        <v>6.3E-2</v>
      </c>
      <c r="I507" s="143">
        <f t="shared" si="21"/>
        <v>15.873015873015873</v>
      </c>
      <c r="J507" s="161">
        <v>0</v>
      </c>
      <c r="K507" s="144">
        <f t="shared" si="22"/>
        <v>0</v>
      </c>
      <c r="L507" s="1054">
        <v>6</v>
      </c>
      <c r="M507" s="144">
        <f t="shared" si="23"/>
        <v>0</v>
      </c>
      <c r="N507" s="155">
        <f>M507</f>
        <v>0</v>
      </c>
    </row>
    <row r="508" spans="5:14" ht="15" customHeight="1">
      <c r="E508" s="57"/>
      <c r="F508" s="57"/>
      <c r="G508" s="144" t="s">
        <v>1826</v>
      </c>
      <c r="H508" s="142">
        <v>6.3E-3</v>
      </c>
      <c r="I508" s="143">
        <f t="shared" si="21"/>
        <v>158.73015873015873</v>
      </c>
      <c r="J508" s="161">
        <v>0</v>
      </c>
      <c r="K508" s="144">
        <f t="shared" si="22"/>
        <v>0</v>
      </c>
      <c r="L508" s="1054">
        <v>6</v>
      </c>
      <c r="M508" s="144">
        <f t="shared" si="23"/>
        <v>0</v>
      </c>
      <c r="N508" s="155">
        <v>1</v>
      </c>
    </row>
    <row r="509" spans="5:14" ht="15" customHeight="1">
      <c r="E509" s="57"/>
      <c r="F509" s="57"/>
      <c r="G509" s="144" t="s">
        <v>20</v>
      </c>
      <c r="H509" s="142">
        <v>2.5000000000000001E-3</v>
      </c>
      <c r="I509" s="143">
        <f t="shared" si="21"/>
        <v>400</v>
      </c>
      <c r="J509" s="161">
        <v>0</v>
      </c>
      <c r="K509" s="144">
        <f t="shared" si="22"/>
        <v>0</v>
      </c>
      <c r="L509" s="1054">
        <v>6</v>
      </c>
      <c r="M509" s="144">
        <f t="shared" si="23"/>
        <v>0</v>
      </c>
      <c r="N509" s="155">
        <v>1</v>
      </c>
    </row>
    <row r="510" spans="5:14" ht="15" customHeight="1">
      <c r="E510" s="57"/>
      <c r="F510" s="57"/>
      <c r="G510" s="144"/>
      <c r="H510" s="142"/>
      <c r="I510" s="143"/>
      <c r="J510" s="161"/>
      <c r="K510" s="144"/>
      <c r="L510" s="1054"/>
      <c r="M510" s="144"/>
      <c r="N510" s="155"/>
    </row>
    <row r="511" spans="5:14" ht="15" customHeight="1">
      <c r="E511" s="57"/>
      <c r="F511" s="150" t="s">
        <v>1968</v>
      </c>
      <c r="G511" s="144"/>
      <c r="H511" s="142"/>
      <c r="I511" s="143"/>
      <c r="J511" s="161"/>
      <c r="K511" s="144"/>
      <c r="L511" s="1054"/>
      <c r="M511" s="144"/>
      <c r="N511" s="155"/>
    </row>
    <row r="512" spans="5:14" ht="15" customHeight="1">
      <c r="E512" s="57"/>
      <c r="F512" s="57" t="s">
        <v>1969</v>
      </c>
      <c r="G512" s="144"/>
      <c r="H512" s="142"/>
      <c r="I512" s="143"/>
      <c r="J512" s="161"/>
      <c r="K512" s="144"/>
      <c r="L512" s="1054">
        <v>12</v>
      </c>
      <c r="M512" s="144"/>
      <c r="N512" s="155"/>
    </row>
    <row r="513" spans="5:14" ht="15" customHeight="1">
      <c r="E513" s="57"/>
      <c r="F513" s="57"/>
      <c r="G513" s="144"/>
      <c r="H513" s="142"/>
      <c r="I513" s="143"/>
      <c r="J513" s="161"/>
      <c r="K513" s="144"/>
      <c r="L513" s="1054"/>
      <c r="M513" s="144"/>
      <c r="N513" s="155"/>
    </row>
    <row r="514" spans="5:14" ht="15" customHeight="1">
      <c r="E514" s="57"/>
      <c r="F514" s="57" t="s">
        <v>1970</v>
      </c>
      <c r="G514" s="144" t="s">
        <v>1819</v>
      </c>
      <c r="H514" s="142">
        <v>1</v>
      </c>
      <c r="I514" s="143">
        <f t="shared" si="21"/>
        <v>1</v>
      </c>
      <c r="J514" s="161">
        <v>0</v>
      </c>
      <c r="K514" s="144">
        <f t="shared" si="22"/>
        <v>0</v>
      </c>
      <c r="L514" s="1054">
        <v>1</v>
      </c>
      <c r="M514" s="144">
        <f t="shared" si="23"/>
        <v>0</v>
      </c>
      <c r="N514" s="155">
        <f>M514</f>
        <v>0</v>
      </c>
    </row>
    <row r="515" spans="5:14" ht="15" customHeight="1">
      <c r="E515" s="57"/>
      <c r="F515" s="57"/>
      <c r="G515" s="144" t="s">
        <v>1824</v>
      </c>
      <c r="H515" s="142">
        <v>1.5</v>
      </c>
      <c r="I515" s="143">
        <f t="shared" si="21"/>
        <v>0.66666666666666663</v>
      </c>
      <c r="J515" s="161">
        <v>0</v>
      </c>
      <c r="K515" s="144">
        <f t="shared" si="22"/>
        <v>0</v>
      </c>
      <c r="L515" s="1054">
        <v>1</v>
      </c>
      <c r="M515" s="144">
        <f t="shared" si="23"/>
        <v>0</v>
      </c>
      <c r="N515" s="155">
        <f>M515</f>
        <v>0</v>
      </c>
    </row>
    <row r="516" spans="5:14" ht="15" customHeight="1">
      <c r="E516" s="57"/>
      <c r="F516" s="57"/>
      <c r="G516" s="144" t="s">
        <v>1826</v>
      </c>
      <c r="H516" s="142">
        <v>1.5</v>
      </c>
      <c r="I516" s="143">
        <f t="shared" si="21"/>
        <v>0.66666666666666663</v>
      </c>
      <c r="J516" s="161">
        <v>0</v>
      </c>
      <c r="K516" s="144">
        <f t="shared" si="22"/>
        <v>0</v>
      </c>
      <c r="L516" s="1054">
        <v>1</v>
      </c>
      <c r="M516" s="144">
        <f t="shared" si="23"/>
        <v>0</v>
      </c>
      <c r="N516" s="155">
        <f>M516</f>
        <v>0</v>
      </c>
    </row>
    <row r="517" spans="5:14" ht="15" customHeight="1">
      <c r="E517" s="57"/>
      <c r="F517" s="57"/>
      <c r="G517" s="144" t="s">
        <v>20</v>
      </c>
      <c r="H517" s="142">
        <v>0.16</v>
      </c>
      <c r="I517" s="143">
        <f t="shared" si="21"/>
        <v>6.25</v>
      </c>
      <c r="J517" s="161">
        <v>0</v>
      </c>
      <c r="K517" s="144">
        <f t="shared" si="22"/>
        <v>0</v>
      </c>
      <c r="L517" s="1054">
        <v>1</v>
      </c>
      <c r="M517" s="144">
        <f t="shared" si="23"/>
        <v>0</v>
      </c>
      <c r="N517" s="155">
        <v>1</v>
      </c>
    </row>
    <row r="518" spans="5:14" ht="15" customHeight="1">
      <c r="E518" s="57"/>
      <c r="F518" s="57"/>
      <c r="G518" s="144"/>
      <c r="H518" s="142"/>
      <c r="I518" s="143"/>
      <c r="J518" s="161"/>
      <c r="K518" s="144"/>
      <c r="L518" s="1054"/>
      <c r="M518" s="144"/>
      <c r="N518" s="155"/>
    </row>
    <row r="519" spans="5:14" ht="15" customHeight="1">
      <c r="E519" s="57"/>
      <c r="F519" s="57" t="s">
        <v>1971</v>
      </c>
      <c r="G519" s="144" t="s">
        <v>1819</v>
      </c>
      <c r="H519" s="142">
        <v>3.3</v>
      </c>
      <c r="I519" s="143">
        <f t="shared" si="21"/>
        <v>0.30303030303030304</v>
      </c>
      <c r="J519" s="161">
        <v>0</v>
      </c>
      <c r="K519" s="144">
        <f t="shared" si="22"/>
        <v>0</v>
      </c>
      <c r="L519" s="1054">
        <v>2</v>
      </c>
      <c r="M519" s="144">
        <f t="shared" si="23"/>
        <v>0</v>
      </c>
      <c r="N519" s="155">
        <f>M519</f>
        <v>0</v>
      </c>
    </row>
    <row r="520" spans="5:14" ht="15" customHeight="1">
      <c r="E520" s="57"/>
      <c r="F520" s="57"/>
      <c r="G520" s="144" t="s">
        <v>1824</v>
      </c>
      <c r="H520" s="142">
        <v>1.1000000000000001</v>
      </c>
      <c r="I520" s="143">
        <f t="shared" si="21"/>
        <v>0.90909090909090906</v>
      </c>
      <c r="J520" s="161">
        <v>0</v>
      </c>
      <c r="K520" s="144">
        <f t="shared" si="22"/>
        <v>0</v>
      </c>
      <c r="L520" s="1054">
        <v>2</v>
      </c>
      <c r="M520" s="144">
        <f t="shared" si="23"/>
        <v>0</v>
      </c>
      <c r="N520" s="155">
        <v>2</v>
      </c>
    </row>
    <row r="521" spans="5:14" ht="15" customHeight="1">
      <c r="E521" s="57"/>
      <c r="F521" s="57"/>
      <c r="G521" s="144" t="s">
        <v>1826</v>
      </c>
      <c r="H521" s="142">
        <v>1E-3</v>
      </c>
      <c r="I521" s="143">
        <f t="shared" si="21"/>
        <v>1000</v>
      </c>
      <c r="J521" s="161">
        <v>0</v>
      </c>
      <c r="K521" s="144">
        <f t="shared" si="22"/>
        <v>0</v>
      </c>
      <c r="L521" s="1054">
        <v>2</v>
      </c>
      <c r="M521" s="144">
        <f t="shared" si="23"/>
        <v>0</v>
      </c>
      <c r="N521" s="155">
        <v>1</v>
      </c>
    </row>
    <row r="522" spans="5:14" ht="15" customHeight="1">
      <c r="E522" s="57"/>
      <c r="F522" s="57"/>
      <c r="G522" s="144" t="s">
        <v>20</v>
      </c>
      <c r="H522" s="142">
        <v>0.16</v>
      </c>
      <c r="I522" s="143">
        <f t="shared" si="21"/>
        <v>6.25</v>
      </c>
      <c r="J522" s="161">
        <v>0</v>
      </c>
      <c r="K522" s="144">
        <f t="shared" si="22"/>
        <v>0</v>
      </c>
      <c r="L522" s="1054">
        <v>2</v>
      </c>
      <c r="M522" s="144">
        <f t="shared" si="23"/>
        <v>0</v>
      </c>
      <c r="N522" s="155">
        <v>1</v>
      </c>
    </row>
    <row r="523" spans="5:14" ht="15" customHeight="1">
      <c r="E523" s="57"/>
      <c r="F523" s="57"/>
      <c r="G523" s="144"/>
      <c r="H523" s="142"/>
      <c r="I523" s="143"/>
      <c r="J523" s="161"/>
      <c r="K523" s="144"/>
      <c r="L523" s="1054"/>
      <c r="M523" s="144"/>
      <c r="N523" s="155"/>
    </row>
    <row r="524" spans="5:14" ht="15" customHeight="1">
      <c r="E524" s="57"/>
      <c r="F524" s="151" t="s">
        <v>1972</v>
      </c>
      <c r="G524" s="144" t="s">
        <v>1819</v>
      </c>
      <c r="H524" s="142">
        <v>0.01</v>
      </c>
      <c r="I524" s="143">
        <f t="shared" si="21"/>
        <v>100</v>
      </c>
      <c r="J524" s="161">
        <v>0</v>
      </c>
      <c r="K524" s="144">
        <f t="shared" si="22"/>
        <v>0</v>
      </c>
      <c r="L524" s="1054">
        <v>0.5</v>
      </c>
      <c r="M524" s="144">
        <f t="shared" si="23"/>
        <v>0</v>
      </c>
      <c r="N524" s="155">
        <v>1</v>
      </c>
    </row>
    <row r="525" spans="5:14" ht="15" customHeight="1">
      <c r="E525" s="57"/>
      <c r="F525" s="57"/>
      <c r="G525" s="144" t="s">
        <v>1824</v>
      </c>
      <c r="H525" s="142">
        <v>0.1</v>
      </c>
      <c r="I525" s="143">
        <f t="shared" si="21"/>
        <v>10</v>
      </c>
      <c r="J525" s="161">
        <v>0</v>
      </c>
      <c r="K525" s="144">
        <f t="shared" si="22"/>
        <v>0</v>
      </c>
      <c r="L525" s="1054">
        <v>0.5</v>
      </c>
      <c r="M525" s="144">
        <f t="shared" si="23"/>
        <v>0</v>
      </c>
      <c r="N525" s="155">
        <f>M525</f>
        <v>0</v>
      </c>
    </row>
    <row r="526" spans="5:14" ht="15" customHeight="1">
      <c r="E526" s="57"/>
      <c r="F526" s="57"/>
      <c r="G526" s="144" t="s">
        <v>1826</v>
      </c>
      <c r="H526" s="142">
        <v>0.01</v>
      </c>
      <c r="I526" s="143">
        <f t="shared" si="21"/>
        <v>100</v>
      </c>
      <c r="J526" s="161">
        <v>0</v>
      </c>
      <c r="K526" s="144">
        <f t="shared" si="22"/>
        <v>0</v>
      </c>
      <c r="L526" s="1054">
        <v>0.5</v>
      </c>
      <c r="M526" s="144">
        <f t="shared" si="23"/>
        <v>0</v>
      </c>
      <c r="N526" s="155">
        <v>1</v>
      </c>
    </row>
    <row r="527" spans="5:14" ht="15" customHeight="1">
      <c r="E527" s="57"/>
      <c r="F527" s="57"/>
      <c r="G527" s="144" t="s">
        <v>20</v>
      </c>
      <c r="H527" s="142">
        <v>5.0000000000000001E-3</v>
      </c>
      <c r="I527" s="143">
        <f t="shared" si="21"/>
        <v>200</v>
      </c>
      <c r="J527" s="161">
        <v>0</v>
      </c>
      <c r="K527" s="144">
        <f t="shared" si="22"/>
        <v>0</v>
      </c>
      <c r="L527" s="1054">
        <v>0.5</v>
      </c>
      <c r="M527" s="144">
        <f t="shared" si="23"/>
        <v>0</v>
      </c>
      <c r="N527" s="155">
        <v>1</v>
      </c>
    </row>
    <row r="528" spans="5:14" ht="15" customHeight="1">
      <c r="E528" s="57"/>
      <c r="F528" s="57"/>
      <c r="G528" s="144"/>
      <c r="H528" s="142"/>
      <c r="I528" s="143"/>
      <c r="J528" s="161"/>
      <c r="K528" s="144"/>
      <c r="L528" s="1054"/>
      <c r="M528" s="144"/>
      <c r="N528" s="155"/>
    </row>
    <row r="529" spans="5:14" ht="15" customHeight="1">
      <c r="E529" s="57"/>
      <c r="F529" s="57" t="s">
        <v>1973</v>
      </c>
      <c r="G529" s="144" t="s">
        <v>1819</v>
      </c>
      <c r="H529" s="142">
        <v>0.03</v>
      </c>
      <c r="I529" s="143">
        <f t="shared" si="21"/>
        <v>33.333333333333336</v>
      </c>
      <c r="J529" s="161">
        <v>0</v>
      </c>
      <c r="K529" s="144">
        <f t="shared" si="22"/>
        <v>0</v>
      </c>
      <c r="L529" s="1054">
        <v>0.5</v>
      </c>
      <c r="M529" s="144">
        <f t="shared" si="23"/>
        <v>0</v>
      </c>
      <c r="N529" s="155">
        <v>1</v>
      </c>
    </row>
    <row r="530" spans="5:14" ht="15" customHeight="1">
      <c r="E530" s="57"/>
      <c r="F530" s="57"/>
      <c r="G530" s="144" t="s">
        <v>1824</v>
      </c>
      <c r="H530" s="142">
        <v>0.03</v>
      </c>
      <c r="I530" s="143">
        <f t="shared" si="21"/>
        <v>33.333333333333336</v>
      </c>
      <c r="J530" s="161">
        <v>0</v>
      </c>
      <c r="K530" s="144">
        <f t="shared" si="22"/>
        <v>0</v>
      </c>
      <c r="L530" s="1054">
        <v>0.5</v>
      </c>
      <c r="M530" s="144">
        <f t="shared" si="23"/>
        <v>0</v>
      </c>
      <c r="N530" s="155">
        <v>1</v>
      </c>
    </row>
    <row r="531" spans="5:14" ht="15" customHeight="1">
      <c r="E531" s="57"/>
      <c r="F531" s="57"/>
      <c r="G531" s="144" t="s">
        <v>1826</v>
      </c>
      <c r="H531" s="142">
        <v>0.03</v>
      </c>
      <c r="I531" s="143">
        <f t="shared" si="21"/>
        <v>33.333333333333336</v>
      </c>
      <c r="J531" s="161">
        <v>0</v>
      </c>
      <c r="K531" s="144">
        <f t="shared" si="22"/>
        <v>0</v>
      </c>
      <c r="L531" s="1054">
        <v>0.5</v>
      </c>
      <c r="M531" s="144">
        <f t="shared" si="23"/>
        <v>0</v>
      </c>
      <c r="N531" s="155">
        <v>1</v>
      </c>
    </row>
    <row r="532" spans="5:14" ht="15" customHeight="1">
      <c r="E532" s="57"/>
      <c r="F532" s="57"/>
      <c r="G532" s="144" t="s">
        <v>20</v>
      </c>
      <c r="H532" s="142">
        <v>1.5E-3</v>
      </c>
      <c r="I532" s="143">
        <f t="shared" ref="I532:I579" si="24">1/H532</f>
        <v>666.66666666666663</v>
      </c>
      <c r="J532" s="161">
        <v>0</v>
      </c>
      <c r="K532" s="144">
        <f t="shared" ref="K532:K579" si="25">J532/I532</f>
        <v>0</v>
      </c>
      <c r="L532" s="1054">
        <v>0.5</v>
      </c>
      <c r="M532" s="144">
        <f t="shared" si="23"/>
        <v>0</v>
      </c>
      <c r="N532" s="155">
        <v>1</v>
      </c>
    </row>
    <row r="533" spans="5:14" ht="15" customHeight="1">
      <c r="E533" s="57"/>
      <c r="F533" s="57"/>
      <c r="G533" s="144"/>
      <c r="H533" s="142"/>
      <c r="I533" s="143"/>
      <c r="J533" s="161"/>
      <c r="K533" s="144"/>
      <c r="L533" s="1054"/>
      <c r="M533" s="144"/>
      <c r="N533" s="155"/>
    </row>
    <row r="534" spans="5:14" ht="15" customHeight="1">
      <c r="E534" s="57"/>
      <c r="F534" s="151" t="s">
        <v>1974</v>
      </c>
      <c r="G534" s="144" t="s">
        <v>1819</v>
      </c>
      <c r="H534" s="142">
        <v>1.2</v>
      </c>
      <c r="I534" s="143">
        <f t="shared" si="24"/>
        <v>0.83333333333333337</v>
      </c>
      <c r="J534" s="161">
        <v>0</v>
      </c>
      <c r="K534" s="144">
        <f t="shared" si="25"/>
        <v>0</v>
      </c>
      <c r="L534" s="1054">
        <v>1</v>
      </c>
      <c r="M534" s="144">
        <f t="shared" si="23"/>
        <v>0</v>
      </c>
      <c r="N534" s="155">
        <v>3</v>
      </c>
    </row>
    <row r="535" spans="5:14" ht="15" customHeight="1">
      <c r="E535" s="57"/>
      <c r="F535" s="57"/>
      <c r="G535" s="144" t="s">
        <v>1824</v>
      </c>
      <c r="H535" s="142">
        <v>1.45</v>
      </c>
      <c r="I535" s="143">
        <f t="shared" si="24"/>
        <v>0.68965517241379315</v>
      </c>
      <c r="J535" s="161">
        <v>0</v>
      </c>
      <c r="K535" s="144">
        <f t="shared" si="25"/>
        <v>0</v>
      </c>
      <c r="L535" s="1054">
        <v>1</v>
      </c>
      <c r="M535" s="144">
        <f t="shared" si="23"/>
        <v>0</v>
      </c>
      <c r="N535" s="155">
        <f>M535</f>
        <v>0</v>
      </c>
    </row>
    <row r="536" spans="5:14" ht="15" customHeight="1">
      <c r="E536" s="57"/>
      <c r="F536" s="57"/>
      <c r="G536" s="144" t="s">
        <v>1826</v>
      </c>
      <c r="H536" s="142">
        <v>0.15</v>
      </c>
      <c r="I536" s="143">
        <f t="shared" si="24"/>
        <v>6.666666666666667</v>
      </c>
      <c r="J536" s="161">
        <v>0</v>
      </c>
      <c r="K536" s="144">
        <f t="shared" si="25"/>
        <v>0</v>
      </c>
      <c r="L536" s="1054">
        <v>1</v>
      </c>
      <c r="M536" s="144">
        <f t="shared" si="23"/>
        <v>0</v>
      </c>
      <c r="N536" s="155">
        <v>1</v>
      </c>
    </row>
    <row r="537" spans="5:14" ht="15" customHeight="1">
      <c r="E537" s="57"/>
      <c r="F537" s="57"/>
      <c r="G537" s="144" t="s">
        <v>20</v>
      </c>
      <c r="H537" s="142">
        <v>0.1</v>
      </c>
      <c r="I537" s="143">
        <f t="shared" si="24"/>
        <v>10</v>
      </c>
      <c r="J537" s="161">
        <v>0</v>
      </c>
      <c r="K537" s="144">
        <f t="shared" si="25"/>
        <v>0</v>
      </c>
      <c r="L537" s="1054">
        <v>1</v>
      </c>
      <c r="M537" s="144">
        <f t="shared" si="23"/>
        <v>0</v>
      </c>
      <c r="N537" s="155">
        <v>1</v>
      </c>
    </row>
    <row r="538" spans="5:14" ht="15" customHeight="1">
      <c r="E538" s="57"/>
      <c r="F538" s="57"/>
      <c r="G538" s="144"/>
      <c r="H538" s="142"/>
      <c r="I538" s="143"/>
      <c r="J538" s="161"/>
      <c r="K538" s="144"/>
      <c r="L538" s="1054"/>
      <c r="M538" s="144"/>
      <c r="N538" s="155"/>
    </row>
    <row r="539" spans="5:14" ht="15" customHeight="1">
      <c r="E539" s="57"/>
      <c r="F539" s="151" t="s">
        <v>1975</v>
      </c>
      <c r="G539" s="144" t="s">
        <v>1819</v>
      </c>
      <c r="H539" s="142">
        <v>8.1000000000000003E-2</v>
      </c>
      <c r="I539" s="143">
        <f t="shared" si="24"/>
        <v>12.345679012345679</v>
      </c>
      <c r="J539" s="161">
        <v>0</v>
      </c>
      <c r="K539" s="144">
        <f t="shared" si="25"/>
        <v>0</v>
      </c>
      <c r="L539" s="1054">
        <v>1</v>
      </c>
      <c r="M539" s="144">
        <f t="shared" ref="M539:M579" si="26">K539/L539</f>
        <v>0</v>
      </c>
      <c r="N539" s="155">
        <v>3</v>
      </c>
    </row>
    <row r="540" spans="5:14" ht="15" customHeight="1">
      <c r="E540" s="57"/>
      <c r="F540" s="57"/>
      <c r="G540" s="144" t="s">
        <v>1824</v>
      </c>
      <c r="H540" s="142">
        <v>0.13500000000000001</v>
      </c>
      <c r="I540" s="143">
        <f t="shared" si="24"/>
        <v>7.4074074074074066</v>
      </c>
      <c r="J540" s="161">
        <v>0</v>
      </c>
      <c r="K540" s="144">
        <f t="shared" si="25"/>
        <v>0</v>
      </c>
      <c r="L540" s="1054">
        <v>1</v>
      </c>
      <c r="M540" s="144">
        <f t="shared" si="26"/>
        <v>0</v>
      </c>
      <c r="N540" s="155">
        <v>5</v>
      </c>
    </row>
    <row r="541" spans="5:14" ht="15" customHeight="1">
      <c r="E541" s="57"/>
      <c r="F541" s="57"/>
      <c r="G541" s="144" t="s">
        <v>1826</v>
      </c>
      <c r="H541" s="142">
        <v>1.35E-2</v>
      </c>
      <c r="I541" s="143">
        <f t="shared" si="24"/>
        <v>74.074074074074076</v>
      </c>
      <c r="J541" s="161">
        <v>0</v>
      </c>
      <c r="K541" s="144">
        <f t="shared" si="25"/>
        <v>0</v>
      </c>
      <c r="L541" s="1054">
        <v>1</v>
      </c>
      <c r="M541" s="144">
        <f t="shared" si="26"/>
        <v>0</v>
      </c>
      <c r="N541" s="155">
        <v>1</v>
      </c>
    </row>
    <row r="542" spans="5:14" ht="15" customHeight="1">
      <c r="E542" s="57"/>
      <c r="F542" s="57"/>
      <c r="G542" s="144" t="s">
        <v>20</v>
      </c>
      <c r="H542" s="142">
        <v>4.0000000000000001E-3</v>
      </c>
      <c r="I542" s="143">
        <f t="shared" si="24"/>
        <v>250</v>
      </c>
      <c r="J542" s="161">
        <v>0</v>
      </c>
      <c r="K542" s="144">
        <f t="shared" si="25"/>
        <v>0</v>
      </c>
      <c r="L542" s="1054">
        <v>1</v>
      </c>
      <c r="M542" s="144">
        <f t="shared" si="26"/>
        <v>0</v>
      </c>
      <c r="N542" s="155">
        <v>1</v>
      </c>
    </row>
    <row r="543" spans="5:14" ht="15" customHeight="1">
      <c r="E543" s="57"/>
      <c r="F543" s="57"/>
      <c r="G543" s="144"/>
      <c r="H543" s="142"/>
      <c r="I543" s="143"/>
      <c r="J543" s="161"/>
      <c r="K543" s="144"/>
      <c r="L543" s="1054"/>
      <c r="M543" s="144"/>
      <c r="N543" s="155"/>
    </row>
    <row r="544" spans="5:14" ht="15" customHeight="1">
      <c r="E544" s="57"/>
      <c r="F544" s="151" t="s">
        <v>1976</v>
      </c>
      <c r="G544" s="144" t="s">
        <v>1819</v>
      </c>
      <c r="H544" s="142">
        <v>0.03</v>
      </c>
      <c r="I544" s="143">
        <f t="shared" si="24"/>
        <v>33.333333333333336</v>
      </c>
      <c r="J544" s="161">
        <v>0</v>
      </c>
      <c r="K544" s="144">
        <f t="shared" si="25"/>
        <v>0</v>
      </c>
      <c r="L544" s="1054">
        <v>1</v>
      </c>
      <c r="M544" s="144">
        <f t="shared" si="26"/>
        <v>0</v>
      </c>
      <c r="N544" s="155">
        <v>2</v>
      </c>
    </row>
    <row r="545" spans="5:14" ht="15" customHeight="1">
      <c r="E545" s="57"/>
      <c r="F545" s="57"/>
      <c r="G545" s="144" t="s">
        <v>1824</v>
      </c>
      <c r="H545" s="142">
        <v>0.06</v>
      </c>
      <c r="I545" s="143">
        <f t="shared" si="24"/>
        <v>16.666666666666668</v>
      </c>
      <c r="J545" s="161">
        <v>0</v>
      </c>
      <c r="K545" s="144">
        <f t="shared" si="25"/>
        <v>0</v>
      </c>
      <c r="L545" s="1054">
        <v>1</v>
      </c>
      <c r="M545" s="144">
        <f t="shared" si="26"/>
        <v>0</v>
      </c>
      <c r="N545" s="155">
        <f>M545</f>
        <v>0</v>
      </c>
    </row>
    <row r="546" spans="5:14" ht="15" customHeight="1">
      <c r="E546" s="57"/>
      <c r="F546" s="57"/>
      <c r="G546" s="144" t="s">
        <v>1826</v>
      </c>
      <c r="H546" s="142">
        <v>6.0000000000000001E-3</v>
      </c>
      <c r="I546" s="143">
        <f t="shared" si="24"/>
        <v>166.66666666666666</v>
      </c>
      <c r="J546" s="161">
        <v>0</v>
      </c>
      <c r="K546" s="144">
        <f t="shared" si="25"/>
        <v>0</v>
      </c>
      <c r="L546" s="1054">
        <v>1</v>
      </c>
      <c r="M546" s="144">
        <f t="shared" si="26"/>
        <v>0</v>
      </c>
      <c r="N546" s="155">
        <v>1</v>
      </c>
    </row>
    <row r="547" spans="5:14" ht="15" customHeight="1">
      <c r="E547" s="57"/>
      <c r="F547" s="57"/>
      <c r="G547" s="144" t="s">
        <v>20</v>
      </c>
      <c r="H547" s="142">
        <v>2E-3</v>
      </c>
      <c r="I547" s="143">
        <f t="shared" si="24"/>
        <v>500</v>
      </c>
      <c r="J547" s="161">
        <v>0</v>
      </c>
      <c r="K547" s="144">
        <f t="shared" si="25"/>
        <v>0</v>
      </c>
      <c r="L547" s="1054">
        <v>1</v>
      </c>
      <c r="M547" s="144">
        <f t="shared" si="26"/>
        <v>0</v>
      </c>
      <c r="N547" s="155">
        <v>1</v>
      </c>
    </row>
    <row r="548" spans="5:14" ht="15" customHeight="1">
      <c r="E548" s="57"/>
      <c r="F548" s="57"/>
      <c r="G548" s="144"/>
      <c r="H548" s="142"/>
      <c r="I548" s="143"/>
      <c r="J548" s="161"/>
      <c r="K548" s="144"/>
      <c r="L548" s="1054"/>
      <c r="M548" s="144"/>
      <c r="N548" s="155"/>
    </row>
    <row r="549" spans="5:14" ht="15" customHeight="1">
      <c r="E549" s="57"/>
      <c r="F549" s="151" t="s">
        <v>1977</v>
      </c>
      <c r="G549" s="144" t="s">
        <v>1819</v>
      </c>
      <c r="H549" s="142">
        <v>0.03</v>
      </c>
      <c r="I549" s="143">
        <f t="shared" si="24"/>
        <v>33.333333333333336</v>
      </c>
      <c r="J549" s="161">
        <v>0</v>
      </c>
      <c r="K549" s="144">
        <f t="shared" si="25"/>
        <v>0</v>
      </c>
      <c r="L549" s="1054">
        <v>1</v>
      </c>
      <c r="M549" s="144">
        <f t="shared" si="26"/>
        <v>0</v>
      </c>
      <c r="N549" s="155">
        <v>2</v>
      </c>
    </row>
    <row r="550" spans="5:14" ht="15" customHeight="1">
      <c r="E550" s="57"/>
      <c r="F550" s="57"/>
      <c r="G550" s="144" t="s">
        <v>1824</v>
      </c>
      <c r="H550" s="142">
        <v>0.06</v>
      </c>
      <c r="I550" s="143">
        <f t="shared" si="24"/>
        <v>16.666666666666668</v>
      </c>
      <c r="J550" s="161">
        <v>0</v>
      </c>
      <c r="K550" s="144">
        <f t="shared" si="25"/>
        <v>0</v>
      </c>
      <c r="L550" s="1054">
        <v>1</v>
      </c>
      <c r="M550" s="144">
        <f t="shared" si="26"/>
        <v>0</v>
      </c>
      <c r="N550" s="155">
        <f>M550</f>
        <v>0</v>
      </c>
    </row>
    <row r="551" spans="5:14" ht="15" customHeight="1">
      <c r="E551" s="57"/>
      <c r="F551" s="57"/>
      <c r="G551" s="144" t="s">
        <v>1826</v>
      </c>
      <c r="H551" s="142">
        <v>6.0000000000000001E-3</v>
      </c>
      <c r="I551" s="143">
        <f t="shared" si="24"/>
        <v>166.66666666666666</v>
      </c>
      <c r="J551" s="161">
        <v>0</v>
      </c>
      <c r="K551" s="144">
        <f t="shared" si="25"/>
        <v>0</v>
      </c>
      <c r="L551" s="1054">
        <v>1</v>
      </c>
      <c r="M551" s="144">
        <f t="shared" si="26"/>
        <v>0</v>
      </c>
      <c r="N551" s="155">
        <v>1</v>
      </c>
    </row>
    <row r="552" spans="5:14" ht="15" customHeight="1">
      <c r="E552" s="57"/>
      <c r="F552" s="57"/>
      <c r="G552" s="144" t="s">
        <v>20</v>
      </c>
      <c r="H552" s="142">
        <v>2E-3</v>
      </c>
      <c r="I552" s="143">
        <f t="shared" si="24"/>
        <v>500</v>
      </c>
      <c r="J552" s="161">
        <v>0</v>
      </c>
      <c r="K552" s="144">
        <f t="shared" si="25"/>
        <v>0</v>
      </c>
      <c r="L552" s="1054">
        <v>1</v>
      </c>
      <c r="M552" s="144">
        <f t="shared" si="26"/>
        <v>0</v>
      </c>
      <c r="N552" s="155">
        <v>1</v>
      </c>
    </row>
    <row r="553" spans="5:14" ht="15" customHeight="1">
      <c r="E553" s="57"/>
      <c r="F553" s="57"/>
      <c r="G553" s="144"/>
      <c r="H553" s="142"/>
      <c r="I553" s="143"/>
      <c r="J553" s="161"/>
      <c r="K553" s="144"/>
      <c r="L553" s="1054"/>
      <c r="M553" s="144"/>
      <c r="N553" s="155"/>
    </row>
    <row r="554" spans="5:14" ht="15" customHeight="1">
      <c r="E554" s="57"/>
      <c r="F554" s="151" t="s">
        <v>1978</v>
      </c>
      <c r="G554" s="144" t="s">
        <v>1819</v>
      </c>
      <c r="H554" s="142">
        <v>0.01</v>
      </c>
      <c r="I554" s="143">
        <f t="shared" si="24"/>
        <v>100</v>
      </c>
      <c r="J554" s="161">
        <v>0</v>
      </c>
      <c r="K554" s="144">
        <f t="shared" si="25"/>
        <v>0</v>
      </c>
      <c r="L554" s="1054">
        <v>1</v>
      </c>
      <c r="M554" s="144">
        <f t="shared" si="26"/>
        <v>0</v>
      </c>
      <c r="N554" s="155">
        <v>1</v>
      </c>
    </row>
    <row r="555" spans="5:14" ht="15" customHeight="1">
      <c r="E555" s="57"/>
      <c r="F555" s="57"/>
      <c r="G555" s="144" t="s">
        <v>1824</v>
      </c>
      <c r="H555" s="142">
        <v>0.1</v>
      </c>
      <c r="I555" s="143">
        <f t="shared" si="24"/>
        <v>10</v>
      </c>
      <c r="J555" s="161">
        <v>0</v>
      </c>
      <c r="K555" s="144">
        <f t="shared" si="25"/>
        <v>0</v>
      </c>
      <c r="L555" s="1054">
        <v>1</v>
      </c>
      <c r="M555" s="144">
        <f t="shared" si="26"/>
        <v>0</v>
      </c>
      <c r="N555" s="155">
        <v>1</v>
      </c>
    </row>
    <row r="556" spans="5:14" ht="15" customHeight="1">
      <c r="E556" s="57"/>
      <c r="F556" s="57"/>
      <c r="G556" s="144" t="s">
        <v>1826</v>
      </c>
      <c r="H556" s="142">
        <v>0.01</v>
      </c>
      <c r="I556" s="143">
        <f t="shared" si="24"/>
        <v>100</v>
      </c>
      <c r="J556" s="161">
        <v>0</v>
      </c>
      <c r="K556" s="144">
        <f t="shared" si="25"/>
        <v>0</v>
      </c>
      <c r="L556" s="1054">
        <v>1</v>
      </c>
      <c r="M556" s="144">
        <f t="shared" si="26"/>
        <v>0</v>
      </c>
      <c r="N556" s="155">
        <v>1</v>
      </c>
    </row>
    <row r="557" spans="5:14" ht="15" customHeight="1">
      <c r="E557" s="57"/>
      <c r="F557" s="57"/>
      <c r="G557" s="144" t="s">
        <v>20</v>
      </c>
      <c r="H557" s="142">
        <v>5.0000000000000001E-3</v>
      </c>
      <c r="I557" s="143">
        <f t="shared" si="24"/>
        <v>200</v>
      </c>
      <c r="J557" s="161">
        <v>0</v>
      </c>
      <c r="K557" s="144">
        <f t="shared" si="25"/>
        <v>0</v>
      </c>
      <c r="L557" s="1054">
        <v>1</v>
      </c>
      <c r="M557" s="144">
        <f t="shared" si="26"/>
        <v>0</v>
      </c>
      <c r="N557" s="155">
        <v>1</v>
      </c>
    </row>
    <row r="558" spans="5:14" ht="15" customHeight="1">
      <c r="E558" s="57"/>
      <c r="F558" s="150" t="s">
        <v>1979</v>
      </c>
      <c r="G558" s="144"/>
      <c r="H558" s="142"/>
      <c r="I558" s="143"/>
      <c r="J558" s="161"/>
      <c r="K558" s="144"/>
      <c r="L558" s="1054"/>
      <c r="M558" s="144"/>
      <c r="N558" s="155"/>
    </row>
    <row r="559" spans="5:14" ht="15" customHeight="1">
      <c r="E559" s="57"/>
      <c r="F559" s="57" t="s">
        <v>1980</v>
      </c>
      <c r="G559" s="144" t="s">
        <v>1819</v>
      </c>
      <c r="H559" s="142">
        <v>5</v>
      </c>
      <c r="I559" s="143">
        <f t="shared" si="24"/>
        <v>0.2</v>
      </c>
      <c r="J559" s="161">
        <v>0</v>
      </c>
      <c r="K559" s="144">
        <f t="shared" si="25"/>
        <v>0</v>
      </c>
      <c r="L559" s="1054">
        <v>22</v>
      </c>
      <c r="M559" s="144">
        <f t="shared" si="26"/>
        <v>0</v>
      </c>
      <c r="N559" s="155">
        <v>5</v>
      </c>
    </row>
    <row r="560" spans="5:14" ht="15" customHeight="1">
      <c r="E560" s="57"/>
      <c r="F560" s="57"/>
      <c r="G560" s="144" t="s">
        <v>1824</v>
      </c>
      <c r="H560" s="142">
        <v>0.8</v>
      </c>
      <c r="I560" s="143">
        <f t="shared" si="24"/>
        <v>1.25</v>
      </c>
      <c r="J560" s="161">
        <v>0</v>
      </c>
      <c r="K560" s="144">
        <f t="shared" si="25"/>
        <v>0</v>
      </c>
      <c r="L560" s="1054">
        <v>22</v>
      </c>
      <c r="M560" s="144">
        <f t="shared" si="26"/>
        <v>0</v>
      </c>
      <c r="N560" s="155">
        <v>1</v>
      </c>
    </row>
    <row r="561" spans="5:14" ht="15" customHeight="1">
      <c r="E561" s="57"/>
      <c r="F561" s="57"/>
      <c r="G561" s="144" t="s">
        <v>1826</v>
      </c>
      <c r="H561" s="142">
        <v>0.08</v>
      </c>
      <c r="I561" s="143">
        <f t="shared" si="24"/>
        <v>12.5</v>
      </c>
      <c r="J561" s="161">
        <v>0</v>
      </c>
      <c r="K561" s="144">
        <f t="shared" si="25"/>
        <v>0</v>
      </c>
      <c r="L561" s="1054">
        <v>22</v>
      </c>
      <c r="M561" s="144">
        <f t="shared" si="26"/>
        <v>0</v>
      </c>
      <c r="N561" s="155">
        <v>1</v>
      </c>
    </row>
    <row r="562" spans="5:14" ht="15" customHeight="1">
      <c r="E562" s="57"/>
      <c r="F562" s="57"/>
      <c r="G562" s="144" t="s">
        <v>20</v>
      </c>
      <c r="H562" s="142">
        <v>0.2</v>
      </c>
      <c r="I562" s="143">
        <f t="shared" si="24"/>
        <v>5</v>
      </c>
      <c r="J562" s="161">
        <v>0</v>
      </c>
      <c r="K562" s="144">
        <f t="shared" si="25"/>
        <v>0</v>
      </c>
      <c r="L562" s="1054">
        <v>22</v>
      </c>
      <c r="M562" s="144">
        <f t="shared" si="26"/>
        <v>0</v>
      </c>
      <c r="N562" s="155">
        <v>1</v>
      </c>
    </row>
    <row r="563" spans="5:14" ht="15" customHeight="1">
      <c r="E563" s="57"/>
      <c r="F563" s="57"/>
      <c r="G563" s="144"/>
      <c r="H563" s="142"/>
      <c r="I563" s="143"/>
      <c r="J563" s="161"/>
      <c r="K563" s="144"/>
      <c r="L563" s="1054"/>
      <c r="M563" s="144"/>
      <c r="N563" s="155"/>
    </row>
    <row r="564" spans="5:14" ht="15" customHeight="1">
      <c r="E564" s="57"/>
      <c r="F564" s="151" t="s">
        <v>1981</v>
      </c>
      <c r="G564" s="144" t="s">
        <v>1819</v>
      </c>
      <c r="H564" s="142">
        <v>2.2599999999999998</v>
      </c>
      <c r="I564" s="143">
        <f t="shared" si="24"/>
        <v>0.44247787610619471</v>
      </c>
      <c r="J564" s="161">
        <v>0</v>
      </c>
      <c r="K564" s="144">
        <f t="shared" si="25"/>
        <v>0</v>
      </c>
      <c r="L564" s="1054">
        <v>1</v>
      </c>
      <c r="M564" s="144">
        <f t="shared" si="26"/>
        <v>0</v>
      </c>
      <c r="N564" s="155">
        <v>3</v>
      </c>
    </row>
    <row r="565" spans="5:14" ht="15" customHeight="1">
      <c r="E565" s="57"/>
      <c r="F565" s="57"/>
      <c r="G565" s="144" t="s">
        <v>1824</v>
      </c>
      <c r="H565" s="142">
        <v>0.72</v>
      </c>
      <c r="I565" s="143">
        <f t="shared" si="24"/>
        <v>1.3888888888888888</v>
      </c>
      <c r="J565" s="161">
        <v>0</v>
      </c>
      <c r="K565" s="144">
        <f t="shared" si="25"/>
        <v>0</v>
      </c>
      <c r="L565" s="1054">
        <v>1</v>
      </c>
      <c r="M565" s="144">
        <f t="shared" si="26"/>
        <v>0</v>
      </c>
      <c r="N565" s="155">
        <f>M565</f>
        <v>0</v>
      </c>
    </row>
    <row r="566" spans="5:14" ht="15" customHeight="1">
      <c r="E566" s="57"/>
      <c r="F566" s="57"/>
      <c r="G566" s="144" t="s">
        <v>1826</v>
      </c>
      <c r="H566" s="142">
        <v>7.1999999999999995E-2</v>
      </c>
      <c r="I566" s="143">
        <f t="shared" si="24"/>
        <v>13.888888888888889</v>
      </c>
      <c r="J566" s="161">
        <v>0</v>
      </c>
      <c r="K566" s="144">
        <f t="shared" si="25"/>
        <v>0</v>
      </c>
      <c r="L566" s="1054">
        <v>1</v>
      </c>
      <c r="M566" s="144">
        <f t="shared" si="26"/>
        <v>0</v>
      </c>
      <c r="N566" s="155">
        <v>1</v>
      </c>
    </row>
    <row r="567" spans="5:14" ht="15" customHeight="1">
      <c r="E567" s="57"/>
      <c r="F567" s="57"/>
      <c r="G567" s="144" t="s">
        <v>20</v>
      </c>
      <c r="H567" s="142">
        <v>0.108</v>
      </c>
      <c r="I567" s="143">
        <f t="shared" si="24"/>
        <v>9.2592592592592595</v>
      </c>
      <c r="J567" s="161">
        <v>0</v>
      </c>
      <c r="K567" s="144">
        <f t="shared" si="25"/>
        <v>0</v>
      </c>
      <c r="L567" s="1054">
        <v>1</v>
      </c>
      <c r="M567" s="144">
        <f t="shared" si="26"/>
        <v>0</v>
      </c>
      <c r="N567" s="155">
        <v>1</v>
      </c>
    </row>
    <row r="568" spans="5:14" ht="15" customHeight="1">
      <c r="E568" s="57"/>
      <c r="F568" s="57"/>
      <c r="G568" s="144"/>
      <c r="H568" s="142"/>
      <c r="I568" s="143"/>
      <c r="J568" s="161"/>
      <c r="K568" s="144"/>
      <c r="L568" s="1054"/>
      <c r="M568" s="144"/>
      <c r="N568" s="155"/>
    </row>
    <row r="569" spans="5:14" ht="15" customHeight="1">
      <c r="E569" s="57"/>
      <c r="F569" s="57" t="s">
        <v>1982</v>
      </c>
      <c r="G569" s="144" t="s">
        <v>1819</v>
      </c>
      <c r="H569" s="142">
        <v>6.3460000000000001</v>
      </c>
      <c r="I569" s="143">
        <f t="shared" si="24"/>
        <v>0.15757957768673181</v>
      </c>
      <c r="J569" s="161">
        <v>0</v>
      </c>
      <c r="K569" s="144">
        <f t="shared" si="25"/>
        <v>0</v>
      </c>
      <c r="L569" s="1054">
        <v>4</v>
      </c>
      <c r="M569" s="144">
        <f t="shared" si="26"/>
        <v>0</v>
      </c>
      <c r="N569" s="155">
        <f>M569</f>
        <v>0</v>
      </c>
    </row>
    <row r="570" spans="5:14" ht="15" customHeight="1">
      <c r="E570" s="57"/>
      <c r="F570" s="57"/>
      <c r="G570" s="144" t="s">
        <v>1824</v>
      </c>
      <c r="H570" s="142">
        <v>1.05</v>
      </c>
      <c r="I570" s="143">
        <f t="shared" si="24"/>
        <v>0.95238095238095233</v>
      </c>
      <c r="J570" s="161">
        <v>0</v>
      </c>
      <c r="K570" s="144">
        <f t="shared" si="25"/>
        <v>0</v>
      </c>
      <c r="L570" s="1054">
        <v>4</v>
      </c>
      <c r="M570" s="144">
        <f t="shared" si="26"/>
        <v>0</v>
      </c>
      <c r="N570" s="155">
        <v>1</v>
      </c>
    </row>
    <row r="571" spans="5:14" ht="15" customHeight="1">
      <c r="E571" s="57"/>
      <c r="F571" s="57"/>
      <c r="G571" s="144" t="s">
        <v>1826</v>
      </c>
      <c r="H571" s="142">
        <v>0.105</v>
      </c>
      <c r="I571" s="143">
        <f t="shared" si="24"/>
        <v>9.5238095238095237</v>
      </c>
      <c r="J571" s="161">
        <v>0</v>
      </c>
      <c r="K571" s="144">
        <f t="shared" si="25"/>
        <v>0</v>
      </c>
      <c r="L571" s="1054">
        <v>4</v>
      </c>
      <c r="M571" s="144">
        <f t="shared" si="26"/>
        <v>0</v>
      </c>
      <c r="N571" s="155">
        <v>1</v>
      </c>
    </row>
    <row r="572" spans="5:14" ht="15" customHeight="1">
      <c r="E572" s="57"/>
      <c r="F572" s="57"/>
      <c r="G572" s="144" t="s">
        <v>20</v>
      </c>
      <c r="H572" s="142">
        <v>0.28700000000000003</v>
      </c>
      <c r="I572" s="143">
        <f t="shared" si="24"/>
        <v>3.484320557491289</v>
      </c>
      <c r="J572" s="161">
        <v>0</v>
      </c>
      <c r="K572" s="144">
        <f t="shared" si="25"/>
        <v>0</v>
      </c>
      <c r="L572" s="1054">
        <v>4</v>
      </c>
      <c r="M572" s="144">
        <f t="shared" si="26"/>
        <v>0</v>
      </c>
      <c r="N572" s="155">
        <v>1</v>
      </c>
    </row>
    <row r="573" spans="5:14" ht="15" customHeight="1">
      <c r="E573" s="57"/>
      <c r="F573" s="57"/>
      <c r="G573" s="144"/>
      <c r="H573" s="142"/>
      <c r="I573" s="143"/>
      <c r="J573" s="161"/>
      <c r="K573" s="144"/>
      <c r="L573" s="1054"/>
      <c r="M573" s="144"/>
      <c r="N573" s="155"/>
    </row>
    <row r="574" spans="5:14" ht="15" customHeight="1">
      <c r="E574" s="57"/>
      <c r="F574" s="57" t="s">
        <v>1983</v>
      </c>
      <c r="G574" s="144" t="s">
        <v>1819</v>
      </c>
      <c r="H574" s="142">
        <v>6.8849999999999998</v>
      </c>
      <c r="I574" s="143">
        <f t="shared" si="24"/>
        <v>0.14524328249818447</v>
      </c>
      <c r="J574" s="161">
        <v>0</v>
      </c>
      <c r="K574" s="144">
        <f t="shared" si="25"/>
        <v>0</v>
      </c>
      <c r="L574" s="1054">
        <v>2</v>
      </c>
      <c r="M574" s="144">
        <f t="shared" si="26"/>
        <v>0</v>
      </c>
      <c r="N574" s="155">
        <f>M574</f>
        <v>0</v>
      </c>
    </row>
    <row r="575" spans="5:14" ht="15" customHeight="1">
      <c r="E575" s="57"/>
      <c r="F575" s="57"/>
      <c r="G575" s="144" t="s">
        <v>1984</v>
      </c>
      <c r="H575" s="142">
        <v>0.69500000000000006</v>
      </c>
      <c r="I575" s="143">
        <f t="shared" si="24"/>
        <v>1.4388489208633093</v>
      </c>
      <c r="J575" s="161">
        <v>0</v>
      </c>
      <c r="K575" s="144">
        <f t="shared" si="25"/>
        <v>0</v>
      </c>
      <c r="L575" s="1054">
        <v>2</v>
      </c>
      <c r="M575" s="144">
        <f t="shared" si="26"/>
        <v>0</v>
      </c>
      <c r="N575" s="155">
        <v>1</v>
      </c>
    </row>
    <row r="576" spans="5:14" ht="15" customHeight="1">
      <c r="E576" s="57"/>
      <c r="F576" s="57"/>
      <c r="G576" s="144" t="s">
        <v>1985</v>
      </c>
      <c r="H576" s="142">
        <v>1.4</v>
      </c>
      <c r="I576" s="143">
        <f t="shared" si="24"/>
        <v>0.7142857142857143</v>
      </c>
      <c r="J576" s="161">
        <v>0</v>
      </c>
      <c r="K576" s="144">
        <f t="shared" si="25"/>
        <v>0</v>
      </c>
      <c r="L576" s="1054">
        <v>2</v>
      </c>
      <c r="M576" s="144">
        <f t="shared" si="26"/>
        <v>0</v>
      </c>
      <c r="N576" s="155">
        <f>M576</f>
        <v>0</v>
      </c>
    </row>
    <row r="577" spans="5:14" ht="15" customHeight="1">
      <c r="E577" s="57"/>
      <c r="F577" s="57"/>
      <c r="G577" s="144" t="s">
        <v>1826</v>
      </c>
      <c r="H577" s="142">
        <v>0.10272729999999999</v>
      </c>
      <c r="I577" s="143">
        <f t="shared" si="24"/>
        <v>9.7345106899529146</v>
      </c>
      <c r="J577" s="161">
        <v>0</v>
      </c>
      <c r="K577" s="144">
        <f t="shared" si="25"/>
        <v>0</v>
      </c>
      <c r="L577" s="1054">
        <v>2</v>
      </c>
      <c r="M577" s="144">
        <f t="shared" si="26"/>
        <v>0</v>
      </c>
      <c r="N577" s="155">
        <v>1</v>
      </c>
    </row>
    <row r="578" spans="5:14" ht="15" customHeight="1">
      <c r="E578" s="57"/>
      <c r="F578" s="57"/>
      <c r="G578" s="144" t="s">
        <v>1986</v>
      </c>
      <c r="H578" s="142">
        <v>0.33100000000000002</v>
      </c>
      <c r="I578" s="143">
        <f t="shared" si="24"/>
        <v>3.0211480362537761</v>
      </c>
      <c r="J578" s="161">
        <v>0</v>
      </c>
      <c r="K578" s="144">
        <f t="shared" si="25"/>
        <v>0</v>
      </c>
      <c r="L578" s="1054">
        <v>2</v>
      </c>
      <c r="M578" s="144">
        <f t="shared" si="26"/>
        <v>0</v>
      </c>
      <c r="N578" s="155">
        <v>1</v>
      </c>
    </row>
    <row r="579" spans="5:14" ht="15" customHeight="1">
      <c r="E579" s="58"/>
      <c r="F579" s="58"/>
      <c r="G579" s="154" t="s">
        <v>20</v>
      </c>
      <c r="H579" s="152">
        <v>0.3095</v>
      </c>
      <c r="I579" s="153">
        <f t="shared" si="24"/>
        <v>3.2310177705977385</v>
      </c>
      <c r="J579" s="165">
        <v>0</v>
      </c>
      <c r="K579" s="154">
        <f t="shared" si="25"/>
        <v>0</v>
      </c>
      <c r="L579" s="1057">
        <v>2</v>
      </c>
      <c r="M579" s="154">
        <f t="shared" si="26"/>
        <v>0</v>
      </c>
      <c r="N579" s="158">
        <v>1</v>
      </c>
    </row>
    <row r="580" spans="5:14" ht="15" customHeight="1">
      <c r="K580" s="119"/>
      <c r="L580" s="1058"/>
      <c r="M580" s="120"/>
    </row>
    <row r="581" spans="5:14" ht="15" customHeight="1">
      <c r="L581" s="1058"/>
      <c r="M581" s="120"/>
    </row>
    <row r="582" spans="5:14" ht="15" customHeight="1">
      <c r="K582" s="119"/>
    </row>
    <row r="583" spans="5:14" ht="15" customHeight="1">
      <c r="K583" s="119"/>
    </row>
    <row r="584" spans="5:14" ht="15" customHeight="1">
      <c r="K584" s="119"/>
    </row>
    <row r="585" spans="5:14" ht="15" customHeight="1">
      <c r="K585" s="119"/>
    </row>
    <row r="586" spans="5:14" ht="15" customHeight="1">
      <c r="K586" s="121"/>
    </row>
    <row r="587" spans="5:14" ht="15" customHeight="1">
      <c r="K587" s="121"/>
    </row>
    <row r="588" spans="5:14" ht="15" customHeight="1">
      <c r="K588" s="110"/>
    </row>
    <row r="589" spans="5:14" ht="15" customHeight="1">
      <c r="L589" s="1058"/>
      <c r="M589" s="120"/>
    </row>
    <row r="590" spans="5:14" ht="15" customHeight="1">
      <c r="L590" s="1058"/>
      <c r="M590" s="120"/>
    </row>
    <row r="591" spans="5:14" ht="15" customHeight="1">
      <c r="L591" s="1060"/>
      <c r="M591" s="110"/>
    </row>
  </sheetData>
  <mergeCells count="8">
    <mergeCell ref="A35:C35"/>
    <mergeCell ref="R5:GY5"/>
    <mergeCell ref="M6:N6"/>
    <mergeCell ref="E5:E8"/>
    <mergeCell ref="F5:F8"/>
    <mergeCell ref="G5:G8"/>
    <mergeCell ref="M5:N5"/>
    <mergeCell ref="P5:P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F2CFB-9C5F-4066-82B5-FB3701C0AAD4}">
  <sheetPr codeName="Sheet13"/>
  <dimension ref="A1:AG87"/>
  <sheetViews>
    <sheetView showRowColHeaders="0" zoomScale="75" zoomScaleNormal="75" workbookViewId="0">
      <pane ySplit="5" topLeftCell="A6" activePane="bottomLeft" state="frozen"/>
      <selection pane="bottomLeft" activeCell="G7" sqref="G7"/>
    </sheetView>
  </sheetViews>
  <sheetFormatPr defaultRowHeight="15" customHeight="1"/>
  <cols>
    <col min="1" max="3" width="10.77734375" style="651" customWidth="1"/>
    <col min="4" max="4" width="4.77734375" style="77" customWidth="1"/>
    <col min="5" max="5" width="3.77734375" style="77" customWidth="1"/>
    <col min="6" max="6" width="23.21875" style="77" customWidth="1"/>
    <col min="7" max="7" width="5.5546875" style="79" customWidth="1"/>
    <col min="8" max="8" width="5.77734375" style="79" customWidth="1"/>
    <col min="9" max="9" width="7.21875" style="80" customWidth="1"/>
    <col min="10" max="10" width="6" style="1045" customWidth="1"/>
    <col min="11" max="11" width="4" style="79" customWidth="1"/>
    <col min="12" max="12" width="4.77734375" style="1051" customWidth="1"/>
    <col min="13" max="13" width="10.77734375" style="83" customWidth="1"/>
    <col min="14" max="14" width="10.77734375" style="79" customWidth="1"/>
    <col min="15" max="16" width="10.77734375" style="82" customWidth="1"/>
    <col min="17" max="17" width="10.77734375" style="83" customWidth="1"/>
    <col min="18" max="18" width="6.77734375" style="84" customWidth="1"/>
    <col min="19" max="19" width="6.77734375" style="79" customWidth="1"/>
    <col min="20" max="20" width="10.77734375" style="77" bestFit="1" customWidth="1"/>
    <col min="21" max="22" width="9.21875" style="77"/>
    <col min="23" max="23" width="10.77734375" style="77" bestFit="1" customWidth="1"/>
    <col min="24" max="260" width="9.21875" style="77"/>
    <col min="261" max="261" width="3.77734375" style="77" customWidth="1"/>
    <col min="262" max="262" width="23.21875" style="77" customWidth="1"/>
    <col min="263" max="263" width="5.5546875" style="77" customWidth="1"/>
    <col min="264" max="264" width="5.77734375" style="77" customWidth="1"/>
    <col min="265" max="265" width="7.21875" style="77" customWidth="1"/>
    <col min="266" max="266" width="6" style="77" customWidth="1"/>
    <col min="267" max="267" width="4" style="77" customWidth="1"/>
    <col min="268" max="268" width="4.77734375" style="77" customWidth="1"/>
    <col min="269" max="269" width="7.77734375" style="77" customWidth="1"/>
    <col min="270" max="270" width="9.44140625" style="77" customWidth="1"/>
    <col min="271" max="271" width="10.77734375" style="77" bestFit="1" customWidth="1"/>
    <col min="272" max="272" width="10.77734375" style="77" customWidth="1"/>
    <col min="273" max="273" width="11.44140625" style="77" customWidth="1"/>
    <col min="274" max="274" width="5.77734375" style="77" customWidth="1"/>
    <col min="275" max="275" width="7" style="77" customWidth="1"/>
    <col min="276" max="276" width="10.77734375" style="77" bestFit="1" customWidth="1"/>
    <col min="277" max="278" width="9.21875" style="77"/>
    <col min="279" max="279" width="10.77734375" style="77" bestFit="1" customWidth="1"/>
    <col min="280" max="516" width="9.21875" style="77"/>
    <col min="517" max="517" width="3.77734375" style="77" customWidth="1"/>
    <col min="518" max="518" width="23.21875" style="77" customWidth="1"/>
    <col min="519" max="519" width="5.5546875" style="77" customWidth="1"/>
    <col min="520" max="520" width="5.77734375" style="77" customWidth="1"/>
    <col min="521" max="521" width="7.21875" style="77" customWidth="1"/>
    <col min="522" max="522" width="6" style="77" customWidth="1"/>
    <col min="523" max="523" width="4" style="77" customWidth="1"/>
    <col min="524" max="524" width="4.77734375" style="77" customWidth="1"/>
    <col min="525" max="525" width="7.77734375" style="77" customWidth="1"/>
    <col min="526" max="526" width="9.44140625" style="77" customWidth="1"/>
    <col min="527" max="527" width="10.77734375" style="77" bestFit="1" customWidth="1"/>
    <col min="528" max="528" width="10.77734375" style="77" customWidth="1"/>
    <col min="529" max="529" width="11.44140625" style="77" customWidth="1"/>
    <col min="530" max="530" width="5.77734375" style="77" customWidth="1"/>
    <col min="531" max="531" width="7" style="77" customWidth="1"/>
    <col min="532" max="532" width="10.77734375" style="77" bestFit="1" customWidth="1"/>
    <col min="533" max="534" width="9.21875" style="77"/>
    <col min="535" max="535" width="10.77734375" style="77" bestFit="1" customWidth="1"/>
    <col min="536" max="772" width="9.21875" style="77"/>
    <col min="773" max="773" width="3.77734375" style="77" customWidth="1"/>
    <col min="774" max="774" width="23.21875" style="77" customWidth="1"/>
    <col min="775" max="775" width="5.5546875" style="77" customWidth="1"/>
    <col min="776" max="776" width="5.77734375" style="77" customWidth="1"/>
    <col min="777" max="777" width="7.21875" style="77" customWidth="1"/>
    <col min="778" max="778" width="6" style="77" customWidth="1"/>
    <col min="779" max="779" width="4" style="77" customWidth="1"/>
    <col min="780" max="780" width="4.77734375" style="77" customWidth="1"/>
    <col min="781" max="781" width="7.77734375" style="77" customWidth="1"/>
    <col min="782" max="782" width="9.44140625" style="77" customWidth="1"/>
    <col min="783" max="783" width="10.77734375" style="77" bestFit="1" customWidth="1"/>
    <col min="784" max="784" width="10.77734375" style="77" customWidth="1"/>
    <col min="785" max="785" width="11.44140625" style="77" customWidth="1"/>
    <col min="786" max="786" width="5.77734375" style="77" customWidth="1"/>
    <col min="787" max="787" width="7" style="77" customWidth="1"/>
    <col min="788" max="788" width="10.77734375" style="77" bestFit="1" customWidth="1"/>
    <col min="789" max="790" width="9.21875" style="77"/>
    <col min="791" max="791" width="10.77734375" style="77" bestFit="1" customWidth="1"/>
    <col min="792" max="1028" width="9.21875" style="77"/>
    <col min="1029" max="1029" width="3.77734375" style="77" customWidth="1"/>
    <col min="1030" max="1030" width="23.21875" style="77" customWidth="1"/>
    <col min="1031" max="1031" width="5.5546875" style="77" customWidth="1"/>
    <col min="1032" max="1032" width="5.77734375" style="77" customWidth="1"/>
    <col min="1033" max="1033" width="7.21875" style="77" customWidth="1"/>
    <col min="1034" max="1034" width="6" style="77" customWidth="1"/>
    <col min="1035" max="1035" width="4" style="77" customWidth="1"/>
    <col min="1036" max="1036" width="4.77734375" style="77" customWidth="1"/>
    <col min="1037" max="1037" width="7.77734375" style="77" customWidth="1"/>
    <col min="1038" max="1038" width="9.44140625" style="77" customWidth="1"/>
    <col min="1039" max="1039" width="10.77734375" style="77" bestFit="1" customWidth="1"/>
    <col min="1040" max="1040" width="10.77734375" style="77" customWidth="1"/>
    <col min="1041" max="1041" width="11.44140625" style="77" customWidth="1"/>
    <col min="1042" max="1042" width="5.77734375" style="77" customWidth="1"/>
    <col min="1043" max="1043" width="7" style="77" customWidth="1"/>
    <col min="1044" max="1044" width="10.77734375" style="77" bestFit="1" customWidth="1"/>
    <col min="1045" max="1046" width="9.21875" style="77"/>
    <col min="1047" max="1047" width="10.77734375" style="77" bestFit="1" customWidth="1"/>
    <col min="1048" max="1284" width="9.21875" style="77"/>
    <col min="1285" max="1285" width="3.77734375" style="77" customWidth="1"/>
    <col min="1286" max="1286" width="23.21875" style="77" customWidth="1"/>
    <col min="1287" max="1287" width="5.5546875" style="77" customWidth="1"/>
    <col min="1288" max="1288" width="5.77734375" style="77" customWidth="1"/>
    <col min="1289" max="1289" width="7.21875" style="77" customWidth="1"/>
    <col min="1290" max="1290" width="6" style="77" customWidth="1"/>
    <col min="1291" max="1291" width="4" style="77" customWidth="1"/>
    <col min="1292" max="1292" width="4.77734375" style="77" customWidth="1"/>
    <col min="1293" max="1293" width="7.77734375" style="77" customWidth="1"/>
    <col min="1294" max="1294" width="9.44140625" style="77" customWidth="1"/>
    <col min="1295" max="1295" width="10.77734375" style="77" bestFit="1" customWidth="1"/>
    <col min="1296" max="1296" width="10.77734375" style="77" customWidth="1"/>
    <col min="1297" max="1297" width="11.44140625" style="77" customWidth="1"/>
    <col min="1298" max="1298" width="5.77734375" style="77" customWidth="1"/>
    <col min="1299" max="1299" width="7" style="77" customWidth="1"/>
    <col min="1300" max="1300" width="10.77734375" style="77" bestFit="1" customWidth="1"/>
    <col min="1301" max="1302" width="9.21875" style="77"/>
    <col min="1303" max="1303" width="10.77734375" style="77" bestFit="1" customWidth="1"/>
    <col min="1304" max="1540" width="9.21875" style="77"/>
    <col min="1541" max="1541" width="3.77734375" style="77" customWidth="1"/>
    <col min="1542" max="1542" width="23.21875" style="77" customWidth="1"/>
    <col min="1543" max="1543" width="5.5546875" style="77" customWidth="1"/>
    <col min="1544" max="1544" width="5.77734375" style="77" customWidth="1"/>
    <col min="1545" max="1545" width="7.21875" style="77" customWidth="1"/>
    <col min="1546" max="1546" width="6" style="77" customWidth="1"/>
    <col min="1547" max="1547" width="4" style="77" customWidth="1"/>
    <col min="1548" max="1548" width="4.77734375" style="77" customWidth="1"/>
    <col min="1549" max="1549" width="7.77734375" style="77" customWidth="1"/>
    <col min="1550" max="1550" width="9.44140625" style="77" customWidth="1"/>
    <col min="1551" max="1551" width="10.77734375" style="77" bestFit="1" customWidth="1"/>
    <col min="1552" max="1552" width="10.77734375" style="77" customWidth="1"/>
    <col min="1553" max="1553" width="11.44140625" style="77" customWidth="1"/>
    <col min="1554" max="1554" width="5.77734375" style="77" customWidth="1"/>
    <col min="1555" max="1555" width="7" style="77" customWidth="1"/>
    <col min="1556" max="1556" width="10.77734375" style="77" bestFit="1" customWidth="1"/>
    <col min="1557" max="1558" width="9.21875" style="77"/>
    <col min="1559" max="1559" width="10.77734375" style="77" bestFit="1" customWidth="1"/>
    <col min="1560" max="1796" width="9.21875" style="77"/>
    <col min="1797" max="1797" width="3.77734375" style="77" customWidth="1"/>
    <col min="1798" max="1798" width="23.21875" style="77" customWidth="1"/>
    <col min="1799" max="1799" width="5.5546875" style="77" customWidth="1"/>
    <col min="1800" max="1800" width="5.77734375" style="77" customWidth="1"/>
    <col min="1801" max="1801" width="7.21875" style="77" customWidth="1"/>
    <col min="1802" max="1802" width="6" style="77" customWidth="1"/>
    <col min="1803" max="1803" width="4" style="77" customWidth="1"/>
    <col min="1804" max="1804" width="4.77734375" style="77" customWidth="1"/>
    <col min="1805" max="1805" width="7.77734375" style="77" customWidth="1"/>
    <col min="1806" max="1806" width="9.44140625" style="77" customWidth="1"/>
    <col min="1807" max="1807" width="10.77734375" style="77" bestFit="1" customWidth="1"/>
    <col min="1808" max="1808" width="10.77734375" style="77" customWidth="1"/>
    <col min="1809" max="1809" width="11.44140625" style="77" customWidth="1"/>
    <col min="1810" max="1810" width="5.77734375" style="77" customWidth="1"/>
    <col min="1811" max="1811" width="7" style="77" customWidth="1"/>
    <col min="1812" max="1812" width="10.77734375" style="77" bestFit="1" customWidth="1"/>
    <col min="1813" max="1814" width="9.21875" style="77"/>
    <col min="1815" max="1815" width="10.77734375" style="77" bestFit="1" customWidth="1"/>
    <col min="1816" max="2052" width="9.21875" style="77"/>
    <col min="2053" max="2053" width="3.77734375" style="77" customWidth="1"/>
    <col min="2054" max="2054" width="23.21875" style="77" customWidth="1"/>
    <col min="2055" max="2055" width="5.5546875" style="77" customWidth="1"/>
    <col min="2056" max="2056" width="5.77734375" style="77" customWidth="1"/>
    <col min="2057" max="2057" width="7.21875" style="77" customWidth="1"/>
    <col min="2058" max="2058" width="6" style="77" customWidth="1"/>
    <col min="2059" max="2059" width="4" style="77" customWidth="1"/>
    <col min="2060" max="2060" width="4.77734375" style="77" customWidth="1"/>
    <col min="2061" max="2061" width="7.77734375" style="77" customWidth="1"/>
    <col min="2062" max="2062" width="9.44140625" style="77" customWidth="1"/>
    <col min="2063" max="2063" width="10.77734375" style="77" bestFit="1" customWidth="1"/>
    <col min="2064" max="2064" width="10.77734375" style="77" customWidth="1"/>
    <col min="2065" max="2065" width="11.44140625" style="77" customWidth="1"/>
    <col min="2066" max="2066" width="5.77734375" style="77" customWidth="1"/>
    <col min="2067" max="2067" width="7" style="77" customWidth="1"/>
    <col min="2068" max="2068" width="10.77734375" style="77" bestFit="1" customWidth="1"/>
    <col min="2069" max="2070" width="9.21875" style="77"/>
    <col min="2071" max="2071" width="10.77734375" style="77" bestFit="1" customWidth="1"/>
    <col min="2072" max="2308" width="9.21875" style="77"/>
    <col min="2309" max="2309" width="3.77734375" style="77" customWidth="1"/>
    <col min="2310" max="2310" width="23.21875" style="77" customWidth="1"/>
    <col min="2311" max="2311" width="5.5546875" style="77" customWidth="1"/>
    <col min="2312" max="2312" width="5.77734375" style="77" customWidth="1"/>
    <col min="2313" max="2313" width="7.21875" style="77" customWidth="1"/>
    <col min="2314" max="2314" width="6" style="77" customWidth="1"/>
    <col min="2315" max="2315" width="4" style="77" customWidth="1"/>
    <col min="2316" max="2316" width="4.77734375" style="77" customWidth="1"/>
    <col min="2317" max="2317" width="7.77734375" style="77" customWidth="1"/>
    <col min="2318" max="2318" width="9.44140625" style="77" customWidth="1"/>
    <col min="2319" max="2319" width="10.77734375" style="77" bestFit="1" customWidth="1"/>
    <col min="2320" max="2320" width="10.77734375" style="77" customWidth="1"/>
    <col min="2321" max="2321" width="11.44140625" style="77" customWidth="1"/>
    <col min="2322" max="2322" width="5.77734375" style="77" customWidth="1"/>
    <col min="2323" max="2323" width="7" style="77" customWidth="1"/>
    <col min="2324" max="2324" width="10.77734375" style="77" bestFit="1" customWidth="1"/>
    <col min="2325" max="2326" width="9.21875" style="77"/>
    <col min="2327" max="2327" width="10.77734375" style="77" bestFit="1" customWidth="1"/>
    <col min="2328" max="2564" width="9.21875" style="77"/>
    <col min="2565" max="2565" width="3.77734375" style="77" customWidth="1"/>
    <col min="2566" max="2566" width="23.21875" style="77" customWidth="1"/>
    <col min="2567" max="2567" width="5.5546875" style="77" customWidth="1"/>
    <col min="2568" max="2568" width="5.77734375" style="77" customWidth="1"/>
    <col min="2569" max="2569" width="7.21875" style="77" customWidth="1"/>
    <col min="2570" max="2570" width="6" style="77" customWidth="1"/>
    <col min="2571" max="2571" width="4" style="77" customWidth="1"/>
    <col min="2572" max="2572" width="4.77734375" style="77" customWidth="1"/>
    <col min="2573" max="2573" width="7.77734375" style="77" customWidth="1"/>
    <col min="2574" max="2574" width="9.44140625" style="77" customWidth="1"/>
    <col min="2575" max="2575" width="10.77734375" style="77" bestFit="1" customWidth="1"/>
    <col min="2576" max="2576" width="10.77734375" style="77" customWidth="1"/>
    <col min="2577" max="2577" width="11.44140625" style="77" customWidth="1"/>
    <col min="2578" max="2578" width="5.77734375" style="77" customWidth="1"/>
    <col min="2579" max="2579" width="7" style="77" customWidth="1"/>
    <col min="2580" max="2580" width="10.77734375" style="77" bestFit="1" customWidth="1"/>
    <col min="2581" max="2582" width="9.21875" style="77"/>
    <col min="2583" max="2583" width="10.77734375" style="77" bestFit="1" customWidth="1"/>
    <col min="2584" max="2820" width="9.21875" style="77"/>
    <col min="2821" max="2821" width="3.77734375" style="77" customWidth="1"/>
    <col min="2822" max="2822" width="23.21875" style="77" customWidth="1"/>
    <col min="2823" max="2823" width="5.5546875" style="77" customWidth="1"/>
    <col min="2824" max="2824" width="5.77734375" style="77" customWidth="1"/>
    <col min="2825" max="2825" width="7.21875" style="77" customWidth="1"/>
    <col min="2826" max="2826" width="6" style="77" customWidth="1"/>
    <col min="2827" max="2827" width="4" style="77" customWidth="1"/>
    <col min="2828" max="2828" width="4.77734375" style="77" customWidth="1"/>
    <col min="2829" max="2829" width="7.77734375" style="77" customWidth="1"/>
    <col min="2830" max="2830" width="9.44140625" style="77" customWidth="1"/>
    <col min="2831" max="2831" width="10.77734375" style="77" bestFit="1" customWidth="1"/>
    <col min="2832" max="2832" width="10.77734375" style="77" customWidth="1"/>
    <col min="2833" max="2833" width="11.44140625" style="77" customWidth="1"/>
    <col min="2834" max="2834" width="5.77734375" style="77" customWidth="1"/>
    <col min="2835" max="2835" width="7" style="77" customWidth="1"/>
    <col min="2836" max="2836" width="10.77734375" style="77" bestFit="1" customWidth="1"/>
    <col min="2837" max="2838" width="9.21875" style="77"/>
    <col min="2839" max="2839" width="10.77734375" style="77" bestFit="1" customWidth="1"/>
    <col min="2840" max="3076" width="9.21875" style="77"/>
    <col min="3077" max="3077" width="3.77734375" style="77" customWidth="1"/>
    <col min="3078" max="3078" width="23.21875" style="77" customWidth="1"/>
    <col min="3079" max="3079" width="5.5546875" style="77" customWidth="1"/>
    <col min="3080" max="3080" width="5.77734375" style="77" customWidth="1"/>
    <col min="3081" max="3081" width="7.21875" style="77" customWidth="1"/>
    <col min="3082" max="3082" width="6" style="77" customWidth="1"/>
    <col min="3083" max="3083" width="4" style="77" customWidth="1"/>
    <col min="3084" max="3084" width="4.77734375" style="77" customWidth="1"/>
    <col min="3085" max="3085" width="7.77734375" style="77" customWidth="1"/>
    <col min="3086" max="3086" width="9.44140625" style="77" customWidth="1"/>
    <col min="3087" max="3087" width="10.77734375" style="77" bestFit="1" customWidth="1"/>
    <col min="3088" max="3088" width="10.77734375" style="77" customWidth="1"/>
    <col min="3089" max="3089" width="11.44140625" style="77" customWidth="1"/>
    <col min="3090" max="3090" width="5.77734375" style="77" customWidth="1"/>
    <col min="3091" max="3091" width="7" style="77" customWidth="1"/>
    <col min="3092" max="3092" width="10.77734375" style="77" bestFit="1" customWidth="1"/>
    <col min="3093" max="3094" width="9.21875" style="77"/>
    <col min="3095" max="3095" width="10.77734375" style="77" bestFit="1" customWidth="1"/>
    <col min="3096" max="3332" width="9.21875" style="77"/>
    <col min="3333" max="3333" width="3.77734375" style="77" customWidth="1"/>
    <col min="3334" max="3334" width="23.21875" style="77" customWidth="1"/>
    <col min="3335" max="3335" width="5.5546875" style="77" customWidth="1"/>
    <col min="3336" max="3336" width="5.77734375" style="77" customWidth="1"/>
    <col min="3337" max="3337" width="7.21875" style="77" customWidth="1"/>
    <col min="3338" max="3338" width="6" style="77" customWidth="1"/>
    <col min="3339" max="3339" width="4" style="77" customWidth="1"/>
    <col min="3340" max="3340" width="4.77734375" style="77" customWidth="1"/>
    <col min="3341" max="3341" width="7.77734375" style="77" customWidth="1"/>
    <col min="3342" max="3342" width="9.44140625" style="77" customWidth="1"/>
    <col min="3343" max="3343" width="10.77734375" style="77" bestFit="1" customWidth="1"/>
    <col min="3344" max="3344" width="10.77734375" style="77" customWidth="1"/>
    <col min="3345" max="3345" width="11.44140625" style="77" customWidth="1"/>
    <col min="3346" max="3346" width="5.77734375" style="77" customWidth="1"/>
    <col min="3347" max="3347" width="7" style="77" customWidth="1"/>
    <col min="3348" max="3348" width="10.77734375" style="77" bestFit="1" customWidth="1"/>
    <col min="3349" max="3350" width="9.21875" style="77"/>
    <col min="3351" max="3351" width="10.77734375" style="77" bestFit="1" customWidth="1"/>
    <col min="3352" max="3588" width="9.21875" style="77"/>
    <col min="3589" max="3589" width="3.77734375" style="77" customWidth="1"/>
    <col min="3590" max="3590" width="23.21875" style="77" customWidth="1"/>
    <col min="3591" max="3591" width="5.5546875" style="77" customWidth="1"/>
    <col min="3592" max="3592" width="5.77734375" style="77" customWidth="1"/>
    <col min="3593" max="3593" width="7.21875" style="77" customWidth="1"/>
    <col min="3594" max="3594" width="6" style="77" customWidth="1"/>
    <col min="3595" max="3595" width="4" style="77" customWidth="1"/>
    <col min="3596" max="3596" width="4.77734375" style="77" customWidth="1"/>
    <col min="3597" max="3597" width="7.77734375" style="77" customWidth="1"/>
    <col min="3598" max="3598" width="9.44140625" style="77" customWidth="1"/>
    <col min="3599" max="3599" width="10.77734375" style="77" bestFit="1" customWidth="1"/>
    <col min="3600" max="3600" width="10.77734375" style="77" customWidth="1"/>
    <col min="3601" max="3601" width="11.44140625" style="77" customWidth="1"/>
    <col min="3602" max="3602" width="5.77734375" style="77" customWidth="1"/>
    <col min="3603" max="3603" width="7" style="77" customWidth="1"/>
    <col min="3604" max="3604" width="10.77734375" style="77" bestFit="1" customWidth="1"/>
    <col min="3605" max="3606" width="9.21875" style="77"/>
    <col min="3607" max="3607" width="10.77734375" style="77" bestFit="1" customWidth="1"/>
    <col min="3608" max="3844" width="9.21875" style="77"/>
    <col min="3845" max="3845" width="3.77734375" style="77" customWidth="1"/>
    <col min="3846" max="3846" width="23.21875" style="77" customWidth="1"/>
    <col min="3847" max="3847" width="5.5546875" style="77" customWidth="1"/>
    <col min="3848" max="3848" width="5.77734375" style="77" customWidth="1"/>
    <col min="3849" max="3849" width="7.21875" style="77" customWidth="1"/>
    <col min="3850" max="3850" width="6" style="77" customWidth="1"/>
    <col min="3851" max="3851" width="4" style="77" customWidth="1"/>
    <col min="3852" max="3852" width="4.77734375" style="77" customWidth="1"/>
    <col min="3853" max="3853" width="7.77734375" style="77" customWidth="1"/>
    <col min="3854" max="3854" width="9.44140625" style="77" customWidth="1"/>
    <col min="3855" max="3855" width="10.77734375" style="77" bestFit="1" customWidth="1"/>
    <col min="3856" max="3856" width="10.77734375" style="77" customWidth="1"/>
    <col min="3857" max="3857" width="11.44140625" style="77" customWidth="1"/>
    <col min="3858" max="3858" width="5.77734375" style="77" customWidth="1"/>
    <col min="3859" max="3859" width="7" style="77" customWidth="1"/>
    <col min="3860" max="3860" width="10.77734375" style="77" bestFit="1" customWidth="1"/>
    <col min="3861" max="3862" width="9.21875" style="77"/>
    <col min="3863" max="3863" width="10.77734375" style="77" bestFit="1" customWidth="1"/>
    <col min="3864" max="4100" width="9.21875" style="77"/>
    <col min="4101" max="4101" width="3.77734375" style="77" customWidth="1"/>
    <col min="4102" max="4102" width="23.21875" style="77" customWidth="1"/>
    <col min="4103" max="4103" width="5.5546875" style="77" customWidth="1"/>
    <col min="4104" max="4104" width="5.77734375" style="77" customWidth="1"/>
    <col min="4105" max="4105" width="7.21875" style="77" customWidth="1"/>
    <col min="4106" max="4106" width="6" style="77" customWidth="1"/>
    <col min="4107" max="4107" width="4" style="77" customWidth="1"/>
    <col min="4108" max="4108" width="4.77734375" style="77" customWidth="1"/>
    <col min="4109" max="4109" width="7.77734375" style="77" customWidth="1"/>
    <col min="4110" max="4110" width="9.44140625" style="77" customWidth="1"/>
    <col min="4111" max="4111" width="10.77734375" style="77" bestFit="1" customWidth="1"/>
    <col min="4112" max="4112" width="10.77734375" style="77" customWidth="1"/>
    <col min="4113" max="4113" width="11.44140625" style="77" customWidth="1"/>
    <col min="4114" max="4114" width="5.77734375" style="77" customWidth="1"/>
    <col min="4115" max="4115" width="7" style="77" customWidth="1"/>
    <col min="4116" max="4116" width="10.77734375" style="77" bestFit="1" customWidth="1"/>
    <col min="4117" max="4118" width="9.21875" style="77"/>
    <col min="4119" max="4119" width="10.77734375" style="77" bestFit="1" customWidth="1"/>
    <col min="4120" max="4356" width="9.21875" style="77"/>
    <col min="4357" max="4357" width="3.77734375" style="77" customWidth="1"/>
    <col min="4358" max="4358" width="23.21875" style="77" customWidth="1"/>
    <col min="4359" max="4359" width="5.5546875" style="77" customWidth="1"/>
    <col min="4360" max="4360" width="5.77734375" style="77" customWidth="1"/>
    <col min="4361" max="4361" width="7.21875" style="77" customWidth="1"/>
    <col min="4362" max="4362" width="6" style="77" customWidth="1"/>
    <col min="4363" max="4363" width="4" style="77" customWidth="1"/>
    <col min="4364" max="4364" width="4.77734375" style="77" customWidth="1"/>
    <col min="4365" max="4365" width="7.77734375" style="77" customWidth="1"/>
    <col min="4366" max="4366" width="9.44140625" style="77" customWidth="1"/>
    <col min="4367" max="4367" width="10.77734375" style="77" bestFit="1" customWidth="1"/>
    <col min="4368" max="4368" width="10.77734375" style="77" customWidth="1"/>
    <col min="4369" max="4369" width="11.44140625" style="77" customWidth="1"/>
    <col min="4370" max="4370" width="5.77734375" style="77" customWidth="1"/>
    <col min="4371" max="4371" width="7" style="77" customWidth="1"/>
    <col min="4372" max="4372" width="10.77734375" style="77" bestFit="1" customWidth="1"/>
    <col min="4373" max="4374" width="9.21875" style="77"/>
    <col min="4375" max="4375" width="10.77734375" style="77" bestFit="1" customWidth="1"/>
    <col min="4376" max="4612" width="9.21875" style="77"/>
    <col min="4613" max="4613" width="3.77734375" style="77" customWidth="1"/>
    <col min="4614" max="4614" width="23.21875" style="77" customWidth="1"/>
    <col min="4615" max="4615" width="5.5546875" style="77" customWidth="1"/>
    <col min="4616" max="4616" width="5.77734375" style="77" customWidth="1"/>
    <col min="4617" max="4617" width="7.21875" style="77" customWidth="1"/>
    <col min="4618" max="4618" width="6" style="77" customWidth="1"/>
    <col min="4619" max="4619" width="4" style="77" customWidth="1"/>
    <col min="4620" max="4620" width="4.77734375" style="77" customWidth="1"/>
    <col min="4621" max="4621" width="7.77734375" style="77" customWidth="1"/>
    <col min="4622" max="4622" width="9.44140625" style="77" customWidth="1"/>
    <col min="4623" max="4623" width="10.77734375" style="77" bestFit="1" customWidth="1"/>
    <col min="4624" max="4624" width="10.77734375" style="77" customWidth="1"/>
    <col min="4625" max="4625" width="11.44140625" style="77" customWidth="1"/>
    <col min="4626" max="4626" width="5.77734375" style="77" customWidth="1"/>
    <col min="4627" max="4627" width="7" style="77" customWidth="1"/>
    <col min="4628" max="4628" width="10.77734375" style="77" bestFit="1" customWidth="1"/>
    <col min="4629" max="4630" width="9.21875" style="77"/>
    <col min="4631" max="4631" width="10.77734375" style="77" bestFit="1" customWidth="1"/>
    <col min="4632" max="4868" width="9.21875" style="77"/>
    <col min="4869" max="4869" width="3.77734375" style="77" customWidth="1"/>
    <col min="4870" max="4870" width="23.21875" style="77" customWidth="1"/>
    <col min="4871" max="4871" width="5.5546875" style="77" customWidth="1"/>
    <col min="4872" max="4872" width="5.77734375" style="77" customWidth="1"/>
    <col min="4873" max="4873" width="7.21875" style="77" customWidth="1"/>
    <col min="4874" max="4874" width="6" style="77" customWidth="1"/>
    <col min="4875" max="4875" width="4" style="77" customWidth="1"/>
    <col min="4876" max="4876" width="4.77734375" style="77" customWidth="1"/>
    <col min="4877" max="4877" width="7.77734375" style="77" customWidth="1"/>
    <col min="4878" max="4878" width="9.44140625" style="77" customWidth="1"/>
    <col min="4879" max="4879" width="10.77734375" style="77" bestFit="1" customWidth="1"/>
    <col min="4880" max="4880" width="10.77734375" style="77" customWidth="1"/>
    <col min="4881" max="4881" width="11.44140625" style="77" customWidth="1"/>
    <col min="4882" max="4882" width="5.77734375" style="77" customWidth="1"/>
    <col min="4883" max="4883" width="7" style="77" customWidth="1"/>
    <col min="4884" max="4884" width="10.77734375" style="77" bestFit="1" customWidth="1"/>
    <col min="4885" max="4886" width="9.21875" style="77"/>
    <col min="4887" max="4887" width="10.77734375" style="77" bestFit="1" customWidth="1"/>
    <col min="4888" max="5124" width="9.21875" style="77"/>
    <col min="5125" max="5125" width="3.77734375" style="77" customWidth="1"/>
    <col min="5126" max="5126" width="23.21875" style="77" customWidth="1"/>
    <col min="5127" max="5127" width="5.5546875" style="77" customWidth="1"/>
    <col min="5128" max="5128" width="5.77734375" style="77" customWidth="1"/>
    <col min="5129" max="5129" width="7.21875" style="77" customWidth="1"/>
    <col min="5130" max="5130" width="6" style="77" customWidth="1"/>
    <col min="5131" max="5131" width="4" style="77" customWidth="1"/>
    <col min="5132" max="5132" width="4.77734375" style="77" customWidth="1"/>
    <col min="5133" max="5133" width="7.77734375" style="77" customWidth="1"/>
    <col min="5134" max="5134" width="9.44140625" style="77" customWidth="1"/>
    <col min="5135" max="5135" width="10.77734375" style="77" bestFit="1" customWidth="1"/>
    <col min="5136" max="5136" width="10.77734375" style="77" customWidth="1"/>
    <col min="5137" max="5137" width="11.44140625" style="77" customWidth="1"/>
    <col min="5138" max="5138" width="5.77734375" style="77" customWidth="1"/>
    <col min="5139" max="5139" width="7" style="77" customWidth="1"/>
    <col min="5140" max="5140" width="10.77734375" style="77" bestFit="1" customWidth="1"/>
    <col min="5141" max="5142" width="9.21875" style="77"/>
    <col min="5143" max="5143" width="10.77734375" style="77" bestFit="1" customWidth="1"/>
    <col min="5144" max="5380" width="9.21875" style="77"/>
    <col min="5381" max="5381" width="3.77734375" style="77" customWidth="1"/>
    <col min="5382" max="5382" width="23.21875" style="77" customWidth="1"/>
    <col min="5383" max="5383" width="5.5546875" style="77" customWidth="1"/>
    <col min="5384" max="5384" width="5.77734375" style="77" customWidth="1"/>
    <col min="5385" max="5385" width="7.21875" style="77" customWidth="1"/>
    <col min="5386" max="5386" width="6" style="77" customWidth="1"/>
    <col min="5387" max="5387" width="4" style="77" customWidth="1"/>
    <col min="5388" max="5388" width="4.77734375" style="77" customWidth="1"/>
    <col min="5389" max="5389" width="7.77734375" style="77" customWidth="1"/>
    <col min="5390" max="5390" width="9.44140625" style="77" customWidth="1"/>
    <col min="5391" max="5391" width="10.77734375" style="77" bestFit="1" customWidth="1"/>
    <col min="5392" max="5392" width="10.77734375" style="77" customWidth="1"/>
    <col min="5393" max="5393" width="11.44140625" style="77" customWidth="1"/>
    <col min="5394" max="5394" width="5.77734375" style="77" customWidth="1"/>
    <col min="5395" max="5395" width="7" style="77" customWidth="1"/>
    <col min="5396" max="5396" width="10.77734375" style="77" bestFit="1" customWidth="1"/>
    <col min="5397" max="5398" width="9.21875" style="77"/>
    <col min="5399" max="5399" width="10.77734375" style="77" bestFit="1" customWidth="1"/>
    <col min="5400" max="5636" width="9.21875" style="77"/>
    <col min="5637" max="5637" width="3.77734375" style="77" customWidth="1"/>
    <col min="5638" max="5638" width="23.21875" style="77" customWidth="1"/>
    <col min="5639" max="5639" width="5.5546875" style="77" customWidth="1"/>
    <col min="5640" max="5640" width="5.77734375" style="77" customWidth="1"/>
    <col min="5641" max="5641" width="7.21875" style="77" customWidth="1"/>
    <col min="5642" max="5642" width="6" style="77" customWidth="1"/>
    <col min="5643" max="5643" width="4" style="77" customWidth="1"/>
    <col min="5644" max="5644" width="4.77734375" style="77" customWidth="1"/>
    <col min="5645" max="5645" width="7.77734375" style="77" customWidth="1"/>
    <col min="5646" max="5646" width="9.44140625" style="77" customWidth="1"/>
    <col min="5647" max="5647" width="10.77734375" style="77" bestFit="1" customWidth="1"/>
    <col min="5648" max="5648" width="10.77734375" style="77" customWidth="1"/>
    <col min="5649" max="5649" width="11.44140625" style="77" customWidth="1"/>
    <col min="5650" max="5650" width="5.77734375" style="77" customWidth="1"/>
    <col min="5651" max="5651" width="7" style="77" customWidth="1"/>
    <col min="5652" max="5652" width="10.77734375" style="77" bestFit="1" customWidth="1"/>
    <col min="5653" max="5654" width="9.21875" style="77"/>
    <col min="5655" max="5655" width="10.77734375" style="77" bestFit="1" customWidth="1"/>
    <col min="5656" max="5892" width="9.21875" style="77"/>
    <col min="5893" max="5893" width="3.77734375" style="77" customWidth="1"/>
    <col min="5894" max="5894" width="23.21875" style="77" customWidth="1"/>
    <col min="5895" max="5895" width="5.5546875" style="77" customWidth="1"/>
    <col min="5896" max="5896" width="5.77734375" style="77" customWidth="1"/>
    <col min="5897" max="5897" width="7.21875" style="77" customWidth="1"/>
    <col min="5898" max="5898" width="6" style="77" customWidth="1"/>
    <col min="5899" max="5899" width="4" style="77" customWidth="1"/>
    <col min="5900" max="5900" width="4.77734375" style="77" customWidth="1"/>
    <col min="5901" max="5901" width="7.77734375" style="77" customWidth="1"/>
    <col min="5902" max="5902" width="9.44140625" style="77" customWidth="1"/>
    <col min="5903" max="5903" width="10.77734375" style="77" bestFit="1" customWidth="1"/>
    <col min="5904" max="5904" width="10.77734375" style="77" customWidth="1"/>
    <col min="5905" max="5905" width="11.44140625" style="77" customWidth="1"/>
    <col min="5906" max="5906" width="5.77734375" style="77" customWidth="1"/>
    <col min="5907" max="5907" width="7" style="77" customWidth="1"/>
    <col min="5908" max="5908" width="10.77734375" style="77" bestFit="1" customWidth="1"/>
    <col min="5909" max="5910" width="9.21875" style="77"/>
    <col min="5911" max="5911" width="10.77734375" style="77" bestFit="1" customWidth="1"/>
    <col min="5912" max="6148" width="9.21875" style="77"/>
    <col min="6149" max="6149" width="3.77734375" style="77" customWidth="1"/>
    <col min="6150" max="6150" width="23.21875" style="77" customWidth="1"/>
    <col min="6151" max="6151" width="5.5546875" style="77" customWidth="1"/>
    <col min="6152" max="6152" width="5.77734375" style="77" customWidth="1"/>
    <col min="6153" max="6153" width="7.21875" style="77" customWidth="1"/>
    <col min="6154" max="6154" width="6" style="77" customWidth="1"/>
    <col min="6155" max="6155" width="4" style="77" customWidth="1"/>
    <col min="6156" max="6156" width="4.77734375" style="77" customWidth="1"/>
    <col min="6157" max="6157" width="7.77734375" style="77" customWidth="1"/>
    <col min="6158" max="6158" width="9.44140625" style="77" customWidth="1"/>
    <col min="6159" max="6159" width="10.77734375" style="77" bestFit="1" customWidth="1"/>
    <col min="6160" max="6160" width="10.77734375" style="77" customWidth="1"/>
    <col min="6161" max="6161" width="11.44140625" style="77" customWidth="1"/>
    <col min="6162" max="6162" width="5.77734375" style="77" customWidth="1"/>
    <col min="6163" max="6163" width="7" style="77" customWidth="1"/>
    <col min="6164" max="6164" width="10.77734375" style="77" bestFit="1" customWidth="1"/>
    <col min="6165" max="6166" width="9.21875" style="77"/>
    <col min="6167" max="6167" width="10.77734375" style="77" bestFit="1" customWidth="1"/>
    <col min="6168" max="6404" width="9.21875" style="77"/>
    <col min="6405" max="6405" width="3.77734375" style="77" customWidth="1"/>
    <col min="6406" max="6406" width="23.21875" style="77" customWidth="1"/>
    <col min="6407" max="6407" width="5.5546875" style="77" customWidth="1"/>
    <col min="6408" max="6408" width="5.77734375" style="77" customWidth="1"/>
    <col min="6409" max="6409" width="7.21875" style="77" customWidth="1"/>
    <col min="6410" max="6410" width="6" style="77" customWidth="1"/>
    <col min="6411" max="6411" width="4" style="77" customWidth="1"/>
    <col min="6412" max="6412" width="4.77734375" style="77" customWidth="1"/>
    <col min="6413" max="6413" width="7.77734375" style="77" customWidth="1"/>
    <col min="6414" max="6414" width="9.44140625" style="77" customWidth="1"/>
    <col min="6415" max="6415" width="10.77734375" style="77" bestFit="1" customWidth="1"/>
    <col min="6416" max="6416" width="10.77734375" style="77" customWidth="1"/>
    <col min="6417" max="6417" width="11.44140625" style="77" customWidth="1"/>
    <col min="6418" max="6418" width="5.77734375" style="77" customWidth="1"/>
    <col min="6419" max="6419" width="7" style="77" customWidth="1"/>
    <col min="6420" max="6420" width="10.77734375" style="77" bestFit="1" customWidth="1"/>
    <col min="6421" max="6422" width="9.21875" style="77"/>
    <col min="6423" max="6423" width="10.77734375" style="77" bestFit="1" customWidth="1"/>
    <col min="6424" max="6660" width="9.21875" style="77"/>
    <col min="6661" max="6661" width="3.77734375" style="77" customWidth="1"/>
    <col min="6662" max="6662" width="23.21875" style="77" customWidth="1"/>
    <col min="6663" max="6663" width="5.5546875" style="77" customWidth="1"/>
    <col min="6664" max="6664" width="5.77734375" style="77" customWidth="1"/>
    <col min="6665" max="6665" width="7.21875" style="77" customWidth="1"/>
    <col min="6666" max="6666" width="6" style="77" customWidth="1"/>
    <col min="6667" max="6667" width="4" style="77" customWidth="1"/>
    <col min="6668" max="6668" width="4.77734375" style="77" customWidth="1"/>
    <col min="6669" max="6669" width="7.77734375" style="77" customWidth="1"/>
    <col min="6670" max="6670" width="9.44140625" style="77" customWidth="1"/>
    <col min="6671" max="6671" width="10.77734375" style="77" bestFit="1" customWidth="1"/>
    <col min="6672" max="6672" width="10.77734375" style="77" customWidth="1"/>
    <col min="6673" max="6673" width="11.44140625" style="77" customWidth="1"/>
    <col min="6674" max="6674" width="5.77734375" style="77" customWidth="1"/>
    <col min="6675" max="6675" width="7" style="77" customWidth="1"/>
    <col min="6676" max="6676" width="10.77734375" style="77" bestFit="1" customWidth="1"/>
    <col min="6677" max="6678" width="9.21875" style="77"/>
    <col min="6679" max="6679" width="10.77734375" style="77" bestFit="1" customWidth="1"/>
    <col min="6680" max="6916" width="9.21875" style="77"/>
    <col min="6917" max="6917" width="3.77734375" style="77" customWidth="1"/>
    <col min="6918" max="6918" width="23.21875" style="77" customWidth="1"/>
    <col min="6919" max="6919" width="5.5546875" style="77" customWidth="1"/>
    <col min="6920" max="6920" width="5.77734375" style="77" customWidth="1"/>
    <col min="6921" max="6921" width="7.21875" style="77" customWidth="1"/>
    <col min="6922" max="6922" width="6" style="77" customWidth="1"/>
    <col min="6923" max="6923" width="4" style="77" customWidth="1"/>
    <col min="6924" max="6924" width="4.77734375" style="77" customWidth="1"/>
    <col min="6925" max="6925" width="7.77734375" style="77" customWidth="1"/>
    <col min="6926" max="6926" width="9.44140625" style="77" customWidth="1"/>
    <col min="6927" max="6927" width="10.77734375" style="77" bestFit="1" customWidth="1"/>
    <col min="6928" max="6928" width="10.77734375" style="77" customWidth="1"/>
    <col min="6929" max="6929" width="11.44140625" style="77" customWidth="1"/>
    <col min="6930" max="6930" width="5.77734375" style="77" customWidth="1"/>
    <col min="6931" max="6931" width="7" style="77" customWidth="1"/>
    <col min="6932" max="6932" width="10.77734375" style="77" bestFit="1" customWidth="1"/>
    <col min="6933" max="6934" width="9.21875" style="77"/>
    <col min="6935" max="6935" width="10.77734375" style="77" bestFit="1" customWidth="1"/>
    <col min="6936" max="7172" width="9.21875" style="77"/>
    <col min="7173" max="7173" width="3.77734375" style="77" customWidth="1"/>
    <col min="7174" max="7174" width="23.21875" style="77" customWidth="1"/>
    <col min="7175" max="7175" width="5.5546875" style="77" customWidth="1"/>
    <col min="7176" max="7176" width="5.77734375" style="77" customWidth="1"/>
    <col min="7177" max="7177" width="7.21875" style="77" customWidth="1"/>
    <col min="7178" max="7178" width="6" style="77" customWidth="1"/>
    <col min="7179" max="7179" width="4" style="77" customWidth="1"/>
    <col min="7180" max="7180" width="4.77734375" style="77" customWidth="1"/>
    <col min="7181" max="7181" width="7.77734375" style="77" customWidth="1"/>
    <col min="7182" max="7182" width="9.44140625" style="77" customWidth="1"/>
    <col min="7183" max="7183" width="10.77734375" style="77" bestFit="1" customWidth="1"/>
    <col min="7184" max="7184" width="10.77734375" style="77" customWidth="1"/>
    <col min="7185" max="7185" width="11.44140625" style="77" customWidth="1"/>
    <col min="7186" max="7186" width="5.77734375" style="77" customWidth="1"/>
    <col min="7187" max="7187" width="7" style="77" customWidth="1"/>
    <col min="7188" max="7188" width="10.77734375" style="77" bestFit="1" customWidth="1"/>
    <col min="7189" max="7190" width="9.21875" style="77"/>
    <col min="7191" max="7191" width="10.77734375" style="77" bestFit="1" customWidth="1"/>
    <col min="7192" max="7428" width="9.21875" style="77"/>
    <col min="7429" max="7429" width="3.77734375" style="77" customWidth="1"/>
    <col min="7430" max="7430" width="23.21875" style="77" customWidth="1"/>
    <col min="7431" max="7431" width="5.5546875" style="77" customWidth="1"/>
    <col min="7432" max="7432" width="5.77734375" style="77" customWidth="1"/>
    <col min="7433" max="7433" width="7.21875" style="77" customWidth="1"/>
    <col min="7434" max="7434" width="6" style="77" customWidth="1"/>
    <col min="7435" max="7435" width="4" style="77" customWidth="1"/>
    <col min="7436" max="7436" width="4.77734375" style="77" customWidth="1"/>
    <col min="7437" max="7437" width="7.77734375" style="77" customWidth="1"/>
    <col min="7438" max="7438" width="9.44140625" style="77" customWidth="1"/>
    <col min="7439" max="7439" width="10.77734375" style="77" bestFit="1" customWidth="1"/>
    <col min="7440" max="7440" width="10.77734375" style="77" customWidth="1"/>
    <col min="7441" max="7441" width="11.44140625" style="77" customWidth="1"/>
    <col min="7442" max="7442" width="5.77734375" style="77" customWidth="1"/>
    <col min="7443" max="7443" width="7" style="77" customWidth="1"/>
    <col min="7444" max="7444" width="10.77734375" style="77" bestFit="1" customWidth="1"/>
    <col min="7445" max="7446" width="9.21875" style="77"/>
    <col min="7447" max="7447" width="10.77734375" style="77" bestFit="1" customWidth="1"/>
    <col min="7448" max="7684" width="9.21875" style="77"/>
    <col min="7685" max="7685" width="3.77734375" style="77" customWidth="1"/>
    <col min="7686" max="7686" width="23.21875" style="77" customWidth="1"/>
    <col min="7687" max="7687" width="5.5546875" style="77" customWidth="1"/>
    <col min="7688" max="7688" width="5.77734375" style="77" customWidth="1"/>
    <col min="7689" max="7689" width="7.21875" style="77" customWidth="1"/>
    <col min="7690" max="7690" width="6" style="77" customWidth="1"/>
    <col min="7691" max="7691" width="4" style="77" customWidth="1"/>
    <col min="7692" max="7692" width="4.77734375" style="77" customWidth="1"/>
    <col min="7693" max="7693" width="7.77734375" style="77" customWidth="1"/>
    <col min="7694" max="7694" width="9.44140625" style="77" customWidth="1"/>
    <col min="7695" max="7695" width="10.77734375" style="77" bestFit="1" customWidth="1"/>
    <col min="7696" max="7696" width="10.77734375" style="77" customWidth="1"/>
    <col min="7697" max="7697" width="11.44140625" style="77" customWidth="1"/>
    <col min="7698" max="7698" width="5.77734375" style="77" customWidth="1"/>
    <col min="7699" max="7699" width="7" style="77" customWidth="1"/>
    <col min="7700" max="7700" width="10.77734375" style="77" bestFit="1" customWidth="1"/>
    <col min="7701" max="7702" width="9.21875" style="77"/>
    <col min="7703" max="7703" width="10.77734375" style="77" bestFit="1" customWidth="1"/>
    <col min="7704" max="7940" width="9.21875" style="77"/>
    <col min="7941" max="7941" width="3.77734375" style="77" customWidth="1"/>
    <col min="7942" max="7942" width="23.21875" style="77" customWidth="1"/>
    <col min="7943" max="7943" width="5.5546875" style="77" customWidth="1"/>
    <col min="7944" max="7944" width="5.77734375" style="77" customWidth="1"/>
    <col min="7945" max="7945" width="7.21875" style="77" customWidth="1"/>
    <col min="7946" max="7946" width="6" style="77" customWidth="1"/>
    <col min="7947" max="7947" width="4" style="77" customWidth="1"/>
    <col min="7948" max="7948" width="4.77734375" style="77" customWidth="1"/>
    <col min="7949" max="7949" width="7.77734375" style="77" customWidth="1"/>
    <col min="7950" max="7950" width="9.44140625" style="77" customWidth="1"/>
    <col min="7951" max="7951" width="10.77734375" style="77" bestFit="1" customWidth="1"/>
    <col min="7952" max="7952" width="10.77734375" style="77" customWidth="1"/>
    <col min="7953" max="7953" width="11.44140625" style="77" customWidth="1"/>
    <col min="7954" max="7954" width="5.77734375" style="77" customWidth="1"/>
    <col min="7955" max="7955" width="7" style="77" customWidth="1"/>
    <col min="7956" max="7956" width="10.77734375" style="77" bestFit="1" customWidth="1"/>
    <col min="7957" max="7958" width="9.21875" style="77"/>
    <col min="7959" max="7959" width="10.77734375" style="77" bestFit="1" customWidth="1"/>
    <col min="7960" max="8196" width="9.21875" style="77"/>
    <col min="8197" max="8197" width="3.77734375" style="77" customWidth="1"/>
    <col min="8198" max="8198" width="23.21875" style="77" customWidth="1"/>
    <col min="8199" max="8199" width="5.5546875" style="77" customWidth="1"/>
    <col min="8200" max="8200" width="5.77734375" style="77" customWidth="1"/>
    <col min="8201" max="8201" width="7.21875" style="77" customWidth="1"/>
    <col min="8202" max="8202" width="6" style="77" customWidth="1"/>
    <col min="8203" max="8203" width="4" style="77" customWidth="1"/>
    <col min="8204" max="8204" width="4.77734375" style="77" customWidth="1"/>
    <col min="8205" max="8205" width="7.77734375" style="77" customWidth="1"/>
    <col min="8206" max="8206" width="9.44140625" style="77" customWidth="1"/>
    <col min="8207" max="8207" width="10.77734375" style="77" bestFit="1" customWidth="1"/>
    <col min="8208" max="8208" width="10.77734375" style="77" customWidth="1"/>
    <col min="8209" max="8209" width="11.44140625" style="77" customWidth="1"/>
    <col min="8210" max="8210" width="5.77734375" style="77" customWidth="1"/>
    <col min="8211" max="8211" width="7" style="77" customWidth="1"/>
    <col min="8212" max="8212" width="10.77734375" style="77" bestFit="1" customWidth="1"/>
    <col min="8213" max="8214" width="9.21875" style="77"/>
    <col min="8215" max="8215" width="10.77734375" style="77" bestFit="1" customWidth="1"/>
    <col min="8216" max="8452" width="9.21875" style="77"/>
    <col min="8453" max="8453" width="3.77734375" style="77" customWidth="1"/>
    <col min="8454" max="8454" width="23.21875" style="77" customWidth="1"/>
    <col min="8455" max="8455" width="5.5546875" style="77" customWidth="1"/>
    <col min="8456" max="8456" width="5.77734375" style="77" customWidth="1"/>
    <col min="8457" max="8457" width="7.21875" style="77" customWidth="1"/>
    <col min="8458" max="8458" width="6" style="77" customWidth="1"/>
    <col min="8459" max="8459" width="4" style="77" customWidth="1"/>
    <col min="8460" max="8460" width="4.77734375" style="77" customWidth="1"/>
    <col min="8461" max="8461" width="7.77734375" style="77" customWidth="1"/>
    <col min="8462" max="8462" width="9.44140625" style="77" customWidth="1"/>
    <col min="8463" max="8463" width="10.77734375" style="77" bestFit="1" customWidth="1"/>
    <col min="8464" max="8464" width="10.77734375" style="77" customWidth="1"/>
    <col min="8465" max="8465" width="11.44140625" style="77" customWidth="1"/>
    <col min="8466" max="8466" width="5.77734375" style="77" customWidth="1"/>
    <col min="8467" max="8467" width="7" style="77" customWidth="1"/>
    <col min="8468" max="8468" width="10.77734375" style="77" bestFit="1" customWidth="1"/>
    <col min="8469" max="8470" width="9.21875" style="77"/>
    <col min="8471" max="8471" width="10.77734375" style="77" bestFit="1" customWidth="1"/>
    <col min="8472" max="8708" width="9.21875" style="77"/>
    <col min="8709" max="8709" width="3.77734375" style="77" customWidth="1"/>
    <col min="8710" max="8710" width="23.21875" style="77" customWidth="1"/>
    <col min="8711" max="8711" width="5.5546875" style="77" customWidth="1"/>
    <col min="8712" max="8712" width="5.77734375" style="77" customWidth="1"/>
    <col min="8713" max="8713" width="7.21875" style="77" customWidth="1"/>
    <col min="8714" max="8714" width="6" style="77" customWidth="1"/>
    <col min="8715" max="8715" width="4" style="77" customWidth="1"/>
    <col min="8716" max="8716" width="4.77734375" style="77" customWidth="1"/>
    <col min="8717" max="8717" width="7.77734375" style="77" customWidth="1"/>
    <col min="8718" max="8718" width="9.44140625" style="77" customWidth="1"/>
    <col min="8719" max="8719" width="10.77734375" style="77" bestFit="1" customWidth="1"/>
    <col min="8720" max="8720" width="10.77734375" style="77" customWidth="1"/>
    <col min="8721" max="8721" width="11.44140625" style="77" customWidth="1"/>
    <col min="8722" max="8722" width="5.77734375" style="77" customWidth="1"/>
    <col min="8723" max="8723" width="7" style="77" customWidth="1"/>
    <col min="8724" max="8724" width="10.77734375" style="77" bestFit="1" customWidth="1"/>
    <col min="8725" max="8726" width="9.21875" style="77"/>
    <col min="8727" max="8727" width="10.77734375" style="77" bestFit="1" customWidth="1"/>
    <col min="8728" max="8964" width="9.21875" style="77"/>
    <col min="8965" max="8965" width="3.77734375" style="77" customWidth="1"/>
    <col min="8966" max="8966" width="23.21875" style="77" customWidth="1"/>
    <col min="8967" max="8967" width="5.5546875" style="77" customWidth="1"/>
    <col min="8968" max="8968" width="5.77734375" style="77" customWidth="1"/>
    <col min="8969" max="8969" width="7.21875" style="77" customWidth="1"/>
    <col min="8970" max="8970" width="6" style="77" customWidth="1"/>
    <col min="8971" max="8971" width="4" style="77" customWidth="1"/>
    <col min="8972" max="8972" width="4.77734375" style="77" customWidth="1"/>
    <col min="8973" max="8973" width="7.77734375" style="77" customWidth="1"/>
    <col min="8974" max="8974" width="9.44140625" style="77" customWidth="1"/>
    <col min="8975" max="8975" width="10.77734375" style="77" bestFit="1" customWidth="1"/>
    <col min="8976" max="8976" width="10.77734375" style="77" customWidth="1"/>
    <col min="8977" max="8977" width="11.44140625" style="77" customWidth="1"/>
    <col min="8978" max="8978" width="5.77734375" style="77" customWidth="1"/>
    <col min="8979" max="8979" width="7" style="77" customWidth="1"/>
    <col min="8980" max="8980" width="10.77734375" style="77" bestFit="1" customWidth="1"/>
    <col min="8981" max="8982" width="9.21875" style="77"/>
    <col min="8983" max="8983" width="10.77734375" style="77" bestFit="1" customWidth="1"/>
    <col min="8984" max="9220" width="9.21875" style="77"/>
    <col min="9221" max="9221" width="3.77734375" style="77" customWidth="1"/>
    <col min="9222" max="9222" width="23.21875" style="77" customWidth="1"/>
    <col min="9223" max="9223" width="5.5546875" style="77" customWidth="1"/>
    <col min="9224" max="9224" width="5.77734375" style="77" customWidth="1"/>
    <col min="9225" max="9225" width="7.21875" style="77" customWidth="1"/>
    <col min="9226" max="9226" width="6" style="77" customWidth="1"/>
    <col min="9227" max="9227" width="4" style="77" customWidth="1"/>
    <col min="9228" max="9228" width="4.77734375" style="77" customWidth="1"/>
    <col min="9229" max="9229" width="7.77734375" style="77" customWidth="1"/>
    <col min="9230" max="9230" width="9.44140625" style="77" customWidth="1"/>
    <col min="9231" max="9231" width="10.77734375" style="77" bestFit="1" customWidth="1"/>
    <col min="9232" max="9232" width="10.77734375" style="77" customWidth="1"/>
    <col min="9233" max="9233" width="11.44140625" style="77" customWidth="1"/>
    <col min="9234" max="9234" width="5.77734375" style="77" customWidth="1"/>
    <col min="9235" max="9235" width="7" style="77" customWidth="1"/>
    <col min="9236" max="9236" width="10.77734375" style="77" bestFit="1" customWidth="1"/>
    <col min="9237" max="9238" width="9.21875" style="77"/>
    <col min="9239" max="9239" width="10.77734375" style="77" bestFit="1" customWidth="1"/>
    <col min="9240" max="9476" width="9.21875" style="77"/>
    <col min="9477" max="9477" width="3.77734375" style="77" customWidth="1"/>
    <col min="9478" max="9478" width="23.21875" style="77" customWidth="1"/>
    <col min="9479" max="9479" width="5.5546875" style="77" customWidth="1"/>
    <col min="9480" max="9480" width="5.77734375" style="77" customWidth="1"/>
    <col min="9481" max="9481" width="7.21875" style="77" customWidth="1"/>
    <col min="9482" max="9482" width="6" style="77" customWidth="1"/>
    <col min="9483" max="9483" width="4" style="77" customWidth="1"/>
    <col min="9484" max="9484" width="4.77734375" style="77" customWidth="1"/>
    <col min="9485" max="9485" width="7.77734375" style="77" customWidth="1"/>
    <col min="9486" max="9486" width="9.44140625" style="77" customWidth="1"/>
    <col min="9487" max="9487" width="10.77734375" style="77" bestFit="1" customWidth="1"/>
    <col min="9488" max="9488" width="10.77734375" style="77" customWidth="1"/>
    <col min="9489" max="9489" width="11.44140625" style="77" customWidth="1"/>
    <col min="9490" max="9490" width="5.77734375" style="77" customWidth="1"/>
    <col min="9491" max="9491" width="7" style="77" customWidth="1"/>
    <col min="9492" max="9492" width="10.77734375" style="77" bestFit="1" customWidth="1"/>
    <col min="9493" max="9494" width="9.21875" style="77"/>
    <col min="9495" max="9495" width="10.77734375" style="77" bestFit="1" customWidth="1"/>
    <col min="9496" max="9732" width="9.21875" style="77"/>
    <col min="9733" max="9733" width="3.77734375" style="77" customWidth="1"/>
    <col min="9734" max="9734" width="23.21875" style="77" customWidth="1"/>
    <col min="9735" max="9735" width="5.5546875" style="77" customWidth="1"/>
    <col min="9736" max="9736" width="5.77734375" style="77" customWidth="1"/>
    <col min="9737" max="9737" width="7.21875" style="77" customWidth="1"/>
    <col min="9738" max="9738" width="6" style="77" customWidth="1"/>
    <col min="9739" max="9739" width="4" style="77" customWidth="1"/>
    <col min="9740" max="9740" width="4.77734375" style="77" customWidth="1"/>
    <col min="9741" max="9741" width="7.77734375" style="77" customWidth="1"/>
    <col min="9742" max="9742" width="9.44140625" style="77" customWidth="1"/>
    <col min="9743" max="9743" width="10.77734375" style="77" bestFit="1" customWidth="1"/>
    <col min="9744" max="9744" width="10.77734375" style="77" customWidth="1"/>
    <col min="9745" max="9745" width="11.44140625" style="77" customWidth="1"/>
    <col min="9746" max="9746" width="5.77734375" style="77" customWidth="1"/>
    <col min="9747" max="9747" width="7" style="77" customWidth="1"/>
    <col min="9748" max="9748" width="10.77734375" style="77" bestFit="1" customWidth="1"/>
    <col min="9749" max="9750" width="9.21875" style="77"/>
    <col min="9751" max="9751" width="10.77734375" style="77" bestFit="1" customWidth="1"/>
    <col min="9752" max="9988" width="9.21875" style="77"/>
    <col min="9989" max="9989" width="3.77734375" style="77" customWidth="1"/>
    <col min="9990" max="9990" width="23.21875" style="77" customWidth="1"/>
    <col min="9991" max="9991" width="5.5546875" style="77" customWidth="1"/>
    <col min="9992" max="9992" width="5.77734375" style="77" customWidth="1"/>
    <col min="9993" max="9993" width="7.21875" style="77" customWidth="1"/>
    <col min="9994" max="9994" width="6" style="77" customWidth="1"/>
    <col min="9995" max="9995" width="4" style="77" customWidth="1"/>
    <col min="9996" max="9996" width="4.77734375" style="77" customWidth="1"/>
    <col min="9997" max="9997" width="7.77734375" style="77" customWidth="1"/>
    <col min="9998" max="9998" width="9.44140625" style="77" customWidth="1"/>
    <col min="9999" max="9999" width="10.77734375" style="77" bestFit="1" customWidth="1"/>
    <col min="10000" max="10000" width="10.77734375" style="77" customWidth="1"/>
    <col min="10001" max="10001" width="11.44140625" style="77" customWidth="1"/>
    <col min="10002" max="10002" width="5.77734375" style="77" customWidth="1"/>
    <col min="10003" max="10003" width="7" style="77" customWidth="1"/>
    <col min="10004" max="10004" width="10.77734375" style="77" bestFit="1" customWidth="1"/>
    <col min="10005" max="10006" width="9.21875" style="77"/>
    <col min="10007" max="10007" width="10.77734375" style="77" bestFit="1" customWidth="1"/>
    <col min="10008" max="10244" width="9.21875" style="77"/>
    <col min="10245" max="10245" width="3.77734375" style="77" customWidth="1"/>
    <col min="10246" max="10246" width="23.21875" style="77" customWidth="1"/>
    <col min="10247" max="10247" width="5.5546875" style="77" customWidth="1"/>
    <col min="10248" max="10248" width="5.77734375" style="77" customWidth="1"/>
    <col min="10249" max="10249" width="7.21875" style="77" customWidth="1"/>
    <col min="10250" max="10250" width="6" style="77" customWidth="1"/>
    <col min="10251" max="10251" width="4" style="77" customWidth="1"/>
    <col min="10252" max="10252" width="4.77734375" style="77" customWidth="1"/>
    <col min="10253" max="10253" width="7.77734375" style="77" customWidth="1"/>
    <col min="10254" max="10254" width="9.44140625" style="77" customWidth="1"/>
    <col min="10255" max="10255" width="10.77734375" style="77" bestFit="1" customWidth="1"/>
    <col min="10256" max="10256" width="10.77734375" style="77" customWidth="1"/>
    <col min="10257" max="10257" width="11.44140625" style="77" customWidth="1"/>
    <col min="10258" max="10258" width="5.77734375" style="77" customWidth="1"/>
    <col min="10259" max="10259" width="7" style="77" customWidth="1"/>
    <col min="10260" max="10260" width="10.77734375" style="77" bestFit="1" customWidth="1"/>
    <col min="10261" max="10262" width="9.21875" style="77"/>
    <col min="10263" max="10263" width="10.77734375" style="77" bestFit="1" customWidth="1"/>
    <col min="10264" max="10500" width="9.21875" style="77"/>
    <col min="10501" max="10501" width="3.77734375" style="77" customWidth="1"/>
    <col min="10502" max="10502" width="23.21875" style="77" customWidth="1"/>
    <col min="10503" max="10503" width="5.5546875" style="77" customWidth="1"/>
    <col min="10504" max="10504" width="5.77734375" style="77" customWidth="1"/>
    <col min="10505" max="10505" width="7.21875" style="77" customWidth="1"/>
    <col min="10506" max="10506" width="6" style="77" customWidth="1"/>
    <col min="10507" max="10507" width="4" style="77" customWidth="1"/>
    <col min="10508" max="10508" width="4.77734375" style="77" customWidth="1"/>
    <col min="10509" max="10509" width="7.77734375" style="77" customWidth="1"/>
    <col min="10510" max="10510" width="9.44140625" style="77" customWidth="1"/>
    <col min="10511" max="10511" width="10.77734375" style="77" bestFit="1" customWidth="1"/>
    <col min="10512" max="10512" width="10.77734375" style="77" customWidth="1"/>
    <col min="10513" max="10513" width="11.44140625" style="77" customWidth="1"/>
    <col min="10514" max="10514" width="5.77734375" style="77" customWidth="1"/>
    <col min="10515" max="10515" width="7" style="77" customWidth="1"/>
    <col min="10516" max="10516" width="10.77734375" style="77" bestFit="1" customWidth="1"/>
    <col min="10517" max="10518" width="9.21875" style="77"/>
    <col min="10519" max="10519" width="10.77734375" style="77" bestFit="1" customWidth="1"/>
    <col min="10520" max="10756" width="9.21875" style="77"/>
    <col min="10757" max="10757" width="3.77734375" style="77" customWidth="1"/>
    <col min="10758" max="10758" width="23.21875" style="77" customWidth="1"/>
    <col min="10759" max="10759" width="5.5546875" style="77" customWidth="1"/>
    <col min="10760" max="10760" width="5.77734375" style="77" customWidth="1"/>
    <col min="10761" max="10761" width="7.21875" style="77" customWidth="1"/>
    <col min="10762" max="10762" width="6" style="77" customWidth="1"/>
    <col min="10763" max="10763" width="4" style="77" customWidth="1"/>
    <col min="10764" max="10764" width="4.77734375" style="77" customWidth="1"/>
    <col min="10765" max="10765" width="7.77734375" style="77" customWidth="1"/>
    <col min="10766" max="10766" width="9.44140625" style="77" customWidth="1"/>
    <col min="10767" max="10767" width="10.77734375" style="77" bestFit="1" customWidth="1"/>
    <col min="10768" max="10768" width="10.77734375" style="77" customWidth="1"/>
    <col min="10769" max="10769" width="11.44140625" style="77" customWidth="1"/>
    <col min="10770" max="10770" width="5.77734375" style="77" customWidth="1"/>
    <col min="10771" max="10771" width="7" style="77" customWidth="1"/>
    <col min="10772" max="10772" width="10.77734375" style="77" bestFit="1" customWidth="1"/>
    <col min="10773" max="10774" width="9.21875" style="77"/>
    <col min="10775" max="10775" width="10.77734375" style="77" bestFit="1" customWidth="1"/>
    <col min="10776" max="11012" width="9.21875" style="77"/>
    <col min="11013" max="11013" width="3.77734375" style="77" customWidth="1"/>
    <col min="11014" max="11014" width="23.21875" style="77" customWidth="1"/>
    <col min="11015" max="11015" width="5.5546875" style="77" customWidth="1"/>
    <col min="11016" max="11016" width="5.77734375" style="77" customWidth="1"/>
    <col min="11017" max="11017" width="7.21875" style="77" customWidth="1"/>
    <col min="11018" max="11018" width="6" style="77" customWidth="1"/>
    <col min="11019" max="11019" width="4" style="77" customWidth="1"/>
    <col min="11020" max="11020" width="4.77734375" style="77" customWidth="1"/>
    <col min="11021" max="11021" width="7.77734375" style="77" customWidth="1"/>
    <col min="11022" max="11022" width="9.44140625" style="77" customWidth="1"/>
    <col min="11023" max="11023" width="10.77734375" style="77" bestFit="1" customWidth="1"/>
    <col min="11024" max="11024" width="10.77734375" style="77" customWidth="1"/>
    <col min="11025" max="11025" width="11.44140625" style="77" customWidth="1"/>
    <col min="11026" max="11026" width="5.77734375" style="77" customWidth="1"/>
    <col min="11027" max="11027" width="7" style="77" customWidth="1"/>
    <col min="11028" max="11028" width="10.77734375" style="77" bestFit="1" customWidth="1"/>
    <col min="11029" max="11030" width="9.21875" style="77"/>
    <col min="11031" max="11031" width="10.77734375" style="77" bestFit="1" customWidth="1"/>
    <col min="11032" max="11268" width="9.21875" style="77"/>
    <col min="11269" max="11269" width="3.77734375" style="77" customWidth="1"/>
    <col min="11270" max="11270" width="23.21875" style="77" customWidth="1"/>
    <col min="11271" max="11271" width="5.5546875" style="77" customWidth="1"/>
    <col min="11272" max="11272" width="5.77734375" style="77" customWidth="1"/>
    <col min="11273" max="11273" width="7.21875" style="77" customWidth="1"/>
    <col min="11274" max="11274" width="6" style="77" customWidth="1"/>
    <col min="11275" max="11275" width="4" style="77" customWidth="1"/>
    <col min="11276" max="11276" width="4.77734375" style="77" customWidth="1"/>
    <col min="11277" max="11277" width="7.77734375" style="77" customWidth="1"/>
    <col min="11278" max="11278" width="9.44140625" style="77" customWidth="1"/>
    <col min="11279" max="11279" width="10.77734375" style="77" bestFit="1" customWidth="1"/>
    <col min="11280" max="11280" width="10.77734375" style="77" customWidth="1"/>
    <col min="11281" max="11281" width="11.44140625" style="77" customWidth="1"/>
    <col min="11282" max="11282" width="5.77734375" style="77" customWidth="1"/>
    <col min="11283" max="11283" width="7" style="77" customWidth="1"/>
    <col min="11284" max="11284" width="10.77734375" style="77" bestFit="1" customWidth="1"/>
    <col min="11285" max="11286" width="9.21875" style="77"/>
    <col min="11287" max="11287" width="10.77734375" style="77" bestFit="1" customWidth="1"/>
    <col min="11288" max="11524" width="9.21875" style="77"/>
    <col min="11525" max="11525" width="3.77734375" style="77" customWidth="1"/>
    <col min="11526" max="11526" width="23.21875" style="77" customWidth="1"/>
    <col min="11527" max="11527" width="5.5546875" style="77" customWidth="1"/>
    <col min="11528" max="11528" width="5.77734375" style="77" customWidth="1"/>
    <col min="11529" max="11529" width="7.21875" style="77" customWidth="1"/>
    <col min="11530" max="11530" width="6" style="77" customWidth="1"/>
    <col min="11531" max="11531" width="4" style="77" customWidth="1"/>
    <col min="11532" max="11532" width="4.77734375" style="77" customWidth="1"/>
    <col min="11533" max="11533" width="7.77734375" style="77" customWidth="1"/>
    <col min="11534" max="11534" width="9.44140625" style="77" customWidth="1"/>
    <col min="11535" max="11535" width="10.77734375" style="77" bestFit="1" customWidth="1"/>
    <col min="11536" max="11536" width="10.77734375" style="77" customWidth="1"/>
    <col min="11537" max="11537" width="11.44140625" style="77" customWidth="1"/>
    <col min="11538" max="11538" width="5.77734375" style="77" customWidth="1"/>
    <col min="11539" max="11539" width="7" style="77" customWidth="1"/>
    <col min="11540" max="11540" width="10.77734375" style="77" bestFit="1" customWidth="1"/>
    <col min="11541" max="11542" width="9.21875" style="77"/>
    <col min="11543" max="11543" width="10.77734375" style="77" bestFit="1" customWidth="1"/>
    <col min="11544" max="11780" width="9.21875" style="77"/>
    <col min="11781" max="11781" width="3.77734375" style="77" customWidth="1"/>
    <col min="11782" max="11782" width="23.21875" style="77" customWidth="1"/>
    <col min="11783" max="11783" width="5.5546875" style="77" customWidth="1"/>
    <col min="11784" max="11784" width="5.77734375" style="77" customWidth="1"/>
    <col min="11785" max="11785" width="7.21875" style="77" customWidth="1"/>
    <col min="11786" max="11786" width="6" style="77" customWidth="1"/>
    <col min="11787" max="11787" width="4" style="77" customWidth="1"/>
    <col min="11788" max="11788" width="4.77734375" style="77" customWidth="1"/>
    <col min="11789" max="11789" width="7.77734375" style="77" customWidth="1"/>
    <col min="11790" max="11790" width="9.44140625" style="77" customWidth="1"/>
    <col min="11791" max="11791" width="10.77734375" style="77" bestFit="1" customWidth="1"/>
    <col min="11792" max="11792" width="10.77734375" style="77" customWidth="1"/>
    <col min="11793" max="11793" width="11.44140625" style="77" customWidth="1"/>
    <col min="11794" max="11794" width="5.77734375" style="77" customWidth="1"/>
    <col min="11795" max="11795" width="7" style="77" customWidth="1"/>
    <col min="11796" max="11796" width="10.77734375" style="77" bestFit="1" customWidth="1"/>
    <col min="11797" max="11798" width="9.21875" style="77"/>
    <col min="11799" max="11799" width="10.77734375" style="77" bestFit="1" customWidth="1"/>
    <col min="11800" max="12036" width="9.21875" style="77"/>
    <col min="12037" max="12037" width="3.77734375" style="77" customWidth="1"/>
    <col min="12038" max="12038" width="23.21875" style="77" customWidth="1"/>
    <col min="12039" max="12039" width="5.5546875" style="77" customWidth="1"/>
    <col min="12040" max="12040" width="5.77734375" style="77" customWidth="1"/>
    <col min="12041" max="12041" width="7.21875" style="77" customWidth="1"/>
    <col min="12042" max="12042" width="6" style="77" customWidth="1"/>
    <col min="12043" max="12043" width="4" style="77" customWidth="1"/>
    <col min="12044" max="12044" width="4.77734375" style="77" customWidth="1"/>
    <col min="12045" max="12045" width="7.77734375" style="77" customWidth="1"/>
    <col min="12046" max="12046" width="9.44140625" style="77" customWidth="1"/>
    <col min="12047" max="12047" width="10.77734375" style="77" bestFit="1" customWidth="1"/>
    <col min="12048" max="12048" width="10.77734375" style="77" customWidth="1"/>
    <col min="12049" max="12049" width="11.44140625" style="77" customWidth="1"/>
    <col min="12050" max="12050" width="5.77734375" style="77" customWidth="1"/>
    <col min="12051" max="12051" width="7" style="77" customWidth="1"/>
    <col min="12052" max="12052" width="10.77734375" style="77" bestFit="1" customWidth="1"/>
    <col min="12053" max="12054" width="9.21875" style="77"/>
    <col min="12055" max="12055" width="10.77734375" style="77" bestFit="1" customWidth="1"/>
    <col min="12056" max="12292" width="9.21875" style="77"/>
    <col min="12293" max="12293" width="3.77734375" style="77" customWidth="1"/>
    <col min="12294" max="12294" width="23.21875" style="77" customWidth="1"/>
    <col min="12295" max="12295" width="5.5546875" style="77" customWidth="1"/>
    <col min="12296" max="12296" width="5.77734375" style="77" customWidth="1"/>
    <col min="12297" max="12297" width="7.21875" style="77" customWidth="1"/>
    <col min="12298" max="12298" width="6" style="77" customWidth="1"/>
    <col min="12299" max="12299" width="4" style="77" customWidth="1"/>
    <col min="12300" max="12300" width="4.77734375" style="77" customWidth="1"/>
    <col min="12301" max="12301" width="7.77734375" style="77" customWidth="1"/>
    <col min="12302" max="12302" width="9.44140625" style="77" customWidth="1"/>
    <col min="12303" max="12303" width="10.77734375" style="77" bestFit="1" customWidth="1"/>
    <col min="12304" max="12304" width="10.77734375" style="77" customWidth="1"/>
    <col min="12305" max="12305" width="11.44140625" style="77" customWidth="1"/>
    <col min="12306" max="12306" width="5.77734375" style="77" customWidth="1"/>
    <col min="12307" max="12307" width="7" style="77" customWidth="1"/>
    <col min="12308" max="12308" width="10.77734375" style="77" bestFit="1" customWidth="1"/>
    <col min="12309" max="12310" width="9.21875" style="77"/>
    <col min="12311" max="12311" width="10.77734375" style="77" bestFit="1" customWidth="1"/>
    <col min="12312" max="12548" width="9.21875" style="77"/>
    <col min="12549" max="12549" width="3.77734375" style="77" customWidth="1"/>
    <col min="12550" max="12550" width="23.21875" style="77" customWidth="1"/>
    <col min="12551" max="12551" width="5.5546875" style="77" customWidth="1"/>
    <col min="12552" max="12552" width="5.77734375" style="77" customWidth="1"/>
    <col min="12553" max="12553" width="7.21875" style="77" customWidth="1"/>
    <col min="12554" max="12554" width="6" style="77" customWidth="1"/>
    <col min="12555" max="12555" width="4" style="77" customWidth="1"/>
    <col min="12556" max="12556" width="4.77734375" style="77" customWidth="1"/>
    <col min="12557" max="12557" width="7.77734375" style="77" customWidth="1"/>
    <col min="12558" max="12558" width="9.44140625" style="77" customWidth="1"/>
    <col min="12559" max="12559" width="10.77734375" style="77" bestFit="1" customWidth="1"/>
    <col min="12560" max="12560" width="10.77734375" style="77" customWidth="1"/>
    <col min="12561" max="12561" width="11.44140625" style="77" customWidth="1"/>
    <col min="12562" max="12562" width="5.77734375" style="77" customWidth="1"/>
    <col min="12563" max="12563" width="7" style="77" customWidth="1"/>
    <col min="12564" max="12564" width="10.77734375" style="77" bestFit="1" customWidth="1"/>
    <col min="12565" max="12566" width="9.21875" style="77"/>
    <col min="12567" max="12567" width="10.77734375" style="77" bestFit="1" customWidth="1"/>
    <col min="12568" max="12804" width="9.21875" style="77"/>
    <col min="12805" max="12805" width="3.77734375" style="77" customWidth="1"/>
    <col min="12806" max="12806" width="23.21875" style="77" customWidth="1"/>
    <col min="12807" max="12807" width="5.5546875" style="77" customWidth="1"/>
    <col min="12808" max="12808" width="5.77734375" style="77" customWidth="1"/>
    <col min="12809" max="12809" width="7.21875" style="77" customWidth="1"/>
    <col min="12810" max="12810" width="6" style="77" customWidth="1"/>
    <col min="12811" max="12811" width="4" style="77" customWidth="1"/>
    <col min="12812" max="12812" width="4.77734375" style="77" customWidth="1"/>
    <col min="12813" max="12813" width="7.77734375" style="77" customWidth="1"/>
    <col min="12814" max="12814" width="9.44140625" style="77" customWidth="1"/>
    <col min="12815" max="12815" width="10.77734375" style="77" bestFit="1" customWidth="1"/>
    <col min="12816" max="12816" width="10.77734375" style="77" customWidth="1"/>
    <col min="12817" max="12817" width="11.44140625" style="77" customWidth="1"/>
    <col min="12818" max="12818" width="5.77734375" style="77" customWidth="1"/>
    <col min="12819" max="12819" width="7" style="77" customWidth="1"/>
    <col min="12820" max="12820" width="10.77734375" style="77" bestFit="1" customWidth="1"/>
    <col min="12821" max="12822" width="9.21875" style="77"/>
    <col min="12823" max="12823" width="10.77734375" style="77" bestFit="1" customWidth="1"/>
    <col min="12824" max="13060" width="9.21875" style="77"/>
    <col min="13061" max="13061" width="3.77734375" style="77" customWidth="1"/>
    <col min="13062" max="13062" width="23.21875" style="77" customWidth="1"/>
    <col min="13063" max="13063" width="5.5546875" style="77" customWidth="1"/>
    <col min="13064" max="13064" width="5.77734375" style="77" customWidth="1"/>
    <col min="13065" max="13065" width="7.21875" style="77" customWidth="1"/>
    <col min="13066" max="13066" width="6" style="77" customWidth="1"/>
    <col min="13067" max="13067" width="4" style="77" customWidth="1"/>
    <col min="13068" max="13068" width="4.77734375" style="77" customWidth="1"/>
    <col min="13069" max="13069" width="7.77734375" style="77" customWidth="1"/>
    <col min="13070" max="13070" width="9.44140625" style="77" customWidth="1"/>
    <col min="13071" max="13071" width="10.77734375" style="77" bestFit="1" customWidth="1"/>
    <col min="13072" max="13072" width="10.77734375" style="77" customWidth="1"/>
    <col min="13073" max="13073" width="11.44140625" style="77" customWidth="1"/>
    <col min="13074" max="13074" width="5.77734375" style="77" customWidth="1"/>
    <col min="13075" max="13075" width="7" style="77" customWidth="1"/>
    <col min="13076" max="13076" width="10.77734375" style="77" bestFit="1" customWidth="1"/>
    <col min="13077" max="13078" width="9.21875" style="77"/>
    <col min="13079" max="13079" width="10.77734375" style="77" bestFit="1" customWidth="1"/>
    <col min="13080" max="13316" width="9.21875" style="77"/>
    <col min="13317" max="13317" width="3.77734375" style="77" customWidth="1"/>
    <col min="13318" max="13318" width="23.21875" style="77" customWidth="1"/>
    <col min="13319" max="13319" width="5.5546875" style="77" customWidth="1"/>
    <col min="13320" max="13320" width="5.77734375" style="77" customWidth="1"/>
    <col min="13321" max="13321" width="7.21875" style="77" customWidth="1"/>
    <col min="13322" max="13322" width="6" style="77" customWidth="1"/>
    <col min="13323" max="13323" width="4" style="77" customWidth="1"/>
    <col min="13324" max="13324" width="4.77734375" style="77" customWidth="1"/>
    <col min="13325" max="13325" width="7.77734375" style="77" customWidth="1"/>
    <col min="13326" max="13326" width="9.44140625" style="77" customWidth="1"/>
    <col min="13327" max="13327" width="10.77734375" style="77" bestFit="1" customWidth="1"/>
    <col min="13328" max="13328" width="10.77734375" style="77" customWidth="1"/>
    <col min="13329" max="13329" width="11.44140625" style="77" customWidth="1"/>
    <col min="13330" max="13330" width="5.77734375" style="77" customWidth="1"/>
    <col min="13331" max="13331" width="7" style="77" customWidth="1"/>
    <col min="13332" max="13332" width="10.77734375" style="77" bestFit="1" customWidth="1"/>
    <col min="13333" max="13334" width="9.21875" style="77"/>
    <col min="13335" max="13335" width="10.77734375" style="77" bestFit="1" customWidth="1"/>
    <col min="13336" max="13572" width="9.21875" style="77"/>
    <col min="13573" max="13573" width="3.77734375" style="77" customWidth="1"/>
    <col min="13574" max="13574" width="23.21875" style="77" customWidth="1"/>
    <col min="13575" max="13575" width="5.5546875" style="77" customWidth="1"/>
    <col min="13576" max="13576" width="5.77734375" style="77" customWidth="1"/>
    <col min="13577" max="13577" width="7.21875" style="77" customWidth="1"/>
    <col min="13578" max="13578" width="6" style="77" customWidth="1"/>
    <col min="13579" max="13579" width="4" style="77" customWidth="1"/>
    <col min="13580" max="13580" width="4.77734375" style="77" customWidth="1"/>
    <col min="13581" max="13581" width="7.77734375" style="77" customWidth="1"/>
    <col min="13582" max="13582" width="9.44140625" style="77" customWidth="1"/>
    <col min="13583" max="13583" width="10.77734375" style="77" bestFit="1" customWidth="1"/>
    <col min="13584" max="13584" width="10.77734375" style="77" customWidth="1"/>
    <col min="13585" max="13585" width="11.44140625" style="77" customWidth="1"/>
    <col min="13586" max="13586" width="5.77734375" style="77" customWidth="1"/>
    <col min="13587" max="13587" width="7" style="77" customWidth="1"/>
    <col min="13588" max="13588" width="10.77734375" style="77" bestFit="1" customWidth="1"/>
    <col min="13589" max="13590" width="9.21875" style="77"/>
    <col min="13591" max="13591" width="10.77734375" style="77" bestFit="1" customWidth="1"/>
    <col min="13592" max="13828" width="9.21875" style="77"/>
    <col min="13829" max="13829" width="3.77734375" style="77" customWidth="1"/>
    <col min="13830" max="13830" width="23.21875" style="77" customWidth="1"/>
    <col min="13831" max="13831" width="5.5546875" style="77" customWidth="1"/>
    <col min="13832" max="13832" width="5.77734375" style="77" customWidth="1"/>
    <col min="13833" max="13833" width="7.21875" style="77" customWidth="1"/>
    <col min="13834" max="13834" width="6" style="77" customWidth="1"/>
    <col min="13835" max="13835" width="4" style="77" customWidth="1"/>
    <col min="13836" max="13836" width="4.77734375" style="77" customWidth="1"/>
    <col min="13837" max="13837" width="7.77734375" style="77" customWidth="1"/>
    <col min="13838" max="13838" width="9.44140625" style="77" customWidth="1"/>
    <col min="13839" max="13839" width="10.77734375" style="77" bestFit="1" customWidth="1"/>
    <col min="13840" max="13840" width="10.77734375" style="77" customWidth="1"/>
    <col min="13841" max="13841" width="11.44140625" style="77" customWidth="1"/>
    <col min="13842" max="13842" width="5.77734375" style="77" customWidth="1"/>
    <col min="13843" max="13843" width="7" style="77" customWidth="1"/>
    <col min="13844" max="13844" width="10.77734375" style="77" bestFit="1" customWidth="1"/>
    <col min="13845" max="13846" width="9.21875" style="77"/>
    <col min="13847" max="13847" width="10.77734375" style="77" bestFit="1" customWidth="1"/>
    <col min="13848" max="14084" width="9.21875" style="77"/>
    <col min="14085" max="14085" width="3.77734375" style="77" customWidth="1"/>
    <col min="14086" max="14086" width="23.21875" style="77" customWidth="1"/>
    <col min="14087" max="14087" width="5.5546875" style="77" customWidth="1"/>
    <col min="14088" max="14088" width="5.77734375" style="77" customWidth="1"/>
    <col min="14089" max="14089" width="7.21875" style="77" customWidth="1"/>
    <col min="14090" max="14090" width="6" style="77" customWidth="1"/>
    <col min="14091" max="14091" width="4" style="77" customWidth="1"/>
    <col min="14092" max="14092" width="4.77734375" style="77" customWidth="1"/>
    <col min="14093" max="14093" width="7.77734375" style="77" customWidth="1"/>
    <col min="14094" max="14094" width="9.44140625" style="77" customWidth="1"/>
    <col min="14095" max="14095" width="10.77734375" style="77" bestFit="1" customWidth="1"/>
    <col min="14096" max="14096" width="10.77734375" style="77" customWidth="1"/>
    <col min="14097" max="14097" width="11.44140625" style="77" customWidth="1"/>
    <col min="14098" max="14098" width="5.77734375" style="77" customWidth="1"/>
    <col min="14099" max="14099" width="7" style="77" customWidth="1"/>
    <col min="14100" max="14100" width="10.77734375" style="77" bestFit="1" customWidth="1"/>
    <col min="14101" max="14102" width="9.21875" style="77"/>
    <col min="14103" max="14103" width="10.77734375" style="77" bestFit="1" customWidth="1"/>
    <col min="14104" max="14340" width="9.21875" style="77"/>
    <col min="14341" max="14341" width="3.77734375" style="77" customWidth="1"/>
    <col min="14342" max="14342" width="23.21875" style="77" customWidth="1"/>
    <col min="14343" max="14343" width="5.5546875" style="77" customWidth="1"/>
    <col min="14344" max="14344" width="5.77734375" style="77" customWidth="1"/>
    <col min="14345" max="14345" width="7.21875" style="77" customWidth="1"/>
    <col min="14346" max="14346" width="6" style="77" customWidth="1"/>
    <col min="14347" max="14347" width="4" style="77" customWidth="1"/>
    <col min="14348" max="14348" width="4.77734375" style="77" customWidth="1"/>
    <col min="14349" max="14349" width="7.77734375" style="77" customWidth="1"/>
    <col min="14350" max="14350" width="9.44140625" style="77" customWidth="1"/>
    <col min="14351" max="14351" width="10.77734375" style="77" bestFit="1" customWidth="1"/>
    <col min="14352" max="14352" width="10.77734375" style="77" customWidth="1"/>
    <col min="14353" max="14353" width="11.44140625" style="77" customWidth="1"/>
    <col min="14354" max="14354" width="5.77734375" style="77" customWidth="1"/>
    <col min="14355" max="14355" width="7" style="77" customWidth="1"/>
    <col min="14356" max="14356" width="10.77734375" style="77" bestFit="1" customWidth="1"/>
    <col min="14357" max="14358" width="9.21875" style="77"/>
    <col min="14359" max="14359" width="10.77734375" style="77" bestFit="1" customWidth="1"/>
    <col min="14360" max="14596" width="9.21875" style="77"/>
    <col min="14597" max="14597" width="3.77734375" style="77" customWidth="1"/>
    <col min="14598" max="14598" width="23.21875" style="77" customWidth="1"/>
    <col min="14599" max="14599" width="5.5546875" style="77" customWidth="1"/>
    <col min="14600" max="14600" width="5.77734375" style="77" customWidth="1"/>
    <col min="14601" max="14601" width="7.21875" style="77" customWidth="1"/>
    <col min="14602" max="14602" width="6" style="77" customWidth="1"/>
    <col min="14603" max="14603" width="4" style="77" customWidth="1"/>
    <col min="14604" max="14604" width="4.77734375" style="77" customWidth="1"/>
    <col min="14605" max="14605" width="7.77734375" style="77" customWidth="1"/>
    <col min="14606" max="14606" width="9.44140625" style="77" customWidth="1"/>
    <col min="14607" max="14607" width="10.77734375" style="77" bestFit="1" customWidth="1"/>
    <col min="14608" max="14608" width="10.77734375" style="77" customWidth="1"/>
    <col min="14609" max="14609" width="11.44140625" style="77" customWidth="1"/>
    <col min="14610" max="14610" width="5.77734375" style="77" customWidth="1"/>
    <col min="14611" max="14611" width="7" style="77" customWidth="1"/>
    <col min="14612" max="14612" width="10.77734375" style="77" bestFit="1" customWidth="1"/>
    <col min="14613" max="14614" width="9.21875" style="77"/>
    <col min="14615" max="14615" width="10.77734375" style="77" bestFit="1" customWidth="1"/>
    <col min="14616" max="14852" width="9.21875" style="77"/>
    <col min="14853" max="14853" width="3.77734375" style="77" customWidth="1"/>
    <col min="14854" max="14854" width="23.21875" style="77" customWidth="1"/>
    <col min="14855" max="14855" width="5.5546875" style="77" customWidth="1"/>
    <col min="14856" max="14856" width="5.77734375" style="77" customWidth="1"/>
    <col min="14857" max="14857" width="7.21875" style="77" customWidth="1"/>
    <col min="14858" max="14858" width="6" style="77" customWidth="1"/>
    <col min="14859" max="14859" width="4" style="77" customWidth="1"/>
    <col min="14860" max="14860" width="4.77734375" style="77" customWidth="1"/>
    <col min="14861" max="14861" width="7.77734375" style="77" customWidth="1"/>
    <col min="14862" max="14862" width="9.44140625" style="77" customWidth="1"/>
    <col min="14863" max="14863" width="10.77734375" style="77" bestFit="1" customWidth="1"/>
    <col min="14864" max="14864" width="10.77734375" style="77" customWidth="1"/>
    <col min="14865" max="14865" width="11.44140625" style="77" customWidth="1"/>
    <col min="14866" max="14866" width="5.77734375" style="77" customWidth="1"/>
    <col min="14867" max="14867" width="7" style="77" customWidth="1"/>
    <col min="14868" max="14868" width="10.77734375" style="77" bestFit="1" customWidth="1"/>
    <col min="14869" max="14870" width="9.21875" style="77"/>
    <col min="14871" max="14871" width="10.77734375" style="77" bestFit="1" customWidth="1"/>
    <col min="14872" max="15108" width="9.21875" style="77"/>
    <col min="15109" max="15109" width="3.77734375" style="77" customWidth="1"/>
    <col min="15110" max="15110" width="23.21875" style="77" customWidth="1"/>
    <col min="15111" max="15111" width="5.5546875" style="77" customWidth="1"/>
    <col min="15112" max="15112" width="5.77734375" style="77" customWidth="1"/>
    <col min="15113" max="15113" width="7.21875" style="77" customWidth="1"/>
    <col min="15114" max="15114" width="6" style="77" customWidth="1"/>
    <col min="15115" max="15115" width="4" style="77" customWidth="1"/>
    <col min="15116" max="15116" width="4.77734375" style="77" customWidth="1"/>
    <col min="15117" max="15117" width="7.77734375" style="77" customWidth="1"/>
    <col min="15118" max="15118" width="9.44140625" style="77" customWidth="1"/>
    <col min="15119" max="15119" width="10.77734375" style="77" bestFit="1" customWidth="1"/>
    <col min="15120" max="15120" width="10.77734375" style="77" customWidth="1"/>
    <col min="15121" max="15121" width="11.44140625" style="77" customWidth="1"/>
    <col min="15122" max="15122" width="5.77734375" style="77" customWidth="1"/>
    <col min="15123" max="15123" width="7" style="77" customWidth="1"/>
    <col min="15124" max="15124" width="10.77734375" style="77" bestFit="1" customWidth="1"/>
    <col min="15125" max="15126" width="9.21875" style="77"/>
    <col min="15127" max="15127" width="10.77734375" style="77" bestFit="1" customWidth="1"/>
    <col min="15128" max="15364" width="9.21875" style="77"/>
    <col min="15365" max="15365" width="3.77734375" style="77" customWidth="1"/>
    <col min="15366" max="15366" width="23.21875" style="77" customWidth="1"/>
    <col min="15367" max="15367" width="5.5546875" style="77" customWidth="1"/>
    <col min="15368" max="15368" width="5.77734375" style="77" customWidth="1"/>
    <col min="15369" max="15369" width="7.21875" style="77" customWidth="1"/>
    <col min="15370" max="15370" width="6" style="77" customWidth="1"/>
    <col min="15371" max="15371" width="4" style="77" customWidth="1"/>
    <col min="15372" max="15372" width="4.77734375" style="77" customWidth="1"/>
    <col min="15373" max="15373" width="7.77734375" style="77" customWidth="1"/>
    <col min="15374" max="15374" width="9.44140625" style="77" customWidth="1"/>
    <col min="15375" max="15375" width="10.77734375" style="77" bestFit="1" customWidth="1"/>
    <col min="15376" max="15376" width="10.77734375" style="77" customWidth="1"/>
    <col min="15377" max="15377" width="11.44140625" style="77" customWidth="1"/>
    <col min="15378" max="15378" width="5.77734375" style="77" customWidth="1"/>
    <col min="15379" max="15379" width="7" style="77" customWidth="1"/>
    <col min="15380" max="15380" width="10.77734375" style="77" bestFit="1" customWidth="1"/>
    <col min="15381" max="15382" width="9.21875" style="77"/>
    <col min="15383" max="15383" width="10.77734375" style="77" bestFit="1" customWidth="1"/>
    <col min="15384" max="15620" width="9.21875" style="77"/>
    <col min="15621" max="15621" width="3.77734375" style="77" customWidth="1"/>
    <col min="15622" max="15622" width="23.21875" style="77" customWidth="1"/>
    <col min="15623" max="15623" width="5.5546875" style="77" customWidth="1"/>
    <col min="15624" max="15624" width="5.77734375" style="77" customWidth="1"/>
    <col min="15625" max="15625" width="7.21875" style="77" customWidth="1"/>
    <col min="15626" max="15626" width="6" style="77" customWidth="1"/>
    <col min="15627" max="15627" width="4" style="77" customWidth="1"/>
    <col min="15628" max="15628" width="4.77734375" style="77" customWidth="1"/>
    <col min="15629" max="15629" width="7.77734375" style="77" customWidth="1"/>
    <col min="15630" max="15630" width="9.44140625" style="77" customWidth="1"/>
    <col min="15631" max="15631" width="10.77734375" style="77" bestFit="1" customWidth="1"/>
    <col min="15632" max="15632" width="10.77734375" style="77" customWidth="1"/>
    <col min="15633" max="15633" width="11.44140625" style="77" customWidth="1"/>
    <col min="15634" max="15634" width="5.77734375" style="77" customWidth="1"/>
    <col min="15635" max="15635" width="7" style="77" customWidth="1"/>
    <col min="15636" max="15636" width="10.77734375" style="77" bestFit="1" customWidth="1"/>
    <col min="15637" max="15638" width="9.21875" style="77"/>
    <col min="15639" max="15639" width="10.77734375" style="77" bestFit="1" customWidth="1"/>
    <col min="15640" max="15876" width="9.21875" style="77"/>
    <col min="15877" max="15877" width="3.77734375" style="77" customWidth="1"/>
    <col min="15878" max="15878" width="23.21875" style="77" customWidth="1"/>
    <col min="15879" max="15879" width="5.5546875" style="77" customWidth="1"/>
    <col min="15880" max="15880" width="5.77734375" style="77" customWidth="1"/>
    <col min="15881" max="15881" width="7.21875" style="77" customWidth="1"/>
    <col min="15882" max="15882" width="6" style="77" customWidth="1"/>
    <col min="15883" max="15883" width="4" style="77" customWidth="1"/>
    <col min="15884" max="15884" width="4.77734375" style="77" customWidth="1"/>
    <col min="15885" max="15885" width="7.77734375" style="77" customWidth="1"/>
    <col min="15886" max="15886" width="9.44140625" style="77" customWidth="1"/>
    <col min="15887" max="15887" width="10.77734375" style="77" bestFit="1" customWidth="1"/>
    <col min="15888" max="15888" width="10.77734375" style="77" customWidth="1"/>
    <col min="15889" max="15889" width="11.44140625" style="77" customWidth="1"/>
    <col min="15890" max="15890" width="5.77734375" style="77" customWidth="1"/>
    <col min="15891" max="15891" width="7" style="77" customWidth="1"/>
    <col min="15892" max="15892" width="10.77734375" style="77" bestFit="1" customWidth="1"/>
    <col min="15893" max="15894" width="9.21875" style="77"/>
    <col min="15895" max="15895" width="10.77734375" style="77" bestFit="1" customWidth="1"/>
    <col min="15896" max="16132" width="9.21875" style="77"/>
    <col min="16133" max="16133" width="3.77734375" style="77" customWidth="1"/>
    <col min="16134" max="16134" width="23.21875" style="77" customWidth="1"/>
    <col min="16135" max="16135" width="5.5546875" style="77" customWidth="1"/>
    <col min="16136" max="16136" width="5.77734375" style="77" customWidth="1"/>
    <col min="16137" max="16137" width="7.21875" style="77" customWidth="1"/>
    <col min="16138" max="16138" width="6" style="77" customWidth="1"/>
    <col min="16139" max="16139" width="4" style="77" customWidth="1"/>
    <col min="16140" max="16140" width="4.77734375" style="77" customWidth="1"/>
    <col min="16141" max="16141" width="7.77734375" style="77" customWidth="1"/>
    <col min="16142" max="16142" width="9.44140625" style="77" customWidth="1"/>
    <col min="16143" max="16143" width="10.77734375" style="77" bestFit="1" customWidth="1"/>
    <col min="16144" max="16144" width="10.77734375" style="77" customWidth="1"/>
    <col min="16145" max="16145" width="11.44140625" style="77" customWidth="1"/>
    <col min="16146" max="16146" width="5.77734375" style="77" customWidth="1"/>
    <col min="16147" max="16147" width="7" style="77" customWidth="1"/>
    <col min="16148" max="16148" width="10.77734375" style="77" bestFit="1" customWidth="1"/>
    <col min="16149" max="16150" width="9.21875" style="77"/>
    <col min="16151" max="16151" width="10.77734375" style="77" bestFit="1" customWidth="1"/>
    <col min="16152" max="16384" width="9.21875" style="77"/>
  </cols>
  <sheetData>
    <row r="1" spans="5:33" s="651" customFormat="1" ht="15" customHeight="1">
      <c r="G1" s="652"/>
      <c r="H1" s="652"/>
      <c r="I1" s="653"/>
      <c r="J1" s="1042"/>
      <c r="K1" s="652"/>
      <c r="L1" s="1046"/>
      <c r="M1" s="655"/>
      <c r="N1" s="652"/>
      <c r="O1" s="654"/>
      <c r="P1" s="654"/>
      <c r="Q1" s="655"/>
      <c r="R1" s="645"/>
      <c r="S1" s="652"/>
    </row>
    <row r="2" spans="5:33" s="651" customFormat="1" ht="15" customHeight="1">
      <c r="E2" s="937" t="s">
        <v>2395</v>
      </c>
      <c r="F2" s="656"/>
      <c r="G2" s="656"/>
      <c r="H2" s="656"/>
      <c r="I2" s="656"/>
      <c r="J2" s="1043"/>
      <c r="K2" s="656"/>
      <c r="L2" s="1043"/>
      <c r="M2" s="656"/>
      <c r="N2" s="656"/>
      <c r="O2" s="656"/>
      <c r="P2" s="656"/>
      <c r="Q2" s="656"/>
      <c r="R2" s="656"/>
      <c r="S2" s="652"/>
      <c r="T2" s="657"/>
    </row>
    <row r="3" spans="5:33" s="651" customFormat="1" ht="15" customHeight="1">
      <c r="G3" s="652"/>
      <c r="H3" s="652"/>
      <c r="I3" s="653"/>
      <c r="J3" s="1042"/>
      <c r="K3" s="652"/>
      <c r="L3" s="1046"/>
      <c r="M3" s="655"/>
      <c r="N3" s="652"/>
      <c r="O3" s="654"/>
      <c r="P3" s="654"/>
      <c r="Q3" s="655"/>
      <c r="R3" s="645"/>
      <c r="S3" s="652"/>
      <c r="T3" s="658"/>
      <c r="U3" s="658"/>
      <c r="V3" s="658"/>
      <c r="W3" s="658"/>
      <c r="X3" s="658"/>
      <c r="Y3" s="658"/>
    </row>
    <row r="4" spans="5:33" ht="15" customHeight="1">
      <c r="E4" s="1162" t="s">
        <v>1620</v>
      </c>
      <c r="F4" s="1162" t="s">
        <v>1725</v>
      </c>
      <c r="G4" s="1164" t="s">
        <v>2012</v>
      </c>
      <c r="H4" s="1164"/>
      <c r="I4" s="1164"/>
      <c r="J4" s="1165" t="s">
        <v>2011</v>
      </c>
      <c r="K4" s="1165"/>
      <c r="L4" s="1165"/>
      <c r="M4" s="894" t="s">
        <v>1726</v>
      </c>
      <c r="N4" s="895" t="s">
        <v>1727</v>
      </c>
      <c r="O4" s="896" t="s">
        <v>2010</v>
      </c>
      <c r="P4" s="896" t="s">
        <v>9</v>
      </c>
      <c r="Q4" s="897" t="s">
        <v>1728</v>
      </c>
      <c r="R4" s="1152" t="s">
        <v>1729</v>
      </c>
      <c r="S4" s="1152"/>
      <c r="T4" s="85"/>
      <c r="U4" s="85"/>
      <c r="V4" s="85"/>
      <c r="W4" s="85"/>
      <c r="X4" s="85"/>
      <c r="Y4" s="85"/>
    </row>
    <row r="5" spans="5:33" ht="15" customHeight="1" thickBot="1">
      <c r="E5" s="1163"/>
      <c r="F5" s="1163"/>
      <c r="G5" s="898" t="s">
        <v>1730</v>
      </c>
      <c r="H5" s="898" t="s">
        <v>1731</v>
      </c>
      <c r="I5" s="899" t="s">
        <v>1732</v>
      </c>
      <c r="J5" s="1158" t="s">
        <v>1733</v>
      </c>
      <c r="K5" s="1158"/>
      <c r="L5" s="1158"/>
      <c r="M5" s="900" t="s">
        <v>1734</v>
      </c>
      <c r="N5" s="898" t="s">
        <v>1735</v>
      </c>
      <c r="O5" s="901" t="s">
        <v>1736</v>
      </c>
      <c r="P5" s="901" t="s">
        <v>1737</v>
      </c>
      <c r="Q5" s="900" t="s">
        <v>2013</v>
      </c>
      <c r="R5" s="1157"/>
      <c r="S5" s="1157"/>
      <c r="T5" s="85"/>
      <c r="U5" s="85"/>
      <c r="V5" s="85"/>
      <c r="W5" s="85"/>
      <c r="X5" s="85"/>
      <c r="Y5" s="85"/>
    </row>
    <row r="6" spans="5:33" ht="15" customHeight="1" thickTop="1">
      <c r="E6" s="444" t="s">
        <v>30</v>
      </c>
      <c r="F6" s="445" t="s">
        <v>1738</v>
      </c>
      <c r="G6" s="446"/>
      <c r="H6" s="446"/>
      <c r="I6" s="447"/>
      <c r="J6" s="1044"/>
      <c r="K6" s="446"/>
      <c r="L6" s="1047"/>
      <c r="M6" s="449"/>
      <c r="N6" s="446"/>
      <c r="O6" s="448"/>
      <c r="P6" s="448"/>
      <c r="Q6" s="449"/>
      <c r="R6" s="450"/>
      <c r="S6" s="446"/>
      <c r="T6" s="86"/>
      <c r="U6" s="86"/>
      <c r="V6" s="86"/>
    </row>
    <row r="7" spans="5:33" ht="15" customHeight="1">
      <c r="E7" s="59">
        <v>1</v>
      </c>
      <c r="F7" s="60" t="s">
        <v>1739</v>
      </c>
      <c r="G7" s="61">
        <v>0.15</v>
      </c>
      <c r="H7" s="61">
        <v>0.2</v>
      </c>
      <c r="I7" s="62">
        <f t="shared" ref="I7:I53" si="0">1/(G7*H7)</f>
        <v>33.333333333333336</v>
      </c>
      <c r="J7" s="1038">
        <v>4</v>
      </c>
      <c r="K7" s="63" t="s">
        <v>1740</v>
      </c>
      <c r="L7" s="1048">
        <v>10</v>
      </c>
      <c r="M7" s="1040">
        <f t="shared" ref="M7:M46" si="1">VLOOKUP(L7,$E$64:$F$71,2,0)</f>
        <v>0.61699999999999999</v>
      </c>
      <c r="N7" s="63">
        <f>J7*M7</f>
        <v>2.468</v>
      </c>
      <c r="O7" s="64">
        <f t="shared" ref="O7:O31" si="2">I7*N7</f>
        <v>82.266666666666666</v>
      </c>
      <c r="P7" s="64">
        <f>k_tlg_sloof_d10/(M7*12)</f>
        <v>11.111111111111111</v>
      </c>
      <c r="Q7" s="65">
        <f>2*(H7)*I7</f>
        <v>13.333333333333336</v>
      </c>
      <c r="R7" s="66">
        <f>(1/(G7*H7))/0.2</f>
        <v>166.66666666666666</v>
      </c>
      <c r="S7" s="63">
        <v>167</v>
      </c>
      <c r="T7" s="86"/>
      <c r="U7" s="86"/>
      <c r="V7" s="86"/>
    </row>
    <row r="8" spans="5:33" ht="15" customHeight="1">
      <c r="E8" s="59">
        <v>2</v>
      </c>
      <c r="F8" s="60" t="s">
        <v>1741</v>
      </c>
      <c r="G8" s="61">
        <v>0.15</v>
      </c>
      <c r="H8" s="61">
        <v>0.15</v>
      </c>
      <c r="I8" s="62">
        <f t="shared" si="0"/>
        <v>44.444444444444443</v>
      </c>
      <c r="J8" s="1038">
        <v>4</v>
      </c>
      <c r="K8" s="63" t="s">
        <v>1740</v>
      </c>
      <c r="L8" s="1048">
        <v>10</v>
      </c>
      <c r="M8" s="1040">
        <f t="shared" si="1"/>
        <v>0.61699999999999999</v>
      </c>
      <c r="N8" s="63">
        <f t="shared" ref="N8:N56" si="3">J8*M8</f>
        <v>2.468</v>
      </c>
      <c r="O8" s="64">
        <f t="shared" si="2"/>
        <v>109.68888888888888</v>
      </c>
      <c r="P8" s="64">
        <f>k_tlg_kolom_1515/(M7*12)</f>
        <v>14.814814814814815</v>
      </c>
      <c r="Q8" s="65">
        <f t="shared" ref="Q8:Q52" si="4">(2*G8+H8)*I8</f>
        <v>19.999999999999996</v>
      </c>
      <c r="R8" s="66">
        <f t="shared" ref="R8:R61" si="5">(1/(G8*H8))/0.2</f>
        <v>222.2222222222222</v>
      </c>
      <c r="S8" s="63">
        <v>223</v>
      </c>
      <c r="T8" s="86"/>
      <c r="U8" s="86"/>
      <c r="V8" s="86"/>
    </row>
    <row r="9" spans="5:33" ht="15" customHeight="1">
      <c r="E9" s="59">
        <v>3</v>
      </c>
      <c r="F9" s="60" t="s">
        <v>1742</v>
      </c>
      <c r="G9" s="61">
        <v>0.15</v>
      </c>
      <c r="H9" s="61">
        <v>0.2</v>
      </c>
      <c r="I9" s="62">
        <f t="shared" si="0"/>
        <v>33.333333333333336</v>
      </c>
      <c r="J9" s="1038">
        <v>4</v>
      </c>
      <c r="K9" s="63" t="s">
        <v>1740</v>
      </c>
      <c r="L9" s="1048">
        <v>10</v>
      </c>
      <c r="M9" s="1040">
        <f t="shared" si="1"/>
        <v>0.61699999999999999</v>
      </c>
      <c r="N9" s="63">
        <f t="shared" si="3"/>
        <v>2.468</v>
      </c>
      <c r="O9" s="64">
        <f t="shared" si="2"/>
        <v>82.266666666666666</v>
      </c>
      <c r="P9" s="64">
        <f>O9/(M9*12)</f>
        <v>11.111111111111111</v>
      </c>
      <c r="Q9" s="65">
        <f t="shared" si="4"/>
        <v>16.666666666666668</v>
      </c>
      <c r="R9" s="66">
        <f t="shared" si="5"/>
        <v>166.66666666666666</v>
      </c>
      <c r="S9" s="63">
        <v>167</v>
      </c>
      <c r="T9" s="86"/>
      <c r="U9" s="86"/>
      <c r="V9" s="86"/>
    </row>
    <row r="10" spans="5:33" ht="15" customHeight="1">
      <c r="E10" s="59">
        <v>4</v>
      </c>
      <c r="F10" s="60" t="s">
        <v>1743</v>
      </c>
      <c r="G10" s="61">
        <v>0.15</v>
      </c>
      <c r="H10" s="61">
        <v>0.25</v>
      </c>
      <c r="I10" s="62">
        <f t="shared" si="0"/>
        <v>26.666666666666668</v>
      </c>
      <c r="J10" s="1038">
        <v>4</v>
      </c>
      <c r="K10" s="63" t="s">
        <v>1740</v>
      </c>
      <c r="L10" s="1048">
        <v>10</v>
      </c>
      <c r="M10" s="1040">
        <f t="shared" si="1"/>
        <v>0.61699999999999999</v>
      </c>
      <c r="N10" s="63">
        <f t="shared" si="3"/>
        <v>2.468</v>
      </c>
      <c r="O10" s="64">
        <f t="shared" si="2"/>
        <v>65.813333333333333</v>
      </c>
      <c r="P10" s="64">
        <f t="shared" ref="P10:P61" si="6">O10/(M10*12)</f>
        <v>8.8888888888888893</v>
      </c>
      <c r="Q10" s="65">
        <f t="shared" si="4"/>
        <v>14.666666666666668</v>
      </c>
      <c r="R10" s="66">
        <f t="shared" si="5"/>
        <v>133.33333333333334</v>
      </c>
      <c r="S10" s="63">
        <v>134</v>
      </c>
      <c r="T10" s="86"/>
      <c r="U10" s="86"/>
      <c r="V10" s="86"/>
    </row>
    <row r="11" spans="5:33" ht="15" customHeight="1">
      <c r="E11" s="59">
        <v>5</v>
      </c>
      <c r="F11" s="60" t="s">
        <v>1744</v>
      </c>
      <c r="G11" s="61">
        <v>0.15</v>
      </c>
      <c r="H11" s="61">
        <v>0.3</v>
      </c>
      <c r="I11" s="62">
        <f t="shared" si="0"/>
        <v>22.222222222222221</v>
      </c>
      <c r="J11" s="1038">
        <v>6</v>
      </c>
      <c r="K11" s="63" t="s">
        <v>1740</v>
      </c>
      <c r="L11" s="1048">
        <v>10</v>
      </c>
      <c r="M11" s="1040">
        <f t="shared" si="1"/>
        <v>0.61699999999999999</v>
      </c>
      <c r="N11" s="63">
        <f t="shared" si="3"/>
        <v>3.702</v>
      </c>
      <c r="O11" s="64">
        <f t="shared" si="2"/>
        <v>82.266666666666666</v>
      </c>
      <c r="P11" s="64">
        <f t="shared" si="6"/>
        <v>11.111111111111111</v>
      </c>
      <c r="Q11" s="65">
        <f t="shared" si="4"/>
        <v>13.333333333333332</v>
      </c>
      <c r="R11" s="66">
        <f t="shared" si="5"/>
        <v>111.1111111111111</v>
      </c>
      <c r="S11" s="63">
        <v>112</v>
      </c>
      <c r="T11" s="86"/>
      <c r="U11" s="86"/>
      <c r="V11" s="86"/>
    </row>
    <row r="12" spans="5:33" ht="15" customHeight="1">
      <c r="E12" s="59">
        <v>6</v>
      </c>
      <c r="F12" s="60" t="s">
        <v>1745</v>
      </c>
      <c r="G12" s="61">
        <v>0.2</v>
      </c>
      <c r="H12" s="61">
        <v>0.2</v>
      </c>
      <c r="I12" s="62">
        <f t="shared" si="0"/>
        <v>24.999999999999996</v>
      </c>
      <c r="J12" s="1038">
        <v>4</v>
      </c>
      <c r="K12" s="63" t="s">
        <v>1740</v>
      </c>
      <c r="L12" s="1048">
        <v>10</v>
      </c>
      <c r="M12" s="1040">
        <f t="shared" si="1"/>
        <v>0.61699999999999999</v>
      </c>
      <c r="N12" s="63">
        <f t="shared" si="3"/>
        <v>2.468</v>
      </c>
      <c r="O12" s="64">
        <f t="shared" si="2"/>
        <v>61.699999999999989</v>
      </c>
      <c r="P12" s="64">
        <f t="shared" si="6"/>
        <v>8.3333333333333321</v>
      </c>
      <c r="Q12" s="65">
        <f t="shared" si="4"/>
        <v>15</v>
      </c>
      <c r="R12" s="66">
        <f t="shared" si="5"/>
        <v>124.99999999999997</v>
      </c>
      <c r="S12" s="63">
        <v>125</v>
      </c>
      <c r="T12" s="86"/>
      <c r="U12" s="86"/>
      <c r="V12" s="86"/>
    </row>
    <row r="13" spans="5:33" ht="15" customHeight="1">
      <c r="E13" s="59">
        <v>7</v>
      </c>
      <c r="F13" s="60" t="s">
        <v>1746</v>
      </c>
      <c r="G13" s="61">
        <v>0.2</v>
      </c>
      <c r="H13" s="61">
        <v>0.25</v>
      </c>
      <c r="I13" s="62">
        <f t="shared" si="0"/>
        <v>20</v>
      </c>
      <c r="J13" s="1038">
        <v>4</v>
      </c>
      <c r="K13" s="63" t="s">
        <v>1740</v>
      </c>
      <c r="L13" s="1048">
        <v>6</v>
      </c>
      <c r="M13" s="1040">
        <f t="shared" si="1"/>
        <v>0.222</v>
      </c>
      <c r="N13" s="63">
        <f t="shared" si="3"/>
        <v>0.88800000000000001</v>
      </c>
      <c r="O13" s="64">
        <f t="shared" si="2"/>
        <v>17.760000000000002</v>
      </c>
      <c r="P13" s="64">
        <f t="shared" si="6"/>
        <v>6.666666666666667</v>
      </c>
      <c r="Q13" s="65">
        <f t="shared" si="4"/>
        <v>13</v>
      </c>
      <c r="R13" s="66">
        <f t="shared" si="5"/>
        <v>100</v>
      </c>
      <c r="S13" s="63">
        <v>100</v>
      </c>
      <c r="T13" s="86"/>
      <c r="U13" s="86"/>
      <c r="V13" s="86"/>
    </row>
    <row r="14" spans="5:33" ht="15" customHeight="1">
      <c r="E14" s="59">
        <v>8</v>
      </c>
      <c r="F14" s="60" t="s">
        <v>1747</v>
      </c>
      <c r="G14" s="61">
        <v>0.2</v>
      </c>
      <c r="H14" s="61">
        <v>0.3</v>
      </c>
      <c r="I14" s="62">
        <f t="shared" si="0"/>
        <v>16.666666666666668</v>
      </c>
      <c r="J14" s="1038">
        <v>6</v>
      </c>
      <c r="K14" s="63" t="s">
        <v>1740</v>
      </c>
      <c r="L14" s="1048">
        <v>12</v>
      </c>
      <c r="M14" s="1040">
        <f t="shared" si="1"/>
        <v>0.88800000000000001</v>
      </c>
      <c r="N14" s="63">
        <f t="shared" si="3"/>
        <v>5.3280000000000003</v>
      </c>
      <c r="O14" s="64">
        <f t="shared" si="2"/>
        <v>88.800000000000011</v>
      </c>
      <c r="P14" s="64">
        <f t="shared" si="6"/>
        <v>8.3333333333333339</v>
      </c>
      <c r="Q14" s="65">
        <f t="shared" si="4"/>
        <v>11.666666666666666</v>
      </c>
      <c r="R14" s="66">
        <f t="shared" si="5"/>
        <v>83.333333333333329</v>
      </c>
      <c r="S14" s="63">
        <v>84</v>
      </c>
      <c r="T14" s="86"/>
      <c r="U14" s="78"/>
      <c r="V14" s="78"/>
      <c r="W14" s="78"/>
      <c r="X14" s="78"/>
      <c r="Y14" s="78"/>
      <c r="Z14" s="78"/>
      <c r="AA14" s="78"/>
      <c r="AB14" s="78"/>
      <c r="AC14" s="78"/>
      <c r="AD14" s="78"/>
      <c r="AE14" s="78"/>
      <c r="AF14" s="78"/>
      <c r="AG14" s="78"/>
    </row>
    <row r="15" spans="5:33" ht="15" customHeight="1">
      <c r="E15" s="59">
        <v>9</v>
      </c>
      <c r="F15" s="60" t="s">
        <v>1748</v>
      </c>
      <c r="G15" s="61">
        <v>0.2</v>
      </c>
      <c r="H15" s="61">
        <v>0.35</v>
      </c>
      <c r="I15" s="62">
        <f t="shared" si="0"/>
        <v>14.285714285714286</v>
      </c>
      <c r="J15" s="1038">
        <v>1</v>
      </c>
      <c r="K15" s="63" t="s">
        <v>1740</v>
      </c>
      <c r="L15" s="1048">
        <v>6</v>
      </c>
      <c r="M15" s="1040">
        <f t="shared" si="1"/>
        <v>0.222</v>
      </c>
      <c r="N15" s="63">
        <f t="shared" si="3"/>
        <v>0.222</v>
      </c>
      <c r="O15" s="64">
        <f t="shared" si="2"/>
        <v>3.1714285714285717</v>
      </c>
      <c r="P15" s="64">
        <f t="shared" si="6"/>
        <v>1.1904761904761905</v>
      </c>
      <c r="Q15" s="65">
        <f t="shared" si="4"/>
        <v>10.714285714285715</v>
      </c>
      <c r="R15" s="66">
        <f t="shared" si="5"/>
        <v>71.428571428571431</v>
      </c>
      <c r="S15" s="63">
        <v>72</v>
      </c>
      <c r="T15" s="86"/>
      <c r="U15" s="86"/>
      <c r="V15" s="86"/>
    </row>
    <row r="16" spans="5:33" ht="15" customHeight="1">
      <c r="E16" s="59">
        <v>10</v>
      </c>
      <c r="F16" s="60" t="s">
        <v>1749</v>
      </c>
      <c r="G16" s="61">
        <v>0.2</v>
      </c>
      <c r="H16" s="61">
        <v>0.4</v>
      </c>
      <c r="I16" s="62">
        <f t="shared" si="0"/>
        <v>12.499999999999998</v>
      </c>
      <c r="J16" s="1038">
        <v>1</v>
      </c>
      <c r="K16" s="63" t="s">
        <v>1740</v>
      </c>
      <c r="L16" s="1048">
        <v>6</v>
      </c>
      <c r="M16" s="1040">
        <f t="shared" si="1"/>
        <v>0.222</v>
      </c>
      <c r="N16" s="63">
        <f t="shared" si="3"/>
        <v>0.222</v>
      </c>
      <c r="O16" s="64">
        <f t="shared" si="2"/>
        <v>2.7749999999999995</v>
      </c>
      <c r="P16" s="64">
        <f t="shared" si="6"/>
        <v>1.0416666666666665</v>
      </c>
      <c r="Q16" s="65">
        <f t="shared" si="4"/>
        <v>10</v>
      </c>
      <c r="R16" s="66">
        <f t="shared" si="5"/>
        <v>62.499999999999986</v>
      </c>
      <c r="S16" s="63">
        <v>63</v>
      </c>
      <c r="T16" s="86"/>
      <c r="U16" s="86"/>
      <c r="V16" s="86"/>
    </row>
    <row r="17" spans="5:22" ht="15" customHeight="1">
      <c r="E17" s="59">
        <v>11</v>
      </c>
      <c r="F17" s="60" t="s">
        <v>1750</v>
      </c>
      <c r="G17" s="61">
        <v>0.25</v>
      </c>
      <c r="H17" s="61">
        <v>0.25</v>
      </c>
      <c r="I17" s="62">
        <f t="shared" si="0"/>
        <v>16</v>
      </c>
      <c r="J17" s="1038">
        <v>1</v>
      </c>
      <c r="K17" s="63" t="s">
        <v>1740</v>
      </c>
      <c r="L17" s="1048">
        <v>6</v>
      </c>
      <c r="M17" s="1040">
        <f t="shared" si="1"/>
        <v>0.222</v>
      </c>
      <c r="N17" s="63">
        <f t="shared" si="3"/>
        <v>0.222</v>
      </c>
      <c r="O17" s="64">
        <f t="shared" si="2"/>
        <v>3.552</v>
      </c>
      <c r="P17" s="64">
        <f t="shared" si="6"/>
        <v>1.3333333333333333</v>
      </c>
      <c r="Q17" s="65">
        <f t="shared" si="4"/>
        <v>12</v>
      </c>
      <c r="R17" s="66">
        <f t="shared" si="5"/>
        <v>80</v>
      </c>
      <c r="S17" s="63">
        <v>80</v>
      </c>
      <c r="T17" s="86"/>
      <c r="U17" s="86"/>
      <c r="V17" s="86"/>
    </row>
    <row r="18" spans="5:22" ht="15" customHeight="1">
      <c r="E18" s="59">
        <v>12</v>
      </c>
      <c r="F18" s="60" t="s">
        <v>1751</v>
      </c>
      <c r="G18" s="61">
        <v>0.25</v>
      </c>
      <c r="H18" s="61">
        <v>0.3</v>
      </c>
      <c r="I18" s="62">
        <f t="shared" si="0"/>
        <v>13.333333333333334</v>
      </c>
      <c r="J18" s="1038">
        <v>1</v>
      </c>
      <c r="K18" s="63" t="s">
        <v>1740</v>
      </c>
      <c r="L18" s="1048">
        <v>12</v>
      </c>
      <c r="M18" s="1040">
        <f t="shared" si="1"/>
        <v>0.88800000000000001</v>
      </c>
      <c r="N18" s="63">
        <f t="shared" si="3"/>
        <v>0.88800000000000001</v>
      </c>
      <c r="O18" s="64">
        <f t="shared" si="2"/>
        <v>11.84</v>
      </c>
      <c r="P18" s="64">
        <f t="shared" si="6"/>
        <v>1.1111111111111109</v>
      </c>
      <c r="Q18" s="65">
        <f t="shared" si="4"/>
        <v>10.666666666666668</v>
      </c>
      <c r="R18" s="66">
        <f t="shared" si="5"/>
        <v>66.666666666666671</v>
      </c>
      <c r="S18" s="63">
        <v>67</v>
      </c>
      <c r="T18" s="86"/>
      <c r="U18" s="86"/>
      <c r="V18" s="86"/>
    </row>
    <row r="19" spans="5:22" ht="15" customHeight="1">
      <c r="E19" s="59">
        <v>13</v>
      </c>
      <c r="F19" s="60" t="s">
        <v>1752</v>
      </c>
      <c r="G19" s="61">
        <v>0.25</v>
      </c>
      <c r="H19" s="61">
        <v>0.35</v>
      </c>
      <c r="I19" s="62">
        <f t="shared" si="0"/>
        <v>11.428571428571429</v>
      </c>
      <c r="J19" s="1038">
        <v>1</v>
      </c>
      <c r="K19" s="63" t="s">
        <v>1740</v>
      </c>
      <c r="L19" s="1048">
        <v>6</v>
      </c>
      <c r="M19" s="1040">
        <f t="shared" si="1"/>
        <v>0.222</v>
      </c>
      <c r="N19" s="63">
        <f t="shared" si="3"/>
        <v>0.222</v>
      </c>
      <c r="O19" s="64">
        <f t="shared" si="2"/>
        <v>2.5371428571428574</v>
      </c>
      <c r="P19" s="64">
        <f t="shared" si="6"/>
        <v>0.95238095238095244</v>
      </c>
      <c r="Q19" s="65">
        <f t="shared" si="4"/>
        <v>9.7142857142857135</v>
      </c>
      <c r="R19" s="66">
        <f t="shared" si="5"/>
        <v>57.142857142857139</v>
      </c>
      <c r="S19" s="63">
        <v>58</v>
      </c>
      <c r="T19" s="86"/>
      <c r="U19" s="86"/>
      <c r="V19" s="86"/>
    </row>
    <row r="20" spans="5:22" ht="15" customHeight="1">
      <c r="E20" s="59">
        <v>14</v>
      </c>
      <c r="F20" s="60" t="s">
        <v>1753</v>
      </c>
      <c r="G20" s="61">
        <v>0.25</v>
      </c>
      <c r="H20" s="61">
        <v>0.4</v>
      </c>
      <c r="I20" s="62">
        <f t="shared" si="0"/>
        <v>10</v>
      </c>
      <c r="J20" s="1038">
        <v>1</v>
      </c>
      <c r="K20" s="63" t="s">
        <v>1740</v>
      </c>
      <c r="L20" s="1048">
        <v>6</v>
      </c>
      <c r="M20" s="1040">
        <f t="shared" si="1"/>
        <v>0.222</v>
      </c>
      <c r="N20" s="63">
        <f t="shared" si="3"/>
        <v>0.222</v>
      </c>
      <c r="O20" s="64">
        <f t="shared" si="2"/>
        <v>2.2200000000000002</v>
      </c>
      <c r="P20" s="64">
        <f t="shared" si="6"/>
        <v>0.83333333333333337</v>
      </c>
      <c r="Q20" s="65">
        <f t="shared" si="4"/>
        <v>9</v>
      </c>
      <c r="R20" s="66">
        <f t="shared" si="5"/>
        <v>50</v>
      </c>
      <c r="S20" s="63">
        <v>50</v>
      </c>
      <c r="T20" s="86"/>
      <c r="U20" s="86"/>
      <c r="V20" s="86"/>
    </row>
    <row r="21" spans="5:22" ht="15" customHeight="1">
      <c r="E21" s="59">
        <v>15</v>
      </c>
      <c r="F21" s="60" t="s">
        <v>1754</v>
      </c>
      <c r="G21" s="61">
        <v>0.25</v>
      </c>
      <c r="H21" s="61">
        <v>0.45</v>
      </c>
      <c r="I21" s="62">
        <f t="shared" si="0"/>
        <v>8.8888888888888893</v>
      </c>
      <c r="J21" s="1038">
        <v>1</v>
      </c>
      <c r="K21" s="63" t="s">
        <v>1740</v>
      </c>
      <c r="L21" s="1048">
        <v>6</v>
      </c>
      <c r="M21" s="1040">
        <f t="shared" si="1"/>
        <v>0.222</v>
      </c>
      <c r="N21" s="63">
        <f t="shared" si="3"/>
        <v>0.222</v>
      </c>
      <c r="O21" s="64">
        <f t="shared" si="2"/>
        <v>1.9733333333333334</v>
      </c>
      <c r="P21" s="64">
        <f t="shared" si="6"/>
        <v>0.7407407407407407</v>
      </c>
      <c r="Q21" s="65">
        <f t="shared" si="4"/>
        <v>8.4444444444444446</v>
      </c>
      <c r="R21" s="66">
        <f t="shared" si="5"/>
        <v>44.444444444444443</v>
      </c>
      <c r="S21" s="63">
        <v>45</v>
      </c>
      <c r="T21" s="86"/>
      <c r="U21" s="86"/>
      <c r="V21" s="86"/>
    </row>
    <row r="22" spans="5:22" ht="15" customHeight="1">
      <c r="E22" s="59">
        <v>16</v>
      </c>
      <c r="F22" s="60" t="s">
        <v>1755</v>
      </c>
      <c r="G22" s="61">
        <v>0.25</v>
      </c>
      <c r="H22" s="61">
        <v>0.5</v>
      </c>
      <c r="I22" s="62">
        <f t="shared" si="0"/>
        <v>8</v>
      </c>
      <c r="J22" s="1038">
        <v>1</v>
      </c>
      <c r="K22" s="63" t="s">
        <v>1740</v>
      </c>
      <c r="L22" s="1048">
        <v>6</v>
      </c>
      <c r="M22" s="1040">
        <f t="shared" si="1"/>
        <v>0.222</v>
      </c>
      <c r="N22" s="63">
        <f t="shared" si="3"/>
        <v>0.222</v>
      </c>
      <c r="O22" s="64">
        <f t="shared" si="2"/>
        <v>1.776</v>
      </c>
      <c r="P22" s="64">
        <f t="shared" si="6"/>
        <v>0.66666666666666663</v>
      </c>
      <c r="Q22" s="65">
        <f t="shared" si="4"/>
        <v>8</v>
      </c>
      <c r="R22" s="66">
        <f t="shared" si="5"/>
        <v>40</v>
      </c>
      <c r="S22" s="63">
        <v>40</v>
      </c>
      <c r="T22" s="86"/>
      <c r="U22" s="86"/>
      <c r="V22" s="86"/>
    </row>
    <row r="23" spans="5:22" ht="15" customHeight="1">
      <c r="E23" s="59">
        <v>17</v>
      </c>
      <c r="F23" s="60" t="s">
        <v>1756</v>
      </c>
      <c r="G23" s="61">
        <v>0.3</v>
      </c>
      <c r="H23" s="61">
        <v>0.3</v>
      </c>
      <c r="I23" s="62">
        <f t="shared" si="0"/>
        <v>11.111111111111111</v>
      </c>
      <c r="J23" s="1038">
        <v>1</v>
      </c>
      <c r="K23" s="63" t="s">
        <v>1740</v>
      </c>
      <c r="L23" s="1048">
        <v>6</v>
      </c>
      <c r="M23" s="1040">
        <f t="shared" si="1"/>
        <v>0.222</v>
      </c>
      <c r="N23" s="63">
        <f t="shared" si="3"/>
        <v>0.222</v>
      </c>
      <c r="O23" s="64">
        <f t="shared" si="2"/>
        <v>2.4666666666666668</v>
      </c>
      <c r="P23" s="64">
        <f t="shared" si="6"/>
        <v>0.92592592592592593</v>
      </c>
      <c r="Q23" s="65">
        <f t="shared" si="4"/>
        <v>9.9999999999999982</v>
      </c>
      <c r="R23" s="66">
        <f t="shared" si="5"/>
        <v>55.55555555555555</v>
      </c>
      <c r="S23" s="63">
        <v>56</v>
      </c>
      <c r="T23" s="86"/>
      <c r="U23" s="86"/>
      <c r="V23" s="86"/>
    </row>
    <row r="24" spans="5:22" ht="15" customHeight="1">
      <c r="E24" s="59">
        <v>18</v>
      </c>
      <c r="F24" s="60" t="s">
        <v>1757</v>
      </c>
      <c r="G24" s="61">
        <v>0.3</v>
      </c>
      <c r="H24" s="61">
        <v>0.35</v>
      </c>
      <c r="I24" s="62">
        <f t="shared" si="0"/>
        <v>9.5238095238095237</v>
      </c>
      <c r="J24" s="1038">
        <v>1</v>
      </c>
      <c r="K24" s="63" t="s">
        <v>1740</v>
      </c>
      <c r="L24" s="1048">
        <v>6</v>
      </c>
      <c r="M24" s="1040">
        <f t="shared" si="1"/>
        <v>0.222</v>
      </c>
      <c r="N24" s="63">
        <f t="shared" si="3"/>
        <v>0.222</v>
      </c>
      <c r="O24" s="64">
        <f t="shared" si="2"/>
        <v>2.1142857142857143</v>
      </c>
      <c r="P24" s="64">
        <f t="shared" si="6"/>
        <v>0.79365079365079361</v>
      </c>
      <c r="Q24" s="65">
        <f t="shared" si="4"/>
        <v>9.0476190476190474</v>
      </c>
      <c r="R24" s="66">
        <f t="shared" si="5"/>
        <v>47.619047619047613</v>
      </c>
      <c r="S24" s="63">
        <v>48</v>
      </c>
      <c r="T24" s="86"/>
      <c r="U24" s="86"/>
      <c r="V24" s="86"/>
    </row>
    <row r="25" spans="5:22" ht="15" customHeight="1">
      <c r="E25" s="59">
        <v>19</v>
      </c>
      <c r="F25" s="60" t="s">
        <v>1758</v>
      </c>
      <c r="G25" s="61">
        <v>0.3</v>
      </c>
      <c r="H25" s="61">
        <v>0.4</v>
      </c>
      <c r="I25" s="62">
        <f t="shared" si="0"/>
        <v>8.3333333333333339</v>
      </c>
      <c r="J25" s="1038">
        <v>1</v>
      </c>
      <c r="K25" s="63" t="s">
        <v>1740</v>
      </c>
      <c r="L25" s="1048">
        <v>6</v>
      </c>
      <c r="M25" s="1040">
        <f t="shared" si="1"/>
        <v>0.222</v>
      </c>
      <c r="N25" s="63">
        <f t="shared" si="3"/>
        <v>0.222</v>
      </c>
      <c r="O25" s="64">
        <f t="shared" si="2"/>
        <v>1.85</v>
      </c>
      <c r="P25" s="64">
        <f t="shared" si="6"/>
        <v>0.69444444444444442</v>
      </c>
      <c r="Q25" s="65">
        <f t="shared" si="4"/>
        <v>8.3333333333333339</v>
      </c>
      <c r="R25" s="66">
        <f t="shared" si="5"/>
        <v>41.666666666666664</v>
      </c>
      <c r="S25" s="63">
        <v>42</v>
      </c>
      <c r="T25" s="86"/>
      <c r="U25" s="86"/>
      <c r="V25" s="86"/>
    </row>
    <row r="26" spans="5:22" ht="15" customHeight="1">
      <c r="E26" s="59">
        <v>20</v>
      </c>
      <c r="F26" s="60" t="s">
        <v>1759</v>
      </c>
      <c r="G26" s="61">
        <v>0.35</v>
      </c>
      <c r="H26" s="61">
        <v>0.45</v>
      </c>
      <c r="I26" s="62">
        <f t="shared" si="0"/>
        <v>6.3492063492063489</v>
      </c>
      <c r="J26" s="1038">
        <v>1</v>
      </c>
      <c r="K26" s="63" t="s">
        <v>1740</v>
      </c>
      <c r="L26" s="1048">
        <v>6</v>
      </c>
      <c r="M26" s="1040">
        <f t="shared" si="1"/>
        <v>0.222</v>
      </c>
      <c r="N26" s="63">
        <f t="shared" si="3"/>
        <v>0.222</v>
      </c>
      <c r="O26" s="64">
        <f t="shared" si="2"/>
        <v>1.4095238095238094</v>
      </c>
      <c r="P26" s="64">
        <f t="shared" si="6"/>
        <v>0.52910052910052907</v>
      </c>
      <c r="Q26" s="65">
        <f t="shared" si="4"/>
        <v>7.3015873015873005</v>
      </c>
      <c r="R26" s="66">
        <f t="shared" si="5"/>
        <v>31.746031746031743</v>
      </c>
      <c r="S26" s="63">
        <v>32</v>
      </c>
      <c r="T26" s="86"/>
      <c r="U26" s="86"/>
      <c r="V26" s="86"/>
    </row>
    <row r="27" spans="5:22" ht="15" customHeight="1">
      <c r="E27" s="59">
        <v>21</v>
      </c>
      <c r="F27" s="60" t="s">
        <v>1760</v>
      </c>
      <c r="G27" s="61">
        <v>0.35</v>
      </c>
      <c r="H27" s="61">
        <v>0.5</v>
      </c>
      <c r="I27" s="62">
        <f t="shared" si="0"/>
        <v>5.7142857142857144</v>
      </c>
      <c r="J27" s="1038">
        <v>1</v>
      </c>
      <c r="K27" s="63" t="s">
        <v>1740</v>
      </c>
      <c r="L27" s="1048">
        <v>6</v>
      </c>
      <c r="M27" s="1040">
        <f t="shared" si="1"/>
        <v>0.222</v>
      </c>
      <c r="N27" s="63">
        <f t="shared" si="3"/>
        <v>0.222</v>
      </c>
      <c r="O27" s="64">
        <f t="shared" si="2"/>
        <v>1.2685714285714287</v>
      </c>
      <c r="P27" s="64">
        <f t="shared" si="6"/>
        <v>0.47619047619047622</v>
      </c>
      <c r="Q27" s="65">
        <f t="shared" si="4"/>
        <v>6.8571428571428568</v>
      </c>
      <c r="R27" s="66">
        <f t="shared" si="5"/>
        <v>28.571428571428569</v>
      </c>
      <c r="S27" s="63">
        <v>29</v>
      </c>
      <c r="T27" s="86"/>
      <c r="U27" s="86"/>
      <c r="V27" s="86"/>
    </row>
    <row r="28" spans="5:22" ht="15" customHeight="1">
      <c r="E28" s="59">
        <v>22</v>
      </c>
      <c r="F28" s="60" t="s">
        <v>1761</v>
      </c>
      <c r="G28" s="61">
        <v>0.4</v>
      </c>
      <c r="H28" s="61">
        <v>0.4</v>
      </c>
      <c r="I28" s="62">
        <f t="shared" si="0"/>
        <v>6.2499999999999991</v>
      </c>
      <c r="J28" s="1038">
        <v>1</v>
      </c>
      <c r="K28" s="63" t="s">
        <v>1740</v>
      </c>
      <c r="L28" s="1048">
        <v>6</v>
      </c>
      <c r="M28" s="1040">
        <f t="shared" si="1"/>
        <v>0.222</v>
      </c>
      <c r="N28" s="63">
        <f t="shared" si="3"/>
        <v>0.222</v>
      </c>
      <c r="O28" s="64">
        <f t="shared" si="2"/>
        <v>1.3874999999999997</v>
      </c>
      <c r="P28" s="64">
        <f t="shared" si="6"/>
        <v>0.52083333333333326</v>
      </c>
      <c r="Q28" s="65">
        <f t="shared" si="4"/>
        <v>7.5</v>
      </c>
      <c r="R28" s="66">
        <f t="shared" si="5"/>
        <v>31.249999999999993</v>
      </c>
      <c r="S28" s="63">
        <v>32</v>
      </c>
      <c r="T28" s="86"/>
      <c r="U28" s="86"/>
      <c r="V28" s="86"/>
    </row>
    <row r="29" spans="5:22" ht="15" customHeight="1">
      <c r="E29" s="59">
        <v>23</v>
      </c>
      <c r="F29" s="60" t="s">
        <v>1762</v>
      </c>
      <c r="G29" s="61">
        <v>0.4</v>
      </c>
      <c r="H29" s="61">
        <v>0.45</v>
      </c>
      <c r="I29" s="62">
        <f t="shared" si="0"/>
        <v>5.5555555555555545</v>
      </c>
      <c r="J29" s="1038">
        <v>1</v>
      </c>
      <c r="K29" s="63" t="s">
        <v>1740</v>
      </c>
      <c r="L29" s="1048">
        <v>6</v>
      </c>
      <c r="M29" s="1040">
        <f t="shared" si="1"/>
        <v>0.222</v>
      </c>
      <c r="N29" s="63">
        <f t="shared" si="3"/>
        <v>0.222</v>
      </c>
      <c r="O29" s="64">
        <f t="shared" si="2"/>
        <v>1.2333333333333332</v>
      </c>
      <c r="P29" s="64">
        <f t="shared" si="6"/>
        <v>0.46296296296296285</v>
      </c>
      <c r="Q29" s="65">
        <f t="shared" si="4"/>
        <v>6.9444444444444429</v>
      </c>
      <c r="R29" s="66">
        <f t="shared" si="5"/>
        <v>27.777777777777771</v>
      </c>
      <c r="S29" s="63">
        <v>28</v>
      </c>
    </row>
    <row r="30" spans="5:22" ht="15" customHeight="1">
      <c r="E30" s="59">
        <v>24</v>
      </c>
      <c r="F30" s="60" t="s">
        <v>1763</v>
      </c>
      <c r="G30" s="61">
        <v>0.4</v>
      </c>
      <c r="H30" s="61">
        <v>0.5</v>
      </c>
      <c r="I30" s="62">
        <f t="shared" si="0"/>
        <v>5</v>
      </c>
      <c r="J30" s="1038">
        <v>1</v>
      </c>
      <c r="K30" s="63" t="s">
        <v>1740</v>
      </c>
      <c r="L30" s="1048">
        <v>6</v>
      </c>
      <c r="M30" s="1040">
        <f t="shared" si="1"/>
        <v>0.222</v>
      </c>
      <c r="N30" s="63">
        <f t="shared" si="3"/>
        <v>0.222</v>
      </c>
      <c r="O30" s="64">
        <f t="shared" si="2"/>
        <v>1.1100000000000001</v>
      </c>
      <c r="P30" s="64">
        <f t="shared" si="6"/>
        <v>0.41666666666666669</v>
      </c>
      <c r="Q30" s="65">
        <f t="shared" si="4"/>
        <v>6.5</v>
      </c>
      <c r="R30" s="66">
        <f t="shared" si="5"/>
        <v>25</v>
      </c>
      <c r="S30" s="63">
        <v>25</v>
      </c>
    </row>
    <row r="31" spans="5:22" ht="15" customHeight="1">
      <c r="E31" s="59">
        <v>25</v>
      </c>
      <c r="F31" s="60" t="s">
        <v>1764</v>
      </c>
      <c r="G31" s="61">
        <v>0.15</v>
      </c>
      <c r="H31" s="61">
        <v>0.2</v>
      </c>
      <c r="I31" s="62">
        <f t="shared" si="0"/>
        <v>33.333333333333336</v>
      </c>
      <c r="J31" s="1038">
        <v>4</v>
      </c>
      <c r="K31" s="63" t="s">
        <v>1740</v>
      </c>
      <c r="L31" s="1048">
        <v>10</v>
      </c>
      <c r="M31" s="1040">
        <f t="shared" si="1"/>
        <v>0.61699999999999999</v>
      </c>
      <c r="N31" s="63">
        <f t="shared" si="3"/>
        <v>2.468</v>
      </c>
      <c r="O31" s="64">
        <f t="shared" si="2"/>
        <v>82.266666666666666</v>
      </c>
      <c r="P31" s="64">
        <f t="shared" si="6"/>
        <v>11.111111111111111</v>
      </c>
      <c r="Q31" s="65">
        <f t="shared" si="4"/>
        <v>16.666666666666668</v>
      </c>
      <c r="R31" s="66">
        <f t="shared" si="5"/>
        <v>166.66666666666666</v>
      </c>
      <c r="S31" s="63">
        <v>167</v>
      </c>
    </row>
    <row r="32" spans="5:22" ht="15" customHeight="1">
      <c r="E32" s="59">
        <v>26</v>
      </c>
      <c r="F32" s="60" t="s">
        <v>1765</v>
      </c>
      <c r="G32" s="61">
        <v>0.15</v>
      </c>
      <c r="H32" s="61">
        <v>0.25</v>
      </c>
      <c r="I32" s="62">
        <f t="shared" si="0"/>
        <v>26.666666666666668</v>
      </c>
      <c r="J32" s="1038">
        <v>1</v>
      </c>
      <c r="K32" s="63" t="s">
        <v>1740</v>
      </c>
      <c r="L32" s="1048">
        <v>10</v>
      </c>
      <c r="M32" s="1040">
        <f t="shared" si="1"/>
        <v>0.61699999999999999</v>
      </c>
      <c r="N32" s="63">
        <f t="shared" si="3"/>
        <v>0.61699999999999999</v>
      </c>
      <c r="O32" s="64">
        <f>I32*N32</f>
        <v>16.453333333333333</v>
      </c>
      <c r="P32" s="64">
        <f t="shared" si="6"/>
        <v>2.2222222222222223</v>
      </c>
      <c r="Q32" s="65">
        <f t="shared" si="4"/>
        <v>14.666666666666668</v>
      </c>
      <c r="R32" s="66">
        <f t="shared" si="5"/>
        <v>133.33333333333334</v>
      </c>
      <c r="S32" s="63">
        <v>134</v>
      </c>
    </row>
    <row r="33" spans="1:19" ht="15" customHeight="1">
      <c r="E33" s="59">
        <v>27</v>
      </c>
      <c r="F33" s="60" t="s">
        <v>1766</v>
      </c>
      <c r="G33" s="61">
        <v>0.15</v>
      </c>
      <c r="H33" s="61">
        <v>0.3</v>
      </c>
      <c r="I33" s="62">
        <f t="shared" si="0"/>
        <v>22.222222222222221</v>
      </c>
      <c r="J33" s="1038">
        <v>1</v>
      </c>
      <c r="K33" s="63" t="s">
        <v>1740</v>
      </c>
      <c r="L33" s="1048">
        <v>10</v>
      </c>
      <c r="M33" s="1040">
        <f t="shared" si="1"/>
        <v>0.61699999999999999</v>
      </c>
      <c r="N33" s="63">
        <f t="shared" si="3"/>
        <v>0.61699999999999999</v>
      </c>
      <c r="O33" s="64">
        <f>I33*N33</f>
        <v>13.71111111111111</v>
      </c>
      <c r="P33" s="64">
        <f t="shared" si="6"/>
        <v>1.8518518518518519</v>
      </c>
      <c r="Q33" s="65">
        <f t="shared" si="4"/>
        <v>13.333333333333332</v>
      </c>
      <c r="R33" s="66">
        <f t="shared" si="5"/>
        <v>111.1111111111111</v>
      </c>
      <c r="S33" s="63">
        <v>112</v>
      </c>
    </row>
    <row r="34" spans="1:19" ht="15" customHeight="1">
      <c r="E34" s="59">
        <v>28</v>
      </c>
      <c r="F34" s="60" t="s">
        <v>1767</v>
      </c>
      <c r="G34" s="61">
        <v>0.2</v>
      </c>
      <c r="H34" s="61">
        <v>0.2</v>
      </c>
      <c r="I34" s="62">
        <f t="shared" si="0"/>
        <v>24.999999999999996</v>
      </c>
      <c r="J34" s="1038">
        <v>1</v>
      </c>
      <c r="K34" s="63" t="s">
        <v>1740</v>
      </c>
      <c r="L34" s="1048">
        <v>6</v>
      </c>
      <c r="M34" s="1040">
        <f t="shared" si="1"/>
        <v>0.222</v>
      </c>
      <c r="N34" s="63">
        <f t="shared" si="3"/>
        <v>0.222</v>
      </c>
      <c r="O34" s="64">
        <f t="shared" ref="O34:O41" si="7">I34*N34</f>
        <v>5.5499999999999989</v>
      </c>
      <c r="P34" s="64">
        <f t="shared" si="6"/>
        <v>2.083333333333333</v>
      </c>
      <c r="Q34" s="65">
        <f t="shared" si="4"/>
        <v>15</v>
      </c>
      <c r="R34" s="66">
        <f t="shared" si="5"/>
        <v>124.99999999999997</v>
      </c>
      <c r="S34" s="63">
        <v>125</v>
      </c>
    </row>
    <row r="35" spans="1:19" ht="15" customHeight="1">
      <c r="A35" s="1096" t="s">
        <v>2381</v>
      </c>
      <c r="B35" s="1096"/>
      <c r="C35" s="1096"/>
      <c r="E35" s="59">
        <v>29</v>
      </c>
      <c r="F35" s="60" t="s">
        <v>1768</v>
      </c>
      <c r="G35" s="61">
        <v>0.2</v>
      </c>
      <c r="H35" s="61">
        <v>0.25</v>
      </c>
      <c r="I35" s="62">
        <f t="shared" si="0"/>
        <v>20</v>
      </c>
      <c r="J35" s="1038">
        <v>1</v>
      </c>
      <c r="K35" s="63" t="s">
        <v>1740</v>
      </c>
      <c r="L35" s="1048">
        <v>6</v>
      </c>
      <c r="M35" s="1040">
        <f t="shared" si="1"/>
        <v>0.222</v>
      </c>
      <c r="N35" s="63">
        <f t="shared" si="3"/>
        <v>0.222</v>
      </c>
      <c r="O35" s="64">
        <f t="shared" si="7"/>
        <v>4.4400000000000004</v>
      </c>
      <c r="P35" s="64">
        <f t="shared" si="6"/>
        <v>1.6666666666666667</v>
      </c>
      <c r="Q35" s="65">
        <f t="shared" si="4"/>
        <v>13</v>
      </c>
      <c r="R35" s="66">
        <f t="shared" si="5"/>
        <v>100</v>
      </c>
      <c r="S35" s="63">
        <v>100</v>
      </c>
    </row>
    <row r="36" spans="1:19" ht="15" customHeight="1">
      <c r="E36" s="59">
        <v>30</v>
      </c>
      <c r="F36" s="60" t="s">
        <v>1769</v>
      </c>
      <c r="G36" s="61">
        <v>0.2</v>
      </c>
      <c r="H36" s="61">
        <v>0.3</v>
      </c>
      <c r="I36" s="62">
        <f t="shared" si="0"/>
        <v>16.666666666666668</v>
      </c>
      <c r="J36" s="1038">
        <v>1</v>
      </c>
      <c r="K36" s="63" t="s">
        <v>1740</v>
      </c>
      <c r="L36" s="1048">
        <v>6</v>
      </c>
      <c r="M36" s="1040">
        <f t="shared" si="1"/>
        <v>0.222</v>
      </c>
      <c r="N36" s="63">
        <f t="shared" si="3"/>
        <v>0.222</v>
      </c>
      <c r="O36" s="64">
        <f t="shared" si="7"/>
        <v>3.7</v>
      </c>
      <c r="P36" s="64">
        <f t="shared" si="6"/>
        <v>1.3888888888888888</v>
      </c>
      <c r="Q36" s="65">
        <f t="shared" si="4"/>
        <v>11.666666666666666</v>
      </c>
      <c r="R36" s="66">
        <f t="shared" si="5"/>
        <v>83.333333333333329</v>
      </c>
      <c r="S36" s="63">
        <v>84</v>
      </c>
    </row>
    <row r="37" spans="1:19" ht="15" customHeight="1">
      <c r="E37" s="59">
        <v>31</v>
      </c>
      <c r="F37" s="60" t="s">
        <v>1770</v>
      </c>
      <c r="G37" s="61">
        <v>0.2</v>
      </c>
      <c r="H37" s="61">
        <v>0.35</v>
      </c>
      <c r="I37" s="62">
        <f t="shared" si="0"/>
        <v>14.285714285714286</v>
      </c>
      <c r="J37" s="1038">
        <v>1</v>
      </c>
      <c r="K37" s="63" t="s">
        <v>1740</v>
      </c>
      <c r="L37" s="1048">
        <v>6</v>
      </c>
      <c r="M37" s="1040">
        <f t="shared" si="1"/>
        <v>0.222</v>
      </c>
      <c r="N37" s="63">
        <f t="shared" si="3"/>
        <v>0.222</v>
      </c>
      <c r="O37" s="64">
        <f t="shared" si="7"/>
        <v>3.1714285714285717</v>
      </c>
      <c r="P37" s="64">
        <f t="shared" si="6"/>
        <v>1.1904761904761905</v>
      </c>
      <c r="Q37" s="65">
        <f t="shared" si="4"/>
        <v>10.714285714285715</v>
      </c>
      <c r="R37" s="66">
        <f t="shared" si="5"/>
        <v>71.428571428571431</v>
      </c>
      <c r="S37" s="63">
        <v>72</v>
      </c>
    </row>
    <row r="38" spans="1:19" ht="15" customHeight="1">
      <c r="E38" s="59">
        <v>32</v>
      </c>
      <c r="F38" s="60" t="s">
        <v>1771</v>
      </c>
      <c r="G38" s="61">
        <v>0.2</v>
      </c>
      <c r="H38" s="61">
        <v>0.4</v>
      </c>
      <c r="I38" s="62">
        <f t="shared" si="0"/>
        <v>12.499999999999998</v>
      </c>
      <c r="J38" s="1038">
        <v>1</v>
      </c>
      <c r="K38" s="63" t="s">
        <v>1740</v>
      </c>
      <c r="L38" s="1048">
        <v>6</v>
      </c>
      <c r="M38" s="1040">
        <f t="shared" si="1"/>
        <v>0.222</v>
      </c>
      <c r="N38" s="63">
        <f t="shared" si="3"/>
        <v>0.222</v>
      </c>
      <c r="O38" s="64">
        <f t="shared" si="7"/>
        <v>2.7749999999999995</v>
      </c>
      <c r="P38" s="64">
        <f t="shared" si="6"/>
        <v>1.0416666666666665</v>
      </c>
      <c r="Q38" s="65">
        <f t="shared" si="4"/>
        <v>10</v>
      </c>
      <c r="R38" s="66">
        <f t="shared" si="5"/>
        <v>62.499999999999986</v>
      </c>
      <c r="S38" s="63">
        <v>63</v>
      </c>
    </row>
    <row r="39" spans="1:19" ht="15" customHeight="1">
      <c r="E39" s="59">
        <v>33</v>
      </c>
      <c r="F39" s="60" t="s">
        <v>1772</v>
      </c>
      <c r="G39" s="61">
        <v>0.25</v>
      </c>
      <c r="H39" s="61">
        <v>0.25</v>
      </c>
      <c r="I39" s="62">
        <f t="shared" si="0"/>
        <v>16</v>
      </c>
      <c r="J39" s="1038">
        <v>1</v>
      </c>
      <c r="K39" s="63" t="s">
        <v>1740</v>
      </c>
      <c r="L39" s="1048">
        <v>6</v>
      </c>
      <c r="M39" s="1040">
        <f t="shared" si="1"/>
        <v>0.222</v>
      </c>
      <c r="N39" s="63">
        <f t="shared" si="3"/>
        <v>0.222</v>
      </c>
      <c r="O39" s="64">
        <f t="shared" si="7"/>
        <v>3.552</v>
      </c>
      <c r="P39" s="64">
        <f t="shared" si="6"/>
        <v>1.3333333333333333</v>
      </c>
      <c r="Q39" s="65">
        <f t="shared" si="4"/>
        <v>12</v>
      </c>
      <c r="R39" s="66">
        <f t="shared" si="5"/>
        <v>80</v>
      </c>
      <c r="S39" s="63">
        <v>80</v>
      </c>
    </row>
    <row r="40" spans="1:19" ht="15" customHeight="1">
      <c r="E40" s="59">
        <v>34</v>
      </c>
      <c r="F40" s="60" t="s">
        <v>1773</v>
      </c>
      <c r="G40" s="61">
        <v>0.25</v>
      </c>
      <c r="H40" s="61">
        <v>0.3</v>
      </c>
      <c r="I40" s="62">
        <f t="shared" si="0"/>
        <v>13.333333333333334</v>
      </c>
      <c r="J40" s="1038">
        <v>1</v>
      </c>
      <c r="K40" s="63" t="s">
        <v>1740</v>
      </c>
      <c r="L40" s="1048">
        <v>6</v>
      </c>
      <c r="M40" s="1040">
        <f t="shared" si="1"/>
        <v>0.222</v>
      </c>
      <c r="N40" s="63">
        <f t="shared" si="3"/>
        <v>0.222</v>
      </c>
      <c r="O40" s="64">
        <f t="shared" si="7"/>
        <v>2.96</v>
      </c>
      <c r="P40" s="64">
        <f t="shared" si="6"/>
        <v>1.1111111111111109</v>
      </c>
      <c r="Q40" s="65">
        <f t="shared" si="4"/>
        <v>10.666666666666668</v>
      </c>
      <c r="R40" s="66">
        <f t="shared" si="5"/>
        <v>66.666666666666671</v>
      </c>
      <c r="S40" s="63">
        <v>67</v>
      </c>
    </row>
    <row r="41" spans="1:19" ht="15" customHeight="1">
      <c r="E41" s="59">
        <v>35</v>
      </c>
      <c r="F41" s="60" t="s">
        <v>1774</v>
      </c>
      <c r="G41" s="61">
        <v>0.25</v>
      </c>
      <c r="H41" s="61">
        <v>0.35</v>
      </c>
      <c r="I41" s="62">
        <f t="shared" si="0"/>
        <v>11.428571428571429</v>
      </c>
      <c r="J41" s="1038">
        <v>1</v>
      </c>
      <c r="K41" s="63" t="s">
        <v>1740</v>
      </c>
      <c r="L41" s="1048">
        <v>6</v>
      </c>
      <c r="M41" s="1040">
        <f t="shared" si="1"/>
        <v>0.222</v>
      </c>
      <c r="N41" s="63">
        <f t="shared" si="3"/>
        <v>0.222</v>
      </c>
      <c r="O41" s="64">
        <f t="shared" si="7"/>
        <v>2.5371428571428574</v>
      </c>
      <c r="P41" s="64">
        <f t="shared" si="6"/>
        <v>0.95238095238095244</v>
      </c>
      <c r="Q41" s="65">
        <f t="shared" si="4"/>
        <v>9.7142857142857135</v>
      </c>
      <c r="R41" s="66">
        <f t="shared" si="5"/>
        <v>57.142857142857139</v>
      </c>
      <c r="S41" s="63">
        <v>58</v>
      </c>
    </row>
    <row r="42" spans="1:19" ht="15" customHeight="1">
      <c r="E42" s="59">
        <v>36</v>
      </c>
      <c r="F42" s="60" t="s">
        <v>1775</v>
      </c>
      <c r="G42" s="61">
        <v>0.25</v>
      </c>
      <c r="H42" s="61">
        <v>0.4</v>
      </c>
      <c r="I42" s="62">
        <f t="shared" si="0"/>
        <v>10</v>
      </c>
      <c r="J42" s="1038">
        <v>1</v>
      </c>
      <c r="K42" s="63" t="s">
        <v>1740</v>
      </c>
      <c r="L42" s="1048">
        <v>6</v>
      </c>
      <c r="M42" s="1040">
        <f t="shared" si="1"/>
        <v>0.222</v>
      </c>
      <c r="N42" s="63">
        <f t="shared" si="3"/>
        <v>0.222</v>
      </c>
      <c r="O42" s="64">
        <f>I42*N42</f>
        <v>2.2200000000000002</v>
      </c>
      <c r="P42" s="64">
        <f t="shared" si="6"/>
        <v>0.83333333333333337</v>
      </c>
      <c r="Q42" s="65">
        <f t="shared" si="4"/>
        <v>9</v>
      </c>
      <c r="R42" s="66">
        <f t="shared" si="5"/>
        <v>50</v>
      </c>
      <c r="S42" s="63">
        <v>50</v>
      </c>
    </row>
    <row r="43" spans="1:19" ht="15" customHeight="1">
      <c r="E43" s="59">
        <v>37</v>
      </c>
      <c r="F43" s="60" t="s">
        <v>1776</v>
      </c>
      <c r="G43" s="61">
        <v>0.25</v>
      </c>
      <c r="H43" s="61">
        <v>0.45</v>
      </c>
      <c r="I43" s="62">
        <f t="shared" si="0"/>
        <v>8.8888888888888893</v>
      </c>
      <c r="J43" s="1038">
        <v>1</v>
      </c>
      <c r="K43" s="63" t="s">
        <v>1740</v>
      </c>
      <c r="L43" s="1048">
        <v>6</v>
      </c>
      <c r="M43" s="1040">
        <f t="shared" si="1"/>
        <v>0.222</v>
      </c>
      <c r="N43" s="63">
        <f t="shared" si="3"/>
        <v>0.222</v>
      </c>
      <c r="O43" s="64">
        <f>I43*N43</f>
        <v>1.9733333333333334</v>
      </c>
      <c r="P43" s="64">
        <f t="shared" si="6"/>
        <v>0.7407407407407407</v>
      </c>
      <c r="Q43" s="65">
        <f t="shared" si="4"/>
        <v>8.4444444444444446</v>
      </c>
      <c r="R43" s="66">
        <f t="shared" si="5"/>
        <v>44.444444444444443</v>
      </c>
      <c r="S43" s="63">
        <v>45</v>
      </c>
    </row>
    <row r="44" spans="1:19" ht="15" customHeight="1">
      <c r="E44" s="59">
        <v>38</v>
      </c>
      <c r="F44" s="60" t="s">
        <v>1777</v>
      </c>
      <c r="G44" s="61">
        <v>0.25</v>
      </c>
      <c r="H44" s="61">
        <v>0.5</v>
      </c>
      <c r="I44" s="62">
        <f t="shared" si="0"/>
        <v>8</v>
      </c>
      <c r="J44" s="1038">
        <v>1</v>
      </c>
      <c r="K44" s="63" t="s">
        <v>1740</v>
      </c>
      <c r="L44" s="1048">
        <v>6</v>
      </c>
      <c r="M44" s="1040">
        <f t="shared" si="1"/>
        <v>0.222</v>
      </c>
      <c r="N44" s="63">
        <f t="shared" si="3"/>
        <v>0.222</v>
      </c>
      <c r="O44" s="64">
        <f t="shared" ref="O44:O61" si="8">I44*N44</f>
        <v>1.776</v>
      </c>
      <c r="P44" s="64">
        <f t="shared" si="6"/>
        <v>0.66666666666666663</v>
      </c>
      <c r="Q44" s="65">
        <f t="shared" si="4"/>
        <v>8</v>
      </c>
      <c r="R44" s="66">
        <f t="shared" si="5"/>
        <v>40</v>
      </c>
      <c r="S44" s="63">
        <v>40</v>
      </c>
    </row>
    <row r="45" spans="1:19" ht="15" customHeight="1">
      <c r="E45" s="59">
        <v>39</v>
      </c>
      <c r="F45" s="60" t="s">
        <v>1778</v>
      </c>
      <c r="G45" s="61">
        <v>0.3</v>
      </c>
      <c r="H45" s="61">
        <v>0.3</v>
      </c>
      <c r="I45" s="62">
        <f t="shared" si="0"/>
        <v>11.111111111111111</v>
      </c>
      <c r="J45" s="1038">
        <v>1</v>
      </c>
      <c r="K45" s="63" t="s">
        <v>1740</v>
      </c>
      <c r="L45" s="1048">
        <v>6</v>
      </c>
      <c r="M45" s="1040">
        <f t="shared" si="1"/>
        <v>0.222</v>
      </c>
      <c r="N45" s="63">
        <f t="shared" si="3"/>
        <v>0.222</v>
      </c>
      <c r="O45" s="64">
        <f t="shared" si="8"/>
        <v>2.4666666666666668</v>
      </c>
      <c r="P45" s="64">
        <f t="shared" si="6"/>
        <v>0.92592592592592593</v>
      </c>
      <c r="Q45" s="65">
        <f t="shared" si="4"/>
        <v>9.9999999999999982</v>
      </c>
      <c r="R45" s="66">
        <f t="shared" si="5"/>
        <v>55.55555555555555</v>
      </c>
      <c r="S45" s="63">
        <v>56</v>
      </c>
    </row>
    <row r="46" spans="1:19" ht="15" customHeight="1">
      <c r="E46" s="59">
        <v>40</v>
      </c>
      <c r="F46" s="60" t="s">
        <v>1779</v>
      </c>
      <c r="G46" s="61">
        <v>0.3</v>
      </c>
      <c r="H46" s="61">
        <v>0.35</v>
      </c>
      <c r="I46" s="62">
        <f t="shared" si="0"/>
        <v>9.5238095238095237</v>
      </c>
      <c r="J46" s="1038">
        <v>7</v>
      </c>
      <c r="K46" s="63" t="s">
        <v>1740</v>
      </c>
      <c r="L46" s="1048">
        <v>12</v>
      </c>
      <c r="M46" s="1040">
        <f t="shared" si="1"/>
        <v>0.88800000000000001</v>
      </c>
      <c r="N46" s="63">
        <f t="shared" si="3"/>
        <v>6.2160000000000002</v>
      </c>
      <c r="O46" s="64">
        <f t="shared" si="8"/>
        <v>59.2</v>
      </c>
      <c r="P46" s="64">
        <f t="shared" si="6"/>
        <v>5.5555555555555554</v>
      </c>
      <c r="Q46" s="65">
        <f t="shared" si="4"/>
        <v>9.0476190476190474</v>
      </c>
      <c r="R46" s="66">
        <f t="shared" si="5"/>
        <v>47.619047619047613</v>
      </c>
      <c r="S46" s="63">
        <v>48</v>
      </c>
    </row>
    <row r="47" spans="1:19" ht="15" customHeight="1">
      <c r="E47" s="59">
        <v>41</v>
      </c>
      <c r="F47" s="60" t="s">
        <v>1780</v>
      </c>
      <c r="G47" s="61">
        <v>0.3</v>
      </c>
      <c r="H47" s="61">
        <v>0.4</v>
      </c>
      <c r="I47" s="62">
        <f t="shared" si="0"/>
        <v>8.3333333333333339</v>
      </c>
      <c r="J47" s="1038">
        <v>1</v>
      </c>
      <c r="K47" s="63" t="s">
        <v>1740</v>
      </c>
      <c r="L47" s="1048">
        <v>6</v>
      </c>
      <c r="M47" s="1040">
        <f t="shared" ref="M47:M61" si="9">VLOOKUP(L47,$E$64:$F$71,2,0)</f>
        <v>0.222</v>
      </c>
      <c r="N47" s="63">
        <f t="shared" si="3"/>
        <v>0.222</v>
      </c>
      <c r="O47" s="64">
        <f t="shared" si="8"/>
        <v>1.85</v>
      </c>
      <c r="P47" s="64">
        <f t="shared" si="6"/>
        <v>0.69444444444444442</v>
      </c>
      <c r="Q47" s="65">
        <f t="shared" si="4"/>
        <v>8.3333333333333339</v>
      </c>
      <c r="R47" s="66">
        <f t="shared" si="5"/>
        <v>41.666666666666664</v>
      </c>
      <c r="S47" s="63">
        <v>42</v>
      </c>
    </row>
    <row r="48" spans="1:19" ht="15" customHeight="1">
      <c r="E48" s="59">
        <v>42</v>
      </c>
      <c r="F48" s="60" t="s">
        <v>1781</v>
      </c>
      <c r="G48" s="61">
        <v>0.35</v>
      </c>
      <c r="H48" s="61">
        <v>0.45</v>
      </c>
      <c r="I48" s="62">
        <f t="shared" si="0"/>
        <v>6.3492063492063489</v>
      </c>
      <c r="J48" s="1038">
        <v>1</v>
      </c>
      <c r="K48" s="63" t="s">
        <v>1740</v>
      </c>
      <c r="L48" s="1048">
        <v>6</v>
      </c>
      <c r="M48" s="1040">
        <f t="shared" si="9"/>
        <v>0.222</v>
      </c>
      <c r="N48" s="63">
        <f t="shared" si="3"/>
        <v>0.222</v>
      </c>
      <c r="O48" s="64">
        <f t="shared" si="8"/>
        <v>1.4095238095238094</v>
      </c>
      <c r="P48" s="64">
        <f t="shared" si="6"/>
        <v>0.52910052910052907</v>
      </c>
      <c r="Q48" s="65">
        <f t="shared" si="4"/>
        <v>7.3015873015873005</v>
      </c>
      <c r="R48" s="66">
        <f t="shared" si="5"/>
        <v>31.746031746031743</v>
      </c>
      <c r="S48" s="63">
        <v>32</v>
      </c>
    </row>
    <row r="49" spans="5:19" ht="15" customHeight="1">
      <c r="E49" s="59">
        <v>43</v>
      </c>
      <c r="F49" s="60" t="s">
        <v>1782</v>
      </c>
      <c r="G49" s="61">
        <v>0.35</v>
      </c>
      <c r="H49" s="61">
        <v>0.5</v>
      </c>
      <c r="I49" s="62">
        <f t="shared" si="0"/>
        <v>5.7142857142857144</v>
      </c>
      <c r="J49" s="1038">
        <v>1</v>
      </c>
      <c r="K49" s="63" t="s">
        <v>1740</v>
      </c>
      <c r="L49" s="1048">
        <v>6</v>
      </c>
      <c r="M49" s="1040">
        <f t="shared" si="9"/>
        <v>0.222</v>
      </c>
      <c r="N49" s="63">
        <f t="shared" si="3"/>
        <v>0.222</v>
      </c>
      <c r="O49" s="64">
        <f t="shared" si="8"/>
        <v>1.2685714285714287</v>
      </c>
      <c r="P49" s="64">
        <f t="shared" si="6"/>
        <v>0.47619047619047622</v>
      </c>
      <c r="Q49" s="65">
        <f t="shared" si="4"/>
        <v>6.8571428571428568</v>
      </c>
      <c r="R49" s="66">
        <f t="shared" si="5"/>
        <v>28.571428571428569</v>
      </c>
      <c r="S49" s="63">
        <v>29</v>
      </c>
    </row>
    <row r="50" spans="5:19" ht="15" customHeight="1">
      <c r="E50" s="59">
        <v>44</v>
      </c>
      <c r="F50" s="60" t="s">
        <v>1783</v>
      </c>
      <c r="G50" s="61">
        <v>0.4</v>
      </c>
      <c r="H50" s="61">
        <v>0.4</v>
      </c>
      <c r="I50" s="62">
        <f t="shared" si="0"/>
        <v>6.2499999999999991</v>
      </c>
      <c r="J50" s="1038">
        <v>1</v>
      </c>
      <c r="K50" s="63" t="s">
        <v>1740</v>
      </c>
      <c r="L50" s="1048">
        <v>6</v>
      </c>
      <c r="M50" s="1040">
        <f t="shared" si="9"/>
        <v>0.222</v>
      </c>
      <c r="N50" s="63">
        <f t="shared" si="3"/>
        <v>0.222</v>
      </c>
      <c r="O50" s="64">
        <f t="shared" si="8"/>
        <v>1.3874999999999997</v>
      </c>
      <c r="P50" s="64">
        <f t="shared" si="6"/>
        <v>0.52083333333333326</v>
      </c>
      <c r="Q50" s="65">
        <f t="shared" si="4"/>
        <v>7.5</v>
      </c>
      <c r="R50" s="66">
        <f t="shared" si="5"/>
        <v>31.249999999999993</v>
      </c>
      <c r="S50" s="63">
        <v>32</v>
      </c>
    </row>
    <row r="51" spans="5:19" ht="15" customHeight="1">
      <c r="E51" s="59">
        <v>45</v>
      </c>
      <c r="F51" s="60" t="s">
        <v>1784</v>
      </c>
      <c r="G51" s="61">
        <v>0.4</v>
      </c>
      <c r="H51" s="61">
        <v>0.45</v>
      </c>
      <c r="I51" s="62">
        <f t="shared" si="0"/>
        <v>5.5555555555555545</v>
      </c>
      <c r="J51" s="1038">
        <v>1</v>
      </c>
      <c r="K51" s="63" t="s">
        <v>1740</v>
      </c>
      <c r="L51" s="1048">
        <v>6</v>
      </c>
      <c r="M51" s="1040">
        <f t="shared" si="9"/>
        <v>0.222</v>
      </c>
      <c r="N51" s="63">
        <f t="shared" si="3"/>
        <v>0.222</v>
      </c>
      <c r="O51" s="64">
        <f t="shared" si="8"/>
        <v>1.2333333333333332</v>
      </c>
      <c r="P51" s="64">
        <f t="shared" si="6"/>
        <v>0.46296296296296285</v>
      </c>
      <c r="Q51" s="65">
        <f t="shared" si="4"/>
        <v>6.9444444444444429</v>
      </c>
      <c r="R51" s="66">
        <f t="shared" si="5"/>
        <v>27.777777777777771</v>
      </c>
      <c r="S51" s="63">
        <v>28</v>
      </c>
    </row>
    <row r="52" spans="5:19" ht="15" customHeight="1">
      <c r="E52" s="59">
        <v>46</v>
      </c>
      <c r="F52" s="60" t="s">
        <v>1785</v>
      </c>
      <c r="G52" s="61">
        <v>0.4</v>
      </c>
      <c r="H52" s="61">
        <v>0.5</v>
      </c>
      <c r="I52" s="62">
        <f t="shared" si="0"/>
        <v>5</v>
      </c>
      <c r="J52" s="1038">
        <v>1</v>
      </c>
      <c r="K52" s="63" t="s">
        <v>1740</v>
      </c>
      <c r="L52" s="1048">
        <v>6</v>
      </c>
      <c r="M52" s="1040">
        <f t="shared" si="9"/>
        <v>0.222</v>
      </c>
      <c r="N52" s="63">
        <f t="shared" si="3"/>
        <v>0.222</v>
      </c>
      <c r="O52" s="64">
        <f t="shared" si="8"/>
        <v>1.1100000000000001</v>
      </c>
      <c r="P52" s="64">
        <f t="shared" si="6"/>
        <v>0.41666666666666669</v>
      </c>
      <c r="Q52" s="65">
        <f t="shared" si="4"/>
        <v>6.5</v>
      </c>
      <c r="R52" s="66">
        <f t="shared" si="5"/>
        <v>25</v>
      </c>
      <c r="S52" s="63">
        <v>25</v>
      </c>
    </row>
    <row r="53" spans="5:19" ht="15" customHeight="1">
      <c r="E53" s="59">
        <v>47</v>
      </c>
      <c r="F53" s="60" t="s">
        <v>1786</v>
      </c>
      <c r="G53" s="61">
        <v>0.15</v>
      </c>
      <c r="H53" s="61">
        <v>0.15</v>
      </c>
      <c r="I53" s="62">
        <f t="shared" si="0"/>
        <v>44.444444444444443</v>
      </c>
      <c r="J53" s="1038">
        <v>4</v>
      </c>
      <c r="K53" s="63" t="s">
        <v>1740</v>
      </c>
      <c r="L53" s="1048">
        <v>8</v>
      </c>
      <c r="M53" s="1040">
        <f t="shared" si="9"/>
        <v>0.39500000000000002</v>
      </c>
      <c r="N53" s="63">
        <f t="shared" si="3"/>
        <v>1.58</v>
      </c>
      <c r="O53" s="64">
        <f t="shared" si="8"/>
        <v>70.222222222222229</v>
      </c>
      <c r="P53" s="64">
        <f t="shared" si="6"/>
        <v>14.814814814814815</v>
      </c>
      <c r="Q53" s="65">
        <f>1*(H53+H53)*I53</f>
        <v>13.333333333333332</v>
      </c>
      <c r="R53" s="66">
        <f t="shared" si="5"/>
        <v>222.2222222222222</v>
      </c>
      <c r="S53" s="63">
        <v>223</v>
      </c>
    </row>
    <row r="54" spans="5:19" ht="15" customHeight="1">
      <c r="E54" s="59">
        <v>48</v>
      </c>
      <c r="F54" s="60" t="s">
        <v>1787</v>
      </c>
      <c r="G54" s="61">
        <v>0.25</v>
      </c>
      <c r="H54" s="61">
        <v>0.09</v>
      </c>
      <c r="I54" s="62">
        <f>1/(G54+H54)</f>
        <v>2.9411764705882355</v>
      </c>
      <c r="J54" s="1038">
        <f>17+30</f>
        <v>47</v>
      </c>
      <c r="K54" s="63" t="s">
        <v>1740</v>
      </c>
      <c r="L54" s="1048">
        <v>12</v>
      </c>
      <c r="M54" s="1040">
        <f t="shared" si="9"/>
        <v>0.88800000000000001</v>
      </c>
      <c r="N54" s="63">
        <f t="shared" si="3"/>
        <v>41.735999999999997</v>
      </c>
      <c r="O54" s="64">
        <f t="shared" si="8"/>
        <v>122.75294117647059</v>
      </c>
      <c r="P54" s="64">
        <f t="shared" si="6"/>
        <v>11.519607843137255</v>
      </c>
      <c r="Q54" s="65">
        <f>1*(H54+H54)*I54</f>
        <v>0.52941176470588236</v>
      </c>
      <c r="R54" s="66">
        <f t="shared" si="5"/>
        <v>222.2222222222222</v>
      </c>
      <c r="S54" s="63">
        <v>223</v>
      </c>
    </row>
    <row r="55" spans="5:19" ht="15" customHeight="1">
      <c r="E55" s="59">
        <v>49</v>
      </c>
      <c r="F55" s="60" t="s">
        <v>1788</v>
      </c>
      <c r="G55" s="61">
        <v>1</v>
      </c>
      <c r="H55" s="61">
        <v>1</v>
      </c>
      <c r="I55" s="62">
        <f>(1/(G55*H55))+10%</f>
        <v>1.1000000000000001</v>
      </c>
      <c r="J55" s="1038">
        <v>10</v>
      </c>
      <c r="K55" s="63" t="s">
        <v>1740</v>
      </c>
      <c r="L55" s="1048">
        <v>10</v>
      </c>
      <c r="M55" s="1040">
        <f t="shared" si="9"/>
        <v>0.61699999999999999</v>
      </c>
      <c r="N55" s="63">
        <f t="shared" si="3"/>
        <v>6.17</v>
      </c>
      <c r="O55" s="64">
        <f t="shared" si="8"/>
        <v>6.7870000000000008</v>
      </c>
      <c r="P55" s="64">
        <f t="shared" si="6"/>
        <v>0.91666666666666674</v>
      </c>
      <c r="Q55" s="65">
        <f>1*(H55+H55)*I55</f>
        <v>2.2000000000000002</v>
      </c>
      <c r="R55" s="66">
        <f t="shared" si="5"/>
        <v>5</v>
      </c>
      <c r="S55" s="63">
        <v>5</v>
      </c>
    </row>
    <row r="56" spans="5:19" ht="15" customHeight="1">
      <c r="E56" s="59">
        <v>50</v>
      </c>
      <c r="F56" s="60" t="s">
        <v>1789</v>
      </c>
      <c r="G56" s="61">
        <v>0.12</v>
      </c>
      <c r="H56" s="61">
        <v>0.18</v>
      </c>
      <c r="I56" s="62">
        <f>1/((((G56+H56)/2)*0.27)*0.97)</f>
        <v>25.455008272877688</v>
      </c>
      <c r="J56" s="1038">
        <v>19</v>
      </c>
      <c r="K56" s="63" t="s">
        <v>1740</v>
      </c>
      <c r="L56" s="1048">
        <v>10</v>
      </c>
      <c r="M56" s="1040">
        <f t="shared" si="9"/>
        <v>0.61699999999999999</v>
      </c>
      <c r="N56" s="63">
        <f t="shared" si="3"/>
        <v>11.722999999999999</v>
      </c>
      <c r="O56" s="64">
        <f t="shared" si="8"/>
        <v>298.4090619829451</v>
      </c>
      <c r="P56" s="64">
        <f t="shared" si="6"/>
        <v>40.303763098723003</v>
      </c>
      <c r="Q56" s="65">
        <f>1*(H56+H56)*I56</f>
        <v>9.1638029782359673</v>
      </c>
      <c r="R56" s="66">
        <f t="shared" si="5"/>
        <v>231.48148148148152</v>
      </c>
      <c r="S56" s="63">
        <v>232</v>
      </c>
    </row>
    <row r="57" spans="5:19" ht="15" customHeight="1">
      <c r="E57" s="59">
        <v>51</v>
      </c>
      <c r="F57" s="60" t="s">
        <v>1790</v>
      </c>
      <c r="G57" s="61">
        <v>0.15</v>
      </c>
      <c r="H57" s="61">
        <v>0.25</v>
      </c>
      <c r="I57" s="62">
        <f>1/(G57*H57)</f>
        <v>26.666666666666668</v>
      </c>
      <c r="J57" s="1038">
        <v>1</v>
      </c>
      <c r="K57" s="63" t="s">
        <v>1740</v>
      </c>
      <c r="L57" s="1048">
        <v>10</v>
      </c>
      <c r="M57" s="1040">
        <f t="shared" si="9"/>
        <v>0.61699999999999999</v>
      </c>
      <c r="N57" s="63">
        <f>J57*M57</f>
        <v>0.61699999999999999</v>
      </c>
      <c r="O57" s="64">
        <f t="shared" si="8"/>
        <v>16.453333333333333</v>
      </c>
      <c r="P57" s="64">
        <f t="shared" si="6"/>
        <v>2.2222222222222223</v>
      </c>
      <c r="Q57" s="65">
        <f>(G57+2*H57)*I57</f>
        <v>17.333333333333336</v>
      </c>
      <c r="R57" s="66">
        <f t="shared" si="5"/>
        <v>133.33333333333334</v>
      </c>
      <c r="S57" s="63">
        <v>134</v>
      </c>
    </row>
    <row r="58" spans="5:19" ht="15" customHeight="1">
      <c r="E58" s="59">
        <v>52</v>
      </c>
      <c r="F58" s="60" t="s">
        <v>1791</v>
      </c>
      <c r="G58" s="61">
        <v>0.15</v>
      </c>
      <c r="H58" s="61">
        <v>0.3</v>
      </c>
      <c r="I58" s="62">
        <f>1/(G58*H58)</f>
        <v>22.222222222222221</v>
      </c>
      <c r="J58" s="1038">
        <v>1</v>
      </c>
      <c r="K58" s="63" t="s">
        <v>1740</v>
      </c>
      <c r="L58" s="1048">
        <v>10</v>
      </c>
      <c r="M58" s="1040">
        <f t="shared" si="9"/>
        <v>0.61699999999999999</v>
      </c>
      <c r="N58" s="63">
        <f>J58*M58</f>
        <v>0.61699999999999999</v>
      </c>
      <c r="O58" s="64">
        <f t="shared" si="8"/>
        <v>13.71111111111111</v>
      </c>
      <c r="P58" s="64">
        <f t="shared" si="6"/>
        <v>1.8518518518518519</v>
      </c>
      <c r="Q58" s="65">
        <f>(G58+2*H58)*I58</f>
        <v>16.666666666666664</v>
      </c>
      <c r="R58" s="66">
        <f t="shared" si="5"/>
        <v>111.1111111111111</v>
      </c>
      <c r="S58" s="63">
        <v>112</v>
      </c>
    </row>
    <row r="59" spans="5:19" ht="15" customHeight="1">
      <c r="E59" s="59">
        <v>53</v>
      </c>
      <c r="F59" s="60" t="s">
        <v>1792</v>
      </c>
      <c r="G59" s="61">
        <v>0.5</v>
      </c>
      <c r="H59" s="61">
        <v>0.1</v>
      </c>
      <c r="I59" s="62">
        <f>1/(G59*H59)</f>
        <v>20</v>
      </c>
      <c r="J59" s="1038">
        <v>1</v>
      </c>
      <c r="K59" s="63" t="s">
        <v>1740</v>
      </c>
      <c r="L59" s="1048">
        <v>8</v>
      </c>
      <c r="M59" s="1040">
        <f t="shared" si="9"/>
        <v>0.39500000000000002</v>
      </c>
      <c r="N59" s="67">
        <f>J59*(G59+0.03)*M59</f>
        <v>0.20935000000000001</v>
      </c>
      <c r="O59" s="64">
        <f t="shared" si="8"/>
        <v>4.1870000000000003</v>
      </c>
      <c r="P59" s="64">
        <f t="shared" si="6"/>
        <v>0.8833333333333333</v>
      </c>
      <c r="Q59" s="65">
        <f>1*(G59+2*H59)*I59</f>
        <v>14</v>
      </c>
      <c r="R59" s="66">
        <f t="shared" si="5"/>
        <v>100</v>
      </c>
      <c r="S59" s="63">
        <v>100</v>
      </c>
    </row>
    <row r="60" spans="5:19" ht="15" customHeight="1">
      <c r="E60" s="59">
        <v>54</v>
      </c>
      <c r="F60" s="60" t="s">
        <v>1793</v>
      </c>
      <c r="G60" s="61">
        <v>1.1000000000000001</v>
      </c>
      <c r="H60" s="61">
        <v>0.1</v>
      </c>
      <c r="I60" s="62">
        <f>1/(G60*H60)</f>
        <v>9.0909090909090899</v>
      </c>
      <c r="J60" s="1038">
        <v>1</v>
      </c>
      <c r="K60" s="63" t="s">
        <v>1740</v>
      </c>
      <c r="L60" s="1048">
        <v>10</v>
      </c>
      <c r="M60" s="1040">
        <f t="shared" si="9"/>
        <v>0.61699999999999999</v>
      </c>
      <c r="N60" s="67">
        <f>J60*(G60+0.03)*M60</f>
        <v>0.69721000000000011</v>
      </c>
      <c r="O60" s="64">
        <f t="shared" si="8"/>
        <v>6.3382727272727273</v>
      </c>
      <c r="P60" s="64">
        <f t="shared" si="6"/>
        <v>0.85606060606060608</v>
      </c>
      <c r="Q60" s="65">
        <f>1*(G60+H60)*I60</f>
        <v>10.90909090909091</v>
      </c>
      <c r="R60" s="66">
        <f t="shared" si="5"/>
        <v>45.454545454545446</v>
      </c>
      <c r="S60" s="63">
        <v>46</v>
      </c>
    </row>
    <row r="61" spans="5:19" ht="15" customHeight="1">
      <c r="E61" s="68">
        <v>55</v>
      </c>
      <c r="F61" s="69" t="s">
        <v>1794</v>
      </c>
      <c r="G61" s="70">
        <v>0.5</v>
      </c>
      <c r="H61" s="70">
        <v>0.1</v>
      </c>
      <c r="I61" s="71">
        <f>1/(G61*H61)</f>
        <v>20</v>
      </c>
      <c r="J61" s="1039">
        <v>1</v>
      </c>
      <c r="K61" s="72" t="s">
        <v>1740</v>
      </c>
      <c r="L61" s="1049">
        <v>8</v>
      </c>
      <c r="M61" s="1041">
        <f t="shared" si="9"/>
        <v>0.39500000000000002</v>
      </c>
      <c r="N61" s="73">
        <f>J61*(G61+0.03)*M61</f>
        <v>0.20935000000000001</v>
      </c>
      <c r="O61" s="74">
        <f t="shared" si="8"/>
        <v>4.1870000000000003</v>
      </c>
      <c r="P61" s="74">
        <f t="shared" si="6"/>
        <v>0.8833333333333333</v>
      </c>
      <c r="Q61" s="75">
        <f>1*(G61+2*H61)*I61</f>
        <v>14</v>
      </c>
      <c r="R61" s="76">
        <f t="shared" si="5"/>
        <v>100</v>
      </c>
      <c r="S61" s="72">
        <v>100</v>
      </c>
    </row>
    <row r="62" spans="5:19" ht="15" customHeight="1">
      <c r="G62" s="87"/>
      <c r="H62" s="87"/>
      <c r="I62" s="88"/>
      <c r="L62" s="1050"/>
      <c r="N62" s="89"/>
    </row>
    <row r="63" spans="5:19" ht="15" customHeight="1">
      <c r="E63" s="1159" t="s">
        <v>2525</v>
      </c>
      <c r="F63" s="1160"/>
      <c r="G63" s="1161"/>
      <c r="H63" s="87"/>
      <c r="I63" s="88"/>
      <c r="L63" s="1050"/>
      <c r="N63" s="89"/>
    </row>
    <row r="64" spans="5:19" ht="15" customHeight="1">
      <c r="E64" s="1036">
        <v>6</v>
      </c>
      <c r="F64" s="1036">
        <v>0.222</v>
      </c>
      <c r="G64" s="1037" t="s">
        <v>45</v>
      </c>
      <c r="H64" s="87"/>
      <c r="I64" s="88"/>
      <c r="L64" s="1050"/>
      <c r="N64" s="89"/>
    </row>
    <row r="65" spans="5:14" ht="15" customHeight="1">
      <c r="E65" s="59">
        <v>8</v>
      </c>
      <c r="F65" s="1034">
        <v>0.39500000000000002</v>
      </c>
      <c r="G65" s="61" t="s">
        <v>45</v>
      </c>
      <c r="H65" s="87"/>
      <c r="I65" s="88"/>
      <c r="L65" s="1050"/>
      <c r="N65" s="89"/>
    </row>
    <row r="66" spans="5:14" ht="15" customHeight="1">
      <c r="E66" s="59">
        <v>9</v>
      </c>
      <c r="F66" s="1034">
        <v>0.499</v>
      </c>
      <c r="G66" s="61" t="s">
        <v>45</v>
      </c>
      <c r="H66" s="87"/>
      <c r="I66" s="88"/>
      <c r="L66" s="1050"/>
      <c r="N66" s="81"/>
    </row>
    <row r="67" spans="5:14" ht="15" customHeight="1">
      <c r="E67" s="59">
        <v>10</v>
      </c>
      <c r="F67" s="1034">
        <v>0.61699999999999999</v>
      </c>
      <c r="G67" s="61" t="s">
        <v>45</v>
      </c>
      <c r="I67" s="88"/>
      <c r="L67" s="1050"/>
      <c r="N67" s="89"/>
    </row>
    <row r="68" spans="5:14" ht="15" customHeight="1">
      <c r="E68" s="59">
        <v>11</v>
      </c>
      <c r="F68" s="1034">
        <v>0.76400000000000001</v>
      </c>
      <c r="G68" s="61" t="s">
        <v>45</v>
      </c>
      <c r="H68" s="87"/>
      <c r="I68" s="88"/>
      <c r="L68" s="1050"/>
      <c r="N68" s="89"/>
    </row>
    <row r="69" spans="5:14" ht="15" customHeight="1">
      <c r="E69" s="59">
        <v>12</v>
      </c>
      <c r="F69" s="1034">
        <v>0.88800000000000001</v>
      </c>
      <c r="G69" s="61" t="s">
        <v>45</v>
      </c>
      <c r="H69" s="87"/>
      <c r="I69" s="88"/>
      <c r="L69" s="1050"/>
      <c r="N69" s="89"/>
    </row>
    <row r="70" spans="5:14" ht="15" customHeight="1">
      <c r="E70" s="59">
        <v>14</v>
      </c>
      <c r="F70" s="1034">
        <v>1.21</v>
      </c>
      <c r="G70" s="61" t="s">
        <v>45</v>
      </c>
      <c r="H70" s="87"/>
      <c r="I70" s="88"/>
      <c r="L70" s="1050"/>
      <c r="N70" s="89"/>
    </row>
    <row r="71" spans="5:14" ht="15" customHeight="1">
      <c r="E71" s="68">
        <v>15</v>
      </c>
      <c r="F71" s="1035">
        <v>1.39</v>
      </c>
      <c r="G71" s="70" t="s">
        <v>45</v>
      </c>
      <c r="H71" s="87"/>
      <c r="I71" s="88"/>
      <c r="L71" s="1050"/>
      <c r="N71" s="89"/>
    </row>
    <row r="72" spans="5:14" ht="15" customHeight="1">
      <c r="G72" s="87"/>
      <c r="H72" s="87"/>
      <c r="I72" s="88"/>
      <c r="L72" s="1050"/>
      <c r="N72" s="89"/>
    </row>
    <row r="73" spans="5:14" ht="15" customHeight="1">
      <c r="G73" s="87"/>
      <c r="H73" s="87"/>
      <c r="I73" s="88"/>
      <c r="L73" s="1050"/>
      <c r="N73" s="89"/>
    </row>
    <row r="74" spans="5:14" ht="15" customHeight="1">
      <c r="G74" s="87"/>
      <c r="H74" s="87"/>
      <c r="I74" s="88"/>
      <c r="L74" s="1050"/>
      <c r="N74" s="89"/>
    </row>
    <row r="75" spans="5:14" ht="15" customHeight="1">
      <c r="G75" s="87"/>
      <c r="H75" s="87"/>
      <c r="I75" s="88"/>
      <c r="L75" s="1050"/>
      <c r="N75" s="89"/>
    </row>
    <row r="76" spans="5:14" ht="15" customHeight="1">
      <c r="G76" s="87"/>
      <c r="H76" s="87"/>
      <c r="I76" s="88"/>
      <c r="L76" s="1050"/>
      <c r="N76" s="89"/>
    </row>
    <row r="77" spans="5:14" ht="15" customHeight="1">
      <c r="G77" s="87"/>
      <c r="H77" s="87"/>
      <c r="I77" s="88"/>
      <c r="L77" s="1050"/>
      <c r="N77" s="89"/>
    </row>
    <row r="78" spans="5:14" ht="15" customHeight="1">
      <c r="G78" s="87"/>
      <c r="H78" s="87"/>
      <c r="I78" s="88"/>
      <c r="L78" s="1050"/>
      <c r="N78" s="89"/>
    </row>
    <row r="79" spans="5:14" ht="15" customHeight="1">
      <c r="G79" s="87"/>
      <c r="H79" s="87"/>
      <c r="I79" s="88"/>
      <c r="L79" s="1050"/>
      <c r="N79" s="89"/>
    </row>
    <row r="80" spans="5:14" ht="15" customHeight="1">
      <c r="G80" s="87"/>
      <c r="H80" s="87"/>
      <c r="I80" s="88"/>
      <c r="L80" s="1050"/>
      <c r="N80" s="89"/>
    </row>
    <row r="81" spans="6:14" ht="15" customHeight="1">
      <c r="G81" s="87"/>
      <c r="H81" s="87"/>
      <c r="I81" s="88"/>
      <c r="L81" s="1050"/>
      <c r="N81" s="89"/>
    </row>
    <row r="82" spans="6:14" ht="15" customHeight="1">
      <c r="G82" s="87"/>
      <c r="H82" s="87"/>
      <c r="I82" s="88"/>
      <c r="L82" s="1050"/>
      <c r="N82" s="89"/>
    </row>
    <row r="83" spans="6:14" ht="15" customHeight="1">
      <c r="F83" s="90"/>
      <c r="L83" s="1050"/>
    </row>
    <row r="84" spans="6:14" ht="15" customHeight="1">
      <c r="F84" s="90"/>
      <c r="L84" s="1050"/>
    </row>
    <row r="85" spans="6:14" ht="15" customHeight="1">
      <c r="F85" s="90"/>
      <c r="L85" s="1050"/>
    </row>
    <row r="86" spans="6:14" ht="15" customHeight="1">
      <c r="F86" s="90"/>
      <c r="L86" s="1050"/>
    </row>
    <row r="87" spans="6:14" ht="15" customHeight="1">
      <c r="L87" s="1050"/>
    </row>
  </sheetData>
  <mergeCells count="8">
    <mergeCell ref="R4:S5"/>
    <mergeCell ref="J5:L5"/>
    <mergeCell ref="A35:C35"/>
    <mergeCell ref="E63:G63"/>
    <mergeCell ref="E4:E5"/>
    <mergeCell ref="F4:F5"/>
    <mergeCell ref="G4:I4"/>
    <mergeCell ref="J4:L4"/>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10C15-5341-451F-8BF7-6CCDEDA6E4C6}">
  <sheetPr codeName="Sheet14"/>
  <dimension ref="A1:K118"/>
  <sheetViews>
    <sheetView showGridLines="0" showRowColHeaders="0" zoomScale="75" zoomScaleNormal="75" workbookViewId="0">
      <pane ySplit="5" topLeftCell="A6" activePane="bottomLeft" state="frozen"/>
      <selection pane="bottomLeft" activeCell="K11" sqref="K11"/>
    </sheetView>
  </sheetViews>
  <sheetFormatPr defaultColWidth="9.21875" defaultRowHeight="15" customHeight="1"/>
  <cols>
    <col min="1" max="3" width="10.77734375" style="639" customWidth="1"/>
    <col min="4" max="4" width="4.77734375" style="101" customWidth="1"/>
    <col min="5" max="5" width="5.44140625" style="101" customWidth="1"/>
    <col min="6" max="6" width="45.77734375" style="101" customWidth="1"/>
    <col min="7" max="7" width="8.21875" style="102" customWidth="1"/>
    <col min="8" max="8" width="11.44140625" style="101" customWidth="1"/>
    <col min="9" max="9" width="17.77734375" style="101" customWidth="1"/>
    <col min="10" max="10" width="18.77734375" style="101" customWidth="1"/>
    <col min="11" max="11" width="12.21875" style="101" customWidth="1"/>
    <col min="12" max="16384" width="9.21875" style="101"/>
  </cols>
  <sheetData>
    <row r="1" spans="1:11" s="639" customFormat="1" ht="15" customHeight="1">
      <c r="G1" s="659"/>
    </row>
    <row r="2" spans="1:11" s="639" customFormat="1" ht="15" customHeight="1">
      <c r="E2" s="937" t="s">
        <v>2385</v>
      </c>
      <c r="G2" s="659"/>
    </row>
    <row r="3" spans="1:11" s="639" customFormat="1" ht="15" customHeight="1" thickBot="1">
      <c r="E3" s="660"/>
      <c r="F3" s="660"/>
      <c r="G3" s="660"/>
      <c r="H3" s="660"/>
      <c r="I3" s="660"/>
      <c r="J3" s="660"/>
    </row>
    <row r="4" spans="1:11" ht="15" customHeight="1">
      <c r="E4" s="1168" t="s">
        <v>136</v>
      </c>
      <c r="F4" s="1170" t="s">
        <v>137</v>
      </c>
      <c r="G4" s="1170" t="s">
        <v>138</v>
      </c>
      <c r="H4" s="1170" t="s">
        <v>58</v>
      </c>
      <c r="I4" s="1170" t="s">
        <v>139</v>
      </c>
      <c r="J4" s="1172"/>
      <c r="K4" s="1166" t="s">
        <v>1714</v>
      </c>
    </row>
    <row r="5" spans="1:11" ht="15" customHeight="1">
      <c r="E5" s="1169"/>
      <c r="F5" s="1171"/>
      <c r="G5" s="1171"/>
      <c r="H5" s="1171"/>
      <c r="I5" s="902" t="s">
        <v>140</v>
      </c>
      <c r="J5" s="903" t="s">
        <v>141</v>
      </c>
      <c r="K5" s="1167"/>
    </row>
    <row r="6" spans="1:11" s="106" customFormat="1" ht="15" customHeight="1" thickBot="1">
      <c r="A6" s="661"/>
      <c r="B6" s="661"/>
      <c r="C6" s="661"/>
      <c r="E6" s="464">
        <v>1</v>
      </c>
      <c r="F6" s="465">
        <v>2</v>
      </c>
      <c r="G6" s="465">
        <v>3</v>
      </c>
      <c r="H6" s="465">
        <v>4</v>
      </c>
      <c r="I6" s="465">
        <v>5</v>
      </c>
      <c r="J6" s="466" t="s">
        <v>90</v>
      </c>
      <c r="K6" s="467">
        <v>7</v>
      </c>
    </row>
    <row r="7" spans="1:11" ht="15" customHeight="1">
      <c r="E7" s="904" t="s">
        <v>3</v>
      </c>
      <c r="F7" s="905" t="s">
        <v>4</v>
      </c>
      <c r="G7" s="906"/>
      <c r="H7" s="907"/>
      <c r="I7" s="907"/>
      <c r="J7" s="908"/>
      <c r="K7" s="909"/>
    </row>
    <row r="8" spans="1:11" ht="15" customHeight="1">
      <c r="E8" s="451">
        <v>1</v>
      </c>
      <c r="F8" s="20" t="s">
        <v>96</v>
      </c>
      <c r="G8" s="36" t="s">
        <v>91</v>
      </c>
      <c r="H8" s="20">
        <f>VLOOKUP(F8,RekapVolume,3,FALSE)</f>
        <v>200</v>
      </c>
      <c r="I8" s="42">
        <f>HSP!J14</f>
        <v>23100</v>
      </c>
      <c r="J8" s="123">
        <f>H8*I8</f>
        <v>4620000</v>
      </c>
      <c r="K8" s="452">
        <f>J8/$J$117*100</f>
        <v>1.5440139832370385</v>
      </c>
    </row>
    <row r="9" spans="1:11" ht="15" customHeight="1">
      <c r="E9" s="451">
        <v>2</v>
      </c>
      <c r="F9" s="20" t="s">
        <v>5</v>
      </c>
      <c r="G9" s="36" t="s">
        <v>97</v>
      </c>
      <c r="H9" s="20">
        <f>VLOOKUP(F9,RekapVolume,3,FALSE)</f>
        <v>48</v>
      </c>
      <c r="I9" s="42">
        <f>HSP!J10</f>
        <v>92990</v>
      </c>
      <c r="J9" s="123">
        <f>H9*I9</f>
        <v>4463520</v>
      </c>
      <c r="K9" s="452">
        <f>J9/$J$117*100</f>
        <v>1.4917180291035035</v>
      </c>
    </row>
    <row r="10" spans="1:11" ht="15" customHeight="1">
      <c r="E10" s="451">
        <v>3</v>
      </c>
      <c r="F10" s="20" t="s">
        <v>6</v>
      </c>
      <c r="G10" s="36" t="s">
        <v>2</v>
      </c>
      <c r="H10" s="20">
        <f>VLOOKUP(F10,RekapVolume,3,FALSE)</f>
        <v>1</v>
      </c>
      <c r="I10" s="20">
        <v>500000</v>
      </c>
      <c r="J10" s="123">
        <f>H10*I10</f>
        <v>500000</v>
      </c>
      <c r="K10" s="452">
        <f>J10/$J$117*100</f>
        <v>0.16710108043690894</v>
      </c>
    </row>
    <row r="11" spans="1:11" ht="15" customHeight="1">
      <c r="E11" s="451">
        <v>4</v>
      </c>
      <c r="F11" s="20" t="s">
        <v>98</v>
      </c>
      <c r="G11" s="36" t="s">
        <v>2</v>
      </c>
      <c r="H11" s="20">
        <f>VLOOKUP(F11,RekapVolume,3,FALSE)</f>
        <v>1</v>
      </c>
      <c r="I11" s="38">
        <v>500000</v>
      </c>
      <c r="J11" s="124">
        <f>H11*I11</f>
        <v>500000</v>
      </c>
      <c r="K11" s="453">
        <f>J11/$J$117*100</f>
        <v>0.16710108043690894</v>
      </c>
    </row>
    <row r="12" spans="1:11" ht="15" customHeight="1">
      <c r="E12" s="451"/>
      <c r="F12" s="20"/>
      <c r="G12" s="36"/>
      <c r="H12" s="20"/>
      <c r="I12" s="35" t="s">
        <v>142</v>
      </c>
      <c r="J12" s="125">
        <f>SUM(J8:J11)</f>
        <v>10083520</v>
      </c>
      <c r="K12" s="454">
        <f>SUM(K8:K11)</f>
        <v>3.36993417321436</v>
      </c>
    </row>
    <row r="13" spans="1:11" ht="15" customHeight="1">
      <c r="E13" s="910" t="s">
        <v>11</v>
      </c>
      <c r="F13" s="878" t="s">
        <v>99</v>
      </c>
      <c r="G13" s="879"/>
      <c r="H13" s="881"/>
      <c r="I13" s="881"/>
      <c r="J13" s="911"/>
      <c r="K13" s="912"/>
    </row>
    <row r="14" spans="1:11" ht="15" customHeight="1">
      <c r="E14" s="451">
        <v>1</v>
      </c>
      <c r="F14" s="20" t="s">
        <v>12</v>
      </c>
      <c r="G14" s="36" t="s">
        <v>92</v>
      </c>
      <c r="H14" s="20">
        <f>VLOOKUP(F14,RekapVolume,3,FALSE)</f>
        <v>30.712500000000006</v>
      </c>
      <c r="I14" s="42">
        <f>HSP!J25</f>
        <v>107800</v>
      </c>
      <c r="J14" s="123">
        <f>H14*I14</f>
        <v>3310807.5000000005</v>
      </c>
      <c r="K14" s="452">
        <f>J14/$J$117*100</f>
        <v>1.106479020737243</v>
      </c>
    </row>
    <row r="15" spans="1:11" ht="15" customHeight="1">
      <c r="E15" s="451">
        <v>2</v>
      </c>
      <c r="F15" s="20" t="s">
        <v>13</v>
      </c>
      <c r="G15" s="36" t="s">
        <v>92</v>
      </c>
      <c r="H15" s="20">
        <f>VLOOKUP(F15,RekapVolume,3,FALSE)</f>
        <v>26.878125000000004</v>
      </c>
      <c r="I15" s="42">
        <f>HSP!J33</f>
        <v>39050</v>
      </c>
      <c r="J15" s="123">
        <f>H15*I15</f>
        <v>1049590.7812500002</v>
      </c>
      <c r="K15" s="452">
        <f>J15/$J$117*100</f>
        <v>0.35077550712698874</v>
      </c>
    </row>
    <row r="16" spans="1:11" ht="15" customHeight="1">
      <c r="E16" s="451">
        <v>3</v>
      </c>
      <c r="F16" s="20" t="s">
        <v>14</v>
      </c>
      <c r="G16" s="36" t="s">
        <v>92</v>
      </c>
      <c r="H16" s="20">
        <f>VLOOKUP(F16,RekapVolume,3,FALSE)</f>
        <v>2.0249999999999999</v>
      </c>
      <c r="I16" s="42">
        <f>HSP!J35</f>
        <v>440426</v>
      </c>
      <c r="J16" s="123">
        <f>H16*I16</f>
        <v>891862.64999999991</v>
      </c>
      <c r="K16" s="452">
        <f>J16/$J$117*100</f>
        <v>0.2980624248326495</v>
      </c>
    </row>
    <row r="17" spans="5:11" ht="15" customHeight="1">
      <c r="E17" s="451">
        <v>4</v>
      </c>
      <c r="F17" s="20" t="s">
        <v>100</v>
      </c>
      <c r="G17" s="36" t="s">
        <v>92</v>
      </c>
      <c r="H17" s="20">
        <f>VLOOKUP(F17,RekapVolume,3,FALSE)</f>
        <v>4.8000000000000007</v>
      </c>
      <c r="I17" s="43">
        <f>HSP!J35</f>
        <v>440426</v>
      </c>
      <c r="J17" s="124">
        <f>H17*I17</f>
        <v>2114044.8000000003</v>
      </c>
      <c r="K17" s="453">
        <f>J17/$J$117*100</f>
        <v>0.70651834034405825</v>
      </c>
    </row>
    <row r="18" spans="5:11" ht="15" customHeight="1">
      <c r="E18" s="451"/>
      <c r="F18" s="20"/>
      <c r="G18" s="36"/>
      <c r="H18" s="20"/>
      <c r="I18" s="35" t="s">
        <v>143</v>
      </c>
      <c r="J18" s="125">
        <f>SUM(J14:J17)</f>
        <v>7366305.7312500011</v>
      </c>
      <c r="K18" s="454">
        <f>SUM(K14:K17)</f>
        <v>2.4618352930409397</v>
      </c>
    </row>
    <row r="19" spans="5:11" ht="15" customHeight="1">
      <c r="E19" s="910" t="s">
        <v>16</v>
      </c>
      <c r="F19" s="878" t="s">
        <v>101</v>
      </c>
      <c r="G19" s="879"/>
      <c r="H19" s="881"/>
      <c r="I19" s="881"/>
      <c r="J19" s="911"/>
      <c r="K19" s="912"/>
    </row>
    <row r="20" spans="5:11" ht="15" customHeight="1">
      <c r="E20" s="451">
        <v>1</v>
      </c>
      <c r="F20" s="20" t="s">
        <v>102</v>
      </c>
      <c r="G20" s="36" t="s">
        <v>92</v>
      </c>
      <c r="H20" s="20">
        <f>VLOOKUP(F20,RekapVolume,3,FALSE)</f>
        <v>6.0750000000000002</v>
      </c>
      <c r="I20" s="42">
        <f>HSP!J49</f>
        <v>885381</v>
      </c>
      <c r="J20" s="123">
        <f>H20*I20</f>
        <v>5378689.5750000002</v>
      </c>
      <c r="K20" s="452">
        <f>J20/$J$117*100</f>
        <v>1.797569678634477</v>
      </c>
    </row>
    <row r="21" spans="5:11" ht="15" customHeight="1">
      <c r="E21" s="451">
        <v>2</v>
      </c>
      <c r="F21" s="20" t="s">
        <v>18</v>
      </c>
      <c r="G21" s="36" t="s">
        <v>92</v>
      </c>
      <c r="H21" s="20">
        <f>VLOOKUP(F21,RekapVolume,3,FALSE)</f>
        <v>18</v>
      </c>
      <c r="I21" s="42">
        <f>HSP!J41</f>
        <v>1467001</v>
      </c>
      <c r="J21" s="123">
        <f>H21*I21</f>
        <v>26406018</v>
      </c>
      <c r="K21" s="452">
        <f>J21/$J$117*100</f>
        <v>8.8249482756729307</v>
      </c>
    </row>
    <row r="22" spans="5:11" ht="15" customHeight="1">
      <c r="E22" s="451">
        <v>3</v>
      </c>
      <c r="F22" s="20" t="s">
        <v>21</v>
      </c>
      <c r="G22" s="36" t="s">
        <v>91</v>
      </c>
      <c r="H22" s="20">
        <f>VLOOKUP(F22,RekapVolume,3,FALSE)</f>
        <v>72.100000000000009</v>
      </c>
      <c r="I22" s="42">
        <f>HSP!J154</f>
        <v>178223</v>
      </c>
      <c r="J22" s="123">
        <f>H22*I22</f>
        <v>12849878.300000001</v>
      </c>
      <c r="K22" s="452">
        <f>J22/$J$117*100</f>
        <v>4.2944570948255816</v>
      </c>
    </row>
    <row r="23" spans="5:11" ht="15" customHeight="1">
      <c r="E23" s="451">
        <v>4</v>
      </c>
      <c r="F23" s="20" t="s">
        <v>154</v>
      </c>
      <c r="G23" s="36" t="s">
        <v>91</v>
      </c>
      <c r="H23" s="20">
        <f>VLOOKUP(F23,RekapVolume,3,FALSE)</f>
        <v>135.23000000000002</v>
      </c>
      <c r="I23" s="42">
        <f>HSP!J178</f>
        <v>89498</v>
      </c>
      <c r="J23" s="123">
        <f>H23*I23</f>
        <v>12102814.540000001</v>
      </c>
      <c r="K23" s="452">
        <f>J23/$J$117*100</f>
        <v>4.0447867719230626</v>
      </c>
    </row>
    <row r="24" spans="5:11" ht="15" customHeight="1">
      <c r="E24" s="451">
        <v>5</v>
      </c>
      <c r="F24" s="20" t="s">
        <v>155</v>
      </c>
      <c r="G24" s="36" t="s">
        <v>91</v>
      </c>
      <c r="H24" s="20">
        <f>VLOOKUP(F24,RekapVolume,3,FALSE)</f>
        <v>135.23000000000002</v>
      </c>
      <c r="I24" s="43">
        <f>HSP!J200</f>
        <v>54406</v>
      </c>
      <c r="J24" s="124">
        <f>H24*I24</f>
        <v>7357323.3800000008</v>
      </c>
      <c r="K24" s="453">
        <f>J24/$J$117*100</f>
        <v>2.4588333718434616</v>
      </c>
    </row>
    <row r="25" spans="5:11" ht="15" customHeight="1">
      <c r="E25" s="451"/>
      <c r="F25" s="20"/>
      <c r="G25" s="36"/>
      <c r="H25" s="20"/>
      <c r="I25" s="35" t="s">
        <v>144</v>
      </c>
      <c r="J25" s="125">
        <f>SUM(J20:J24)</f>
        <v>64094723.795000002</v>
      </c>
      <c r="K25" s="454">
        <f>SUM(K20:K24)</f>
        <v>21.420595192899512</v>
      </c>
    </row>
    <row r="26" spans="5:11" ht="15" customHeight="1">
      <c r="E26" s="910" t="s">
        <v>27</v>
      </c>
      <c r="F26" s="878" t="s">
        <v>28</v>
      </c>
      <c r="G26" s="879"/>
      <c r="H26" s="881"/>
      <c r="I26" s="881"/>
      <c r="J26" s="911"/>
      <c r="K26" s="912"/>
    </row>
    <row r="27" spans="5:11" ht="15" customHeight="1">
      <c r="E27" s="451">
        <v>1</v>
      </c>
      <c r="F27" s="20" t="s">
        <v>1663</v>
      </c>
      <c r="G27" s="36"/>
      <c r="H27" s="20"/>
      <c r="I27" s="20"/>
      <c r="J27" s="17"/>
      <c r="K27" s="452"/>
    </row>
    <row r="28" spans="5:11" ht="15" customHeight="1">
      <c r="E28" s="451"/>
      <c r="F28" s="20" t="s">
        <v>1664</v>
      </c>
      <c r="G28" s="36" t="s">
        <v>45</v>
      </c>
      <c r="H28" s="37">
        <f>'REKAP VOLUME'!H27</f>
        <v>189.58125000000001</v>
      </c>
      <c r="I28" s="42">
        <f>HSP!J71/10</f>
        <v>17691.7</v>
      </c>
      <c r="J28" s="123">
        <f t="shared" ref="J28:J46" si="0">H28*I28</f>
        <v>3354014.6006250004</v>
      </c>
      <c r="K28" s="452">
        <f t="shared" ref="K28:K46" si="1">J28/$J$117*100</f>
        <v>1.1209189271312103</v>
      </c>
    </row>
    <row r="29" spans="5:11" ht="15" customHeight="1">
      <c r="E29" s="451"/>
      <c r="F29" s="20" t="s">
        <v>1665</v>
      </c>
      <c r="G29" s="36" t="s">
        <v>91</v>
      </c>
      <c r="H29" s="37">
        <f>'REKAP VOLUME'!H28</f>
        <v>22.5</v>
      </c>
      <c r="I29" s="42">
        <f>HSP!J75</f>
        <v>356765</v>
      </c>
      <c r="J29" s="123">
        <f t="shared" si="0"/>
        <v>8027212.5</v>
      </c>
      <c r="K29" s="452">
        <f t="shared" si="1"/>
        <v>2.6827117632933217</v>
      </c>
    </row>
    <row r="30" spans="5:11" ht="15" customHeight="1">
      <c r="E30" s="451"/>
      <c r="F30" s="20" t="s">
        <v>1666</v>
      </c>
      <c r="G30" s="36" t="s">
        <v>92</v>
      </c>
      <c r="H30" s="37">
        <f>'REKAP VOLUME'!H29</f>
        <v>2.25</v>
      </c>
      <c r="I30" s="42">
        <f>HSP!J61</f>
        <v>1802958</v>
      </c>
      <c r="J30" s="123">
        <f t="shared" si="0"/>
        <v>4056655.5</v>
      </c>
      <c r="K30" s="452">
        <f t="shared" si="1"/>
        <v>1.355743034020658</v>
      </c>
    </row>
    <row r="31" spans="5:11" ht="15" customHeight="1">
      <c r="E31" s="451">
        <v>2</v>
      </c>
      <c r="F31" s="20" t="s">
        <v>1667</v>
      </c>
      <c r="G31" s="36"/>
      <c r="H31" s="20"/>
      <c r="I31" s="20"/>
      <c r="J31" s="123"/>
      <c r="K31" s="452"/>
    </row>
    <row r="32" spans="5:11" ht="15" customHeight="1">
      <c r="E32" s="451"/>
      <c r="F32" s="20" t="s">
        <v>1664</v>
      </c>
      <c r="G32" s="36" t="s">
        <v>45</v>
      </c>
      <c r="H32" s="37">
        <f>'REKAP VOLUME'!H31</f>
        <v>156.42833333333334</v>
      </c>
      <c r="I32" s="42">
        <f>HSP!J71/10</f>
        <v>17691.7</v>
      </c>
      <c r="J32" s="123">
        <f t="shared" si="0"/>
        <v>2767483.1448333338</v>
      </c>
      <c r="K32" s="452">
        <f t="shared" si="1"/>
        <v>0.92489884718516924</v>
      </c>
    </row>
    <row r="33" spans="1:11" ht="15" customHeight="1">
      <c r="E33" s="451"/>
      <c r="F33" s="20" t="s">
        <v>1665</v>
      </c>
      <c r="G33" s="36" t="s">
        <v>91</v>
      </c>
      <c r="H33" s="37">
        <f>'REKAP VOLUME'!H32</f>
        <v>20.399999999999999</v>
      </c>
      <c r="I33" s="42">
        <f>HSP!J75</f>
        <v>356765</v>
      </c>
      <c r="J33" s="123">
        <f t="shared" si="0"/>
        <v>7278005.9999999991</v>
      </c>
      <c r="K33" s="452">
        <f t="shared" si="1"/>
        <v>2.4323253320526117</v>
      </c>
    </row>
    <row r="34" spans="1:11" ht="15" customHeight="1">
      <c r="E34" s="451"/>
      <c r="F34" s="20" t="s">
        <v>1666</v>
      </c>
      <c r="G34" s="36" t="s">
        <v>92</v>
      </c>
      <c r="H34" s="37">
        <f>'REKAP VOLUME'!H33</f>
        <v>1.53</v>
      </c>
      <c r="I34" s="42">
        <f>HSP!J61</f>
        <v>1802958</v>
      </c>
      <c r="J34" s="123">
        <f t="shared" si="0"/>
        <v>2758525.74</v>
      </c>
      <c r="K34" s="452">
        <f t="shared" si="1"/>
        <v>0.92190526313404764</v>
      </c>
    </row>
    <row r="35" spans="1:11" ht="15" customHeight="1">
      <c r="A35" s="1096" t="s">
        <v>2381</v>
      </c>
      <c r="B35" s="1096"/>
      <c r="C35" s="1096"/>
      <c r="E35" s="451">
        <v>3</v>
      </c>
      <c r="F35" s="20" t="s">
        <v>1668</v>
      </c>
      <c r="G35" s="36"/>
      <c r="H35" s="20"/>
      <c r="I35" s="20"/>
      <c r="J35" s="123"/>
      <c r="K35" s="452"/>
    </row>
    <row r="36" spans="1:11" ht="15" customHeight="1">
      <c r="E36" s="451"/>
      <c r="F36" s="20" t="s">
        <v>1664</v>
      </c>
      <c r="G36" s="36" t="s">
        <v>45</v>
      </c>
      <c r="H36" s="37">
        <f>'REKAP VOLUME'!H35</f>
        <v>103.51875000000001</v>
      </c>
      <c r="I36" s="42">
        <f>HSP!J71/10</f>
        <v>17691.7</v>
      </c>
      <c r="J36" s="123">
        <f t="shared" si="0"/>
        <v>1831422.6693750003</v>
      </c>
      <c r="K36" s="452">
        <f t="shared" si="1"/>
        <v>0.61206541357842081</v>
      </c>
    </row>
    <row r="37" spans="1:11" ht="15" customHeight="1">
      <c r="E37" s="451"/>
      <c r="F37" s="20" t="s">
        <v>1665</v>
      </c>
      <c r="G37" s="36" t="s">
        <v>91</v>
      </c>
      <c r="H37" s="37">
        <f>'REKAP VOLUME'!H36</f>
        <v>13.5</v>
      </c>
      <c r="I37" s="42">
        <f>HSP!J75</f>
        <v>356765</v>
      </c>
      <c r="J37" s="123">
        <f t="shared" si="0"/>
        <v>4816327.5</v>
      </c>
      <c r="K37" s="452">
        <f t="shared" si="1"/>
        <v>1.609627057975993</v>
      </c>
    </row>
    <row r="38" spans="1:11" ht="15" customHeight="1">
      <c r="E38" s="451"/>
      <c r="F38" s="20" t="s">
        <v>1666</v>
      </c>
      <c r="G38" s="36" t="s">
        <v>92</v>
      </c>
      <c r="H38" s="37">
        <f>'REKAP VOLUME'!H37</f>
        <v>1.0125</v>
      </c>
      <c r="I38" s="42">
        <f>HSP!J61</f>
        <v>1802958</v>
      </c>
      <c r="J38" s="123">
        <f t="shared" si="0"/>
        <v>1825494.9749999999</v>
      </c>
      <c r="K38" s="452">
        <f t="shared" si="1"/>
        <v>0.61008436530929611</v>
      </c>
    </row>
    <row r="39" spans="1:11" ht="15" customHeight="1">
      <c r="E39" s="451">
        <v>4</v>
      </c>
      <c r="F39" s="20" t="s">
        <v>48</v>
      </c>
      <c r="G39" s="36"/>
      <c r="H39" s="20"/>
      <c r="I39" s="20"/>
      <c r="J39" s="123"/>
      <c r="K39" s="452"/>
    </row>
    <row r="40" spans="1:11" ht="15" customHeight="1">
      <c r="E40" s="451"/>
      <c r="F40" s="20" t="s">
        <v>1664</v>
      </c>
      <c r="G40" s="36" t="s">
        <v>45</v>
      </c>
      <c r="H40" s="37">
        <f>'REKAP VOLUME'!H39</f>
        <v>37</v>
      </c>
      <c r="I40" s="42">
        <f>HSP!J71/10</f>
        <v>17691.7</v>
      </c>
      <c r="J40" s="123">
        <f t="shared" si="0"/>
        <v>654592.9</v>
      </c>
      <c r="K40" s="452">
        <f t="shared" si="1"/>
        <v>0.21876636167265898</v>
      </c>
    </row>
    <row r="41" spans="1:11" ht="15" customHeight="1">
      <c r="E41" s="451"/>
      <c r="F41" s="20" t="s">
        <v>1665</v>
      </c>
      <c r="G41" s="36" t="s">
        <v>91</v>
      </c>
      <c r="H41" s="37">
        <f>'REKAP VOLUME'!H40</f>
        <v>3</v>
      </c>
      <c r="I41" s="42">
        <f>HSP!J78</f>
        <v>700265</v>
      </c>
      <c r="J41" s="123">
        <f t="shared" si="0"/>
        <v>2100795</v>
      </c>
      <c r="K41" s="452">
        <f t="shared" si="1"/>
        <v>0.70209022855291214</v>
      </c>
    </row>
    <row r="42" spans="1:11" ht="15" customHeight="1">
      <c r="E42" s="451"/>
      <c r="F42" s="20" t="s">
        <v>1666</v>
      </c>
      <c r="G42" s="36" t="s">
        <v>92</v>
      </c>
      <c r="H42" s="37">
        <f>'REKAP VOLUME'!H41</f>
        <v>0.36</v>
      </c>
      <c r="I42" s="42">
        <f>HSP!J61</f>
        <v>1802958</v>
      </c>
      <c r="J42" s="123">
        <f t="shared" si="0"/>
        <v>649064.88</v>
      </c>
      <c r="K42" s="452">
        <f t="shared" si="1"/>
        <v>0.21691888544330529</v>
      </c>
    </row>
    <row r="43" spans="1:11" ht="15" customHeight="1">
      <c r="E43" s="451">
        <v>5</v>
      </c>
      <c r="F43" s="20" t="s">
        <v>49</v>
      </c>
      <c r="G43" s="36"/>
      <c r="H43" s="20"/>
      <c r="I43" s="20"/>
      <c r="J43" s="123"/>
      <c r="K43" s="452"/>
    </row>
    <row r="44" spans="1:11" ht="15" customHeight="1">
      <c r="E44" s="451"/>
      <c r="F44" s="20" t="s">
        <v>1664</v>
      </c>
      <c r="G44" s="36" t="s">
        <v>45</v>
      </c>
      <c r="H44" s="37">
        <f>'REKAP VOLUME'!H43</f>
        <v>34.533333333333339</v>
      </c>
      <c r="I44" s="42">
        <f>HSP!J71/10</f>
        <v>17691.7</v>
      </c>
      <c r="J44" s="123">
        <f t="shared" si="0"/>
        <v>610953.37333333341</v>
      </c>
      <c r="K44" s="452">
        <f t="shared" si="1"/>
        <v>0.20418193756114841</v>
      </c>
    </row>
    <row r="45" spans="1:11" ht="15" customHeight="1">
      <c r="E45" s="451"/>
      <c r="F45" s="20" t="s">
        <v>1665</v>
      </c>
      <c r="G45" s="36" t="s">
        <v>91</v>
      </c>
      <c r="H45" s="37">
        <f>'REKAP VOLUME'!H44</f>
        <v>2.8</v>
      </c>
      <c r="I45" s="42">
        <f>HSP!J78</f>
        <v>700265</v>
      </c>
      <c r="J45" s="123">
        <f t="shared" si="0"/>
        <v>1960741.9999999998</v>
      </c>
      <c r="K45" s="452">
        <f t="shared" si="1"/>
        <v>0.65528421331605136</v>
      </c>
    </row>
    <row r="46" spans="1:11" ht="15" customHeight="1">
      <c r="E46" s="451"/>
      <c r="F46" s="20" t="s">
        <v>1666</v>
      </c>
      <c r="G46" s="36" t="s">
        <v>92</v>
      </c>
      <c r="H46" s="37">
        <f>'REKAP VOLUME'!H45</f>
        <v>0.33599999999999997</v>
      </c>
      <c r="I46" s="43">
        <f>HSP!J61</f>
        <v>1802958</v>
      </c>
      <c r="J46" s="124">
        <f t="shared" si="0"/>
        <v>605793.88799999992</v>
      </c>
      <c r="K46" s="453">
        <f t="shared" si="1"/>
        <v>0.20245762641375159</v>
      </c>
    </row>
    <row r="47" spans="1:11" ht="15" customHeight="1">
      <c r="E47" s="451"/>
      <c r="F47" s="20"/>
      <c r="G47" s="36"/>
      <c r="H47" s="20"/>
      <c r="I47" s="35" t="s">
        <v>145</v>
      </c>
      <c r="J47" s="125">
        <f>SUM(J28:J46)</f>
        <v>43297084.671166666</v>
      </c>
      <c r="K47" s="454">
        <f>SUM(K28:K46)</f>
        <v>14.469979256640556</v>
      </c>
    </row>
    <row r="48" spans="1:11" ht="15" customHeight="1">
      <c r="E48" s="910" t="s">
        <v>50</v>
      </c>
      <c r="F48" s="878" t="s">
        <v>103</v>
      </c>
      <c r="G48" s="879"/>
      <c r="H48" s="881"/>
      <c r="I48" s="881"/>
      <c r="J48" s="911"/>
      <c r="K48" s="912"/>
    </row>
    <row r="49" spans="5:11" ht="15" customHeight="1">
      <c r="E49" s="451">
        <v>1</v>
      </c>
      <c r="F49" s="20" t="s">
        <v>1669</v>
      </c>
      <c r="G49" s="36" t="s">
        <v>92</v>
      </c>
      <c r="H49" s="37">
        <f t="shared" ref="H49:H54" si="2">VLOOKUP(F49,RekapVolume,3,FALSE)</f>
        <v>97.680097680097688</v>
      </c>
      <c r="I49" s="42">
        <f>HSP!J142</f>
        <v>396201</v>
      </c>
      <c r="J49" s="123">
        <f t="shared" ref="J49:J54" si="3">H49*I49</f>
        <v>38700952.380952381</v>
      </c>
      <c r="K49" s="452">
        <f t="shared" ref="K49:K54" si="4">J49/$J$117*100</f>
        <v>12.933941913589011</v>
      </c>
    </row>
    <row r="50" spans="5:11" ht="15" customHeight="1">
      <c r="E50" s="451">
        <v>2</v>
      </c>
      <c r="F50" s="20" t="s">
        <v>104</v>
      </c>
      <c r="G50" s="36" t="s">
        <v>92</v>
      </c>
      <c r="H50" s="37">
        <f t="shared" si="2"/>
        <v>39.536019536019538</v>
      </c>
      <c r="I50" s="42">
        <f>HSP!J355</f>
        <v>107851</v>
      </c>
      <c r="J50" s="123">
        <f t="shared" si="3"/>
        <v>4263999.2429792434</v>
      </c>
      <c r="K50" s="452">
        <f t="shared" si="4"/>
        <v>1.4250377609679867</v>
      </c>
    </row>
    <row r="51" spans="5:11" ht="15" customHeight="1">
      <c r="E51" s="451">
        <v>3</v>
      </c>
      <c r="F51" s="20" t="s">
        <v>1679</v>
      </c>
      <c r="G51" s="36" t="s">
        <v>92</v>
      </c>
      <c r="H51" s="37">
        <f t="shared" si="2"/>
        <v>97.680097680097688</v>
      </c>
      <c r="I51" s="42">
        <f>HSP!J321</f>
        <v>114665</v>
      </c>
      <c r="J51" s="123">
        <f t="shared" si="3"/>
        <v>11200488.400488401</v>
      </c>
      <c r="K51" s="452">
        <f t="shared" si="4"/>
        <v>3.7432274262853551</v>
      </c>
    </row>
    <row r="52" spans="5:11" ht="15" customHeight="1">
      <c r="E52" s="451">
        <v>4</v>
      </c>
      <c r="F52" s="20" t="s">
        <v>1680</v>
      </c>
      <c r="G52" s="36" t="s">
        <v>92</v>
      </c>
      <c r="H52" s="20">
        <f t="shared" si="2"/>
        <v>80</v>
      </c>
      <c r="I52" s="42">
        <f>HSP!J285</f>
        <v>423593</v>
      </c>
      <c r="J52" s="123">
        <f t="shared" si="3"/>
        <v>33887440</v>
      </c>
      <c r="K52" s="452">
        <f t="shared" si="4"/>
        <v>11.32525567448185</v>
      </c>
    </row>
    <row r="53" spans="5:11" ht="15" customHeight="1">
      <c r="E53" s="451">
        <v>5</v>
      </c>
      <c r="F53" s="20" t="s">
        <v>1681</v>
      </c>
      <c r="G53" s="36" t="s">
        <v>93</v>
      </c>
      <c r="H53" s="20">
        <f t="shared" si="2"/>
        <v>80</v>
      </c>
      <c r="I53" s="42">
        <f>HSP!J281</f>
        <v>64700</v>
      </c>
      <c r="J53" s="123">
        <f t="shared" si="3"/>
        <v>5176000</v>
      </c>
      <c r="K53" s="452">
        <f t="shared" si="4"/>
        <v>1.7298303846828813</v>
      </c>
    </row>
    <row r="54" spans="5:11" ht="15" customHeight="1">
      <c r="E54" s="451">
        <v>6</v>
      </c>
      <c r="F54" s="20" t="s">
        <v>105</v>
      </c>
      <c r="G54" s="36" t="s">
        <v>91</v>
      </c>
      <c r="H54" s="20">
        <f t="shared" si="2"/>
        <v>36</v>
      </c>
      <c r="I54" s="43">
        <f>HSP!J282</f>
        <v>41910</v>
      </c>
      <c r="J54" s="124">
        <f t="shared" si="3"/>
        <v>1508760</v>
      </c>
      <c r="K54" s="453">
        <f t="shared" si="4"/>
        <v>0.50423085223998154</v>
      </c>
    </row>
    <row r="55" spans="5:11" ht="15" customHeight="1">
      <c r="E55" s="451"/>
      <c r="F55" s="20"/>
      <c r="G55" s="36"/>
      <c r="H55" s="20"/>
      <c r="I55" s="35" t="s">
        <v>146</v>
      </c>
      <c r="J55" s="125">
        <f>SUM(J49:J54)</f>
        <v>94737640.024420023</v>
      </c>
      <c r="K55" s="454">
        <f>SUM(K49:K54)</f>
        <v>31.661524012247064</v>
      </c>
    </row>
    <row r="56" spans="5:11" ht="15" customHeight="1">
      <c r="E56" s="910" t="s">
        <v>55</v>
      </c>
      <c r="F56" s="878" t="s">
        <v>106</v>
      </c>
      <c r="G56" s="879"/>
      <c r="H56" s="881"/>
      <c r="I56" s="881"/>
      <c r="J56" s="911"/>
      <c r="K56" s="912"/>
    </row>
    <row r="57" spans="5:11" ht="15" customHeight="1">
      <c r="E57" s="451">
        <v>1</v>
      </c>
      <c r="F57" s="20" t="s">
        <v>1687</v>
      </c>
      <c r="G57" s="36" t="s">
        <v>92</v>
      </c>
      <c r="H57" s="37">
        <f>VLOOKUP(F57,RekapVolume,3,FALSE)</f>
        <v>0.35040000000000004</v>
      </c>
      <c r="I57" s="42">
        <f>HSP!J336</f>
        <v>10054189</v>
      </c>
      <c r="J57" s="123">
        <f>H57*I57</f>
        <v>3522987.8256000006</v>
      </c>
      <c r="K57" s="452">
        <f>J57/$J$117*100</f>
        <v>1.1773901440476733</v>
      </c>
    </row>
    <row r="58" spans="5:11" ht="15" customHeight="1">
      <c r="E58" s="451">
        <v>2</v>
      </c>
      <c r="F58" s="20" t="s">
        <v>1688</v>
      </c>
      <c r="G58" s="36" t="s">
        <v>91</v>
      </c>
      <c r="H58" s="20">
        <f>VLOOKUP(F58,RekapVolume,3,FALSE)</f>
        <v>6.5280000000000005</v>
      </c>
      <c r="I58" s="42">
        <f>HSP!J339</f>
        <v>902665</v>
      </c>
      <c r="J58" s="123">
        <f>H58*I58</f>
        <v>5892597.1200000001</v>
      </c>
      <c r="K58" s="452">
        <f>J58/$J$117*100</f>
        <v>1.9693186906628362</v>
      </c>
    </row>
    <row r="59" spans="5:11" ht="15" customHeight="1">
      <c r="E59" s="451">
        <v>3</v>
      </c>
      <c r="F59" s="20" t="s">
        <v>61</v>
      </c>
      <c r="G59" s="36" t="s">
        <v>91</v>
      </c>
      <c r="H59" s="20">
        <f>VLOOKUP(F59,RekapVolume,3,FALSE)</f>
        <v>1.4279999999999999</v>
      </c>
      <c r="I59" s="42">
        <f>HSP!J345</f>
        <v>767120</v>
      </c>
      <c r="J59" s="123">
        <f>H59*I59</f>
        <v>1095447.3599999999</v>
      </c>
      <c r="K59" s="452">
        <f>J59/$J$117*100</f>
        <v>0.36610087483551901</v>
      </c>
    </row>
    <row r="60" spans="5:11" ht="15" customHeight="1">
      <c r="E60" s="451">
        <v>4</v>
      </c>
      <c r="F60" s="20" t="s">
        <v>107</v>
      </c>
      <c r="G60" s="36" t="s">
        <v>91</v>
      </c>
      <c r="H60" s="20">
        <f>VLOOKUP(F60,RekapVolume,3,FALSE)</f>
        <v>1.4419999999999999</v>
      </c>
      <c r="I60" s="42">
        <f>HSP!J340</f>
        <v>680859</v>
      </c>
      <c r="J60" s="123">
        <f>H60*I60</f>
        <v>981798.67799999996</v>
      </c>
      <c r="K60" s="452">
        <f>J60/$J$117*100</f>
        <v>0.32811923973065771</v>
      </c>
    </row>
    <row r="61" spans="5:11" ht="15" customHeight="1">
      <c r="E61" s="451">
        <v>5</v>
      </c>
      <c r="F61" s="20" t="s">
        <v>108</v>
      </c>
      <c r="G61" s="36" t="s">
        <v>91</v>
      </c>
      <c r="H61" s="20">
        <f>VLOOKUP(F61,RekapVolume,3,FALSE)</f>
        <v>2.3040000000000003</v>
      </c>
      <c r="I61" s="43">
        <f>HSP!J344</f>
        <v>822685</v>
      </c>
      <c r="J61" s="124">
        <f>H61*I61</f>
        <v>1895466.2400000002</v>
      </c>
      <c r="K61" s="453">
        <f>J61/$J$117*100</f>
        <v>0.63346891327137078</v>
      </c>
    </row>
    <row r="62" spans="5:11" ht="15" customHeight="1">
      <c r="E62" s="451"/>
      <c r="F62" s="20"/>
      <c r="G62" s="36"/>
      <c r="H62" s="20"/>
      <c r="I62" s="35" t="s">
        <v>147</v>
      </c>
      <c r="J62" s="125">
        <f>SUM(J57:J61)</f>
        <v>13388297.2236</v>
      </c>
      <c r="K62" s="454">
        <f>SUM(K57:K61)</f>
        <v>4.4743978625480567</v>
      </c>
    </row>
    <row r="63" spans="5:11" ht="15" customHeight="1">
      <c r="E63" s="910" t="s">
        <v>62</v>
      </c>
      <c r="F63" s="878" t="s">
        <v>109</v>
      </c>
      <c r="G63" s="879"/>
      <c r="H63" s="881"/>
      <c r="I63" s="881"/>
      <c r="J63" s="911"/>
      <c r="K63" s="912"/>
    </row>
    <row r="64" spans="5:11" ht="15" customHeight="1">
      <c r="E64" s="451">
        <v>1</v>
      </c>
      <c r="F64" s="20" t="s">
        <v>110</v>
      </c>
      <c r="G64" s="36" t="s">
        <v>91</v>
      </c>
      <c r="H64" s="20">
        <f>VLOOKUP(F64,RekapVolume,3,FALSE)</f>
        <v>44.37</v>
      </c>
      <c r="I64" s="42">
        <f>HSP!J239</f>
        <v>302112</v>
      </c>
      <c r="J64" s="123">
        <f>H64*I64</f>
        <v>13404709.439999999</v>
      </c>
      <c r="K64" s="452">
        <f>J64/$J$117*100</f>
        <v>4.4798828607336656</v>
      </c>
    </row>
    <row r="65" spans="5:11" ht="15" customHeight="1">
      <c r="E65" s="451">
        <v>2</v>
      </c>
      <c r="F65" s="20" t="s">
        <v>111</v>
      </c>
      <c r="G65" s="36" t="s">
        <v>91</v>
      </c>
      <c r="H65" s="20">
        <f>VLOOKUP(F65,RekapVolume,3,FALSE)</f>
        <v>2.8800000000000003</v>
      </c>
      <c r="I65" s="43">
        <f>HSP!J240</f>
        <v>351087</v>
      </c>
      <c r="J65" s="124">
        <f>H65*I65</f>
        <v>1011130.5600000002</v>
      </c>
      <c r="K65" s="453">
        <f>J65/$J$117*100</f>
        <v>0.33792201807755362</v>
      </c>
    </row>
    <row r="66" spans="5:11" ht="15" customHeight="1">
      <c r="E66" s="451"/>
      <c r="F66" s="20"/>
      <c r="G66" s="36"/>
      <c r="H66" s="20"/>
      <c r="I66" s="35" t="s">
        <v>148</v>
      </c>
      <c r="J66" s="125">
        <f>SUM(J64:J65)</f>
        <v>14415840</v>
      </c>
      <c r="K66" s="454">
        <f>SUM(K64:K65)</f>
        <v>4.8178048788112191</v>
      </c>
    </row>
    <row r="67" spans="5:11" ht="15" customHeight="1">
      <c r="E67" s="910" t="s">
        <v>94</v>
      </c>
      <c r="F67" s="878" t="s">
        <v>112</v>
      </c>
      <c r="G67" s="879"/>
      <c r="H67" s="881"/>
      <c r="I67" s="881"/>
      <c r="J67" s="911"/>
      <c r="K67" s="912"/>
    </row>
    <row r="68" spans="5:11" ht="15" customHeight="1">
      <c r="E68" s="451">
        <v>1</v>
      </c>
      <c r="F68" s="20" t="s">
        <v>1689</v>
      </c>
      <c r="G68" s="36" t="s">
        <v>95</v>
      </c>
      <c r="H68" s="20">
        <f t="shared" ref="H68:H74" si="5">VLOOKUP(F68,RekapVolume,3,FALSE)</f>
        <v>4</v>
      </c>
      <c r="I68" s="42">
        <f>HSP!J366</f>
        <v>269775</v>
      </c>
      <c r="J68" s="123">
        <f t="shared" ref="J68:J74" si="6">H68*I68</f>
        <v>1079100</v>
      </c>
      <c r="K68" s="452">
        <f t="shared" ref="K68:K74" si="7">J68/$J$117*100</f>
        <v>0.36063755179893686</v>
      </c>
    </row>
    <row r="69" spans="5:11" ht="15" customHeight="1">
      <c r="E69" s="451">
        <v>2</v>
      </c>
      <c r="F69" s="20" t="s">
        <v>64</v>
      </c>
      <c r="G69" s="36" t="s">
        <v>95</v>
      </c>
      <c r="H69" s="20">
        <f t="shared" si="5"/>
        <v>1</v>
      </c>
      <c r="I69" s="42">
        <f>HSP!J367</f>
        <v>157173</v>
      </c>
      <c r="J69" s="123">
        <f t="shared" si="6"/>
        <v>157173</v>
      </c>
      <c r="K69" s="452">
        <f t="shared" si="7"/>
        <v>5.2527556231020574E-2</v>
      </c>
    </row>
    <row r="70" spans="5:11" ht="15" customHeight="1">
      <c r="E70" s="451">
        <v>3</v>
      </c>
      <c r="F70" s="20" t="s">
        <v>1690</v>
      </c>
      <c r="G70" s="36" t="s">
        <v>95</v>
      </c>
      <c r="H70" s="20">
        <f t="shared" si="5"/>
        <v>5</v>
      </c>
      <c r="I70" s="42">
        <f>HSP!J375</f>
        <v>108317</v>
      </c>
      <c r="J70" s="123">
        <f t="shared" si="6"/>
        <v>541585</v>
      </c>
      <c r="K70" s="452">
        <f t="shared" si="7"/>
        <v>0.18099887729684666</v>
      </c>
    </row>
    <row r="71" spans="5:11" ht="15" customHeight="1">
      <c r="E71" s="451">
        <v>4</v>
      </c>
      <c r="F71" s="20" t="s">
        <v>1691</v>
      </c>
      <c r="G71" s="36" t="s">
        <v>95</v>
      </c>
      <c r="H71" s="20">
        <f t="shared" si="5"/>
        <v>4</v>
      </c>
      <c r="I71" s="42">
        <f>HSP!J375</f>
        <v>108317</v>
      </c>
      <c r="J71" s="123">
        <f t="shared" si="6"/>
        <v>433268</v>
      </c>
      <c r="K71" s="452">
        <f t="shared" si="7"/>
        <v>0.14479910183747732</v>
      </c>
    </row>
    <row r="72" spans="5:11" ht="15" customHeight="1">
      <c r="E72" s="451">
        <v>5</v>
      </c>
      <c r="F72" s="20" t="s">
        <v>65</v>
      </c>
      <c r="G72" s="36" t="s">
        <v>95</v>
      </c>
      <c r="H72" s="20">
        <f t="shared" si="5"/>
        <v>15</v>
      </c>
      <c r="I72" s="42">
        <f>HSP!J369</f>
        <v>53246</v>
      </c>
      <c r="J72" s="123">
        <f t="shared" si="6"/>
        <v>798690</v>
      </c>
      <c r="K72" s="452">
        <f t="shared" si="7"/>
        <v>0.2669239238683096</v>
      </c>
    </row>
    <row r="73" spans="5:11" ht="15" customHeight="1">
      <c r="E73" s="451">
        <v>6</v>
      </c>
      <c r="F73" s="20" t="s">
        <v>66</v>
      </c>
      <c r="G73" s="36" t="s">
        <v>95</v>
      </c>
      <c r="H73" s="20">
        <f t="shared" si="5"/>
        <v>8</v>
      </c>
      <c r="I73" s="42">
        <f>HSP!J370</f>
        <v>44863</v>
      </c>
      <c r="J73" s="123">
        <f t="shared" si="6"/>
        <v>358904</v>
      </c>
      <c r="K73" s="452">
        <f t="shared" si="7"/>
        <v>0.11994649234625673</v>
      </c>
    </row>
    <row r="74" spans="5:11" ht="15" customHeight="1">
      <c r="E74" s="451">
        <v>7</v>
      </c>
      <c r="F74" s="20" t="s">
        <v>67</v>
      </c>
      <c r="G74" s="36" t="s">
        <v>95</v>
      </c>
      <c r="H74" s="20">
        <f t="shared" si="5"/>
        <v>8</v>
      </c>
      <c r="I74" s="43">
        <f>HSP!J373</f>
        <v>38291</v>
      </c>
      <c r="J74" s="124">
        <f t="shared" si="6"/>
        <v>306328</v>
      </c>
      <c r="K74" s="453">
        <f t="shared" si="7"/>
        <v>0.10237547953615488</v>
      </c>
    </row>
    <row r="75" spans="5:11" ht="15" customHeight="1">
      <c r="E75" s="451"/>
      <c r="F75" s="20"/>
      <c r="G75" s="36"/>
      <c r="H75" s="20"/>
      <c r="I75" s="35" t="s">
        <v>149</v>
      </c>
      <c r="J75" s="125">
        <f>SUM(J68:J74)</f>
        <v>3675048</v>
      </c>
      <c r="K75" s="454">
        <f>SUM(K68:K74)</f>
        <v>1.2282089829150027</v>
      </c>
    </row>
    <row r="76" spans="5:11" ht="15" customHeight="1">
      <c r="E76" s="910" t="s">
        <v>69</v>
      </c>
      <c r="F76" s="878" t="s">
        <v>113</v>
      </c>
      <c r="G76" s="879"/>
      <c r="H76" s="881"/>
      <c r="I76" s="881"/>
      <c r="J76" s="911"/>
      <c r="K76" s="912"/>
    </row>
    <row r="77" spans="5:11" ht="15" customHeight="1">
      <c r="E77" s="451">
        <v>1</v>
      </c>
      <c r="F77" s="20" t="s">
        <v>114</v>
      </c>
      <c r="G77" s="36" t="s">
        <v>95</v>
      </c>
      <c r="H77" s="20">
        <f t="shared" ref="H77:H88" si="8">VLOOKUP(F77,RekapVolume,3,FALSE)</f>
        <v>2</v>
      </c>
      <c r="I77" s="42">
        <f>HSP!J454</f>
        <v>306611</v>
      </c>
      <c r="J77" s="123">
        <f t="shared" ref="J77:J88" si="9">H77*I77</f>
        <v>613222</v>
      </c>
      <c r="K77" s="452">
        <f t="shared" ref="K77:K88" si="10">J77/$J$117*100</f>
        <v>0.20494011749536434</v>
      </c>
    </row>
    <row r="78" spans="5:11" ht="15" customHeight="1">
      <c r="E78" s="451">
        <v>2</v>
      </c>
      <c r="F78" s="20" t="s">
        <v>115</v>
      </c>
      <c r="G78" s="36" t="s">
        <v>95</v>
      </c>
      <c r="H78" s="20">
        <f t="shared" si="8"/>
        <v>5</v>
      </c>
      <c r="I78" s="42">
        <f>HSP!J454</f>
        <v>306611</v>
      </c>
      <c r="J78" s="123">
        <f t="shared" si="9"/>
        <v>1533055</v>
      </c>
      <c r="K78" s="452">
        <f t="shared" si="10"/>
        <v>0.5123502937384109</v>
      </c>
    </row>
    <row r="79" spans="5:11" ht="15" customHeight="1">
      <c r="E79" s="451">
        <v>3</v>
      </c>
      <c r="F79" s="20" t="s">
        <v>116</v>
      </c>
      <c r="G79" s="36" t="s">
        <v>95</v>
      </c>
      <c r="H79" s="20">
        <f t="shared" si="8"/>
        <v>1</v>
      </c>
      <c r="I79" s="42">
        <f>HSP!J454</f>
        <v>306611</v>
      </c>
      <c r="J79" s="123">
        <f t="shared" si="9"/>
        <v>306611</v>
      </c>
      <c r="K79" s="452">
        <f t="shared" si="10"/>
        <v>0.10247005874768217</v>
      </c>
    </row>
    <row r="80" spans="5:11" ht="15" customHeight="1">
      <c r="E80" s="451">
        <v>4</v>
      </c>
      <c r="F80" s="20" t="s">
        <v>70</v>
      </c>
      <c r="G80" s="36" t="s">
        <v>95</v>
      </c>
      <c r="H80" s="20">
        <f t="shared" si="8"/>
        <v>2</v>
      </c>
      <c r="I80" s="42">
        <f>HSP!J455</f>
        <v>84535</v>
      </c>
      <c r="J80" s="123">
        <f t="shared" si="9"/>
        <v>169070</v>
      </c>
      <c r="K80" s="452">
        <f t="shared" si="10"/>
        <v>5.6503559338936388E-2</v>
      </c>
    </row>
    <row r="81" spans="5:11" ht="15" customHeight="1">
      <c r="E81" s="451">
        <v>5</v>
      </c>
      <c r="F81" s="20" t="s">
        <v>71</v>
      </c>
      <c r="G81" s="36" t="s">
        <v>95</v>
      </c>
      <c r="H81" s="20">
        <f t="shared" si="8"/>
        <v>4</v>
      </c>
      <c r="I81" s="42">
        <f>HSP!J456</f>
        <v>77935</v>
      </c>
      <c r="J81" s="123">
        <f t="shared" si="9"/>
        <v>311740</v>
      </c>
      <c r="K81" s="452">
        <f t="shared" si="10"/>
        <v>0.10418418163080398</v>
      </c>
    </row>
    <row r="82" spans="5:11" ht="15" customHeight="1">
      <c r="E82" s="451">
        <v>6</v>
      </c>
      <c r="F82" s="20" t="s">
        <v>72</v>
      </c>
      <c r="G82" s="36" t="s">
        <v>95</v>
      </c>
      <c r="H82" s="20">
        <f t="shared" si="8"/>
        <v>4</v>
      </c>
      <c r="I82" s="42">
        <f>HSP!J457</f>
        <v>70697</v>
      </c>
      <c r="J82" s="123">
        <f t="shared" si="9"/>
        <v>282788</v>
      </c>
      <c r="K82" s="452">
        <f t="shared" si="10"/>
        <v>9.4508360669185207E-2</v>
      </c>
    </row>
    <row r="83" spans="5:11" ht="15" customHeight="1">
      <c r="E83" s="451">
        <v>7</v>
      </c>
      <c r="F83" s="20" t="s">
        <v>73</v>
      </c>
      <c r="G83" s="36" t="s">
        <v>95</v>
      </c>
      <c r="H83" s="20">
        <f t="shared" si="8"/>
        <v>1</v>
      </c>
      <c r="I83" s="42">
        <f>HSP!J458</f>
        <v>496870</v>
      </c>
      <c r="J83" s="123">
        <f t="shared" si="9"/>
        <v>496870</v>
      </c>
      <c r="K83" s="452">
        <f t="shared" si="10"/>
        <v>0.16605502767337388</v>
      </c>
    </row>
    <row r="84" spans="5:11" ht="15" customHeight="1">
      <c r="E84" s="451">
        <v>8</v>
      </c>
      <c r="F84" s="20" t="s">
        <v>74</v>
      </c>
      <c r="G84" s="36" t="s">
        <v>95</v>
      </c>
      <c r="H84" s="20">
        <f t="shared" si="8"/>
        <v>1</v>
      </c>
      <c r="I84" s="42">
        <f>HSP!J414</f>
        <v>2407185</v>
      </c>
      <c r="J84" s="123">
        <f t="shared" si="9"/>
        <v>2407185</v>
      </c>
      <c r="K84" s="452">
        <f t="shared" si="10"/>
        <v>0.80448642862304132</v>
      </c>
    </row>
    <row r="85" spans="5:11" ht="15" customHeight="1">
      <c r="E85" s="451">
        <v>9</v>
      </c>
      <c r="F85" s="20" t="s">
        <v>75</v>
      </c>
      <c r="G85" s="36" t="s">
        <v>95</v>
      </c>
      <c r="H85" s="20">
        <f t="shared" si="8"/>
        <v>1</v>
      </c>
      <c r="I85" s="42">
        <f>HSP!J423</f>
        <v>611387</v>
      </c>
      <c r="J85" s="123">
        <f t="shared" si="9"/>
        <v>611387</v>
      </c>
      <c r="K85" s="452">
        <f t="shared" si="10"/>
        <v>0.20432685653016089</v>
      </c>
    </row>
    <row r="86" spans="5:11" ht="15" customHeight="1">
      <c r="E86" s="451">
        <v>10</v>
      </c>
      <c r="F86" s="20" t="s">
        <v>76</v>
      </c>
      <c r="G86" s="36" t="s">
        <v>95</v>
      </c>
      <c r="H86" s="20">
        <f t="shared" si="8"/>
        <v>4</v>
      </c>
      <c r="I86" s="42">
        <f>HSP!J432</f>
        <v>110331</v>
      </c>
      <c r="J86" s="123">
        <f t="shared" si="9"/>
        <v>441324</v>
      </c>
      <c r="K86" s="452">
        <f t="shared" si="10"/>
        <v>0.1474914344454768</v>
      </c>
    </row>
    <row r="87" spans="5:11" ht="15" customHeight="1">
      <c r="E87" s="451">
        <v>11</v>
      </c>
      <c r="F87" s="20" t="s">
        <v>77</v>
      </c>
      <c r="G87" s="36" t="s">
        <v>95</v>
      </c>
      <c r="H87" s="20">
        <f t="shared" si="8"/>
        <v>1</v>
      </c>
      <c r="I87" s="42">
        <f>HSP!J427</f>
        <v>328625</v>
      </c>
      <c r="J87" s="123">
        <f t="shared" si="9"/>
        <v>328625</v>
      </c>
      <c r="K87" s="452">
        <f t="shared" si="10"/>
        <v>0.1098271851171584</v>
      </c>
    </row>
    <row r="88" spans="5:11" ht="15" customHeight="1">
      <c r="E88" s="451">
        <v>12</v>
      </c>
      <c r="F88" s="20" t="s">
        <v>78</v>
      </c>
      <c r="G88" s="36" t="s">
        <v>95</v>
      </c>
      <c r="H88" s="20">
        <f t="shared" si="8"/>
        <v>1</v>
      </c>
      <c r="I88" s="43">
        <f>HSP!J425</f>
        <v>678315</v>
      </c>
      <c r="J88" s="124">
        <f t="shared" si="9"/>
        <v>678315</v>
      </c>
      <c r="K88" s="453">
        <f t="shared" si="10"/>
        <v>0.22669433875312375</v>
      </c>
    </row>
    <row r="89" spans="5:11" ht="15" customHeight="1">
      <c r="E89" s="451"/>
      <c r="F89" s="20"/>
      <c r="G89" s="36"/>
      <c r="H89" s="20"/>
      <c r="I89" s="35" t="s">
        <v>150</v>
      </c>
      <c r="J89" s="125">
        <f>SUM(J77:J88)</f>
        <v>8180192</v>
      </c>
      <c r="K89" s="454">
        <f>SUM(K77:K88)</f>
        <v>2.7338378427627186</v>
      </c>
    </row>
    <row r="90" spans="5:11" ht="15" customHeight="1">
      <c r="E90" s="910" t="s">
        <v>8</v>
      </c>
      <c r="F90" s="878" t="s">
        <v>82</v>
      </c>
      <c r="G90" s="879"/>
      <c r="H90" s="881"/>
      <c r="I90" s="881"/>
      <c r="J90" s="911"/>
      <c r="K90" s="912"/>
    </row>
    <row r="91" spans="5:11" ht="15" customHeight="1">
      <c r="E91" s="451">
        <v>1</v>
      </c>
      <c r="F91" s="20" t="s">
        <v>117</v>
      </c>
      <c r="G91" s="36" t="s">
        <v>91</v>
      </c>
      <c r="H91" s="20">
        <f>VLOOKUP(F91,RekapVolume,3,FALSE)</f>
        <v>135.23000000000002</v>
      </c>
      <c r="I91" s="42">
        <f>HSP!J399</f>
        <v>37532</v>
      </c>
      <c r="J91" s="123">
        <f>H91*I91</f>
        <v>5075452.3600000003</v>
      </c>
      <c r="K91" s="452">
        <f>J91/$J$117*100</f>
        <v>1.696227146124119</v>
      </c>
    </row>
    <row r="92" spans="5:11" ht="15" customHeight="1">
      <c r="E92" s="451">
        <v>2</v>
      </c>
      <c r="F92" s="20" t="s">
        <v>118</v>
      </c>
      <c r="G92" s="36" t="s">
        <v>91</v>
      </c>
      <c r="H92" s="20">
        <f>VLOOKUP(F92,RekapVolume,3,FALSE)</f>
        <v>80</v>
      </c>
      <c r="I92" s="42">
        <f>HSP!J399</f>
        <v>37532</v>
      </c>
      <c r="J92" s="123">
        <f>H92*I92</f>
        <v>3002560</v>
      </c>
      <c r="K92" s="452">
        <f>J92/$J$117*100</f>
        <v>1.0034620401532905</v>
      </c>
    </row>
    <row r="93" spans="5:11" ht="15" customHeight="1">
      <c r="E93" s="451">
        <v>3</v>
      </c>
      <c r="F93" s="20" t="s">
        <v>119</v>
      </c>
      <c r="G93" s="36" t="s">
        <v>91</v>
      </c>
      <c r="H93" s="20">
        <f>VLOOKUP(F93,RekapVolume,3,FALSE)</f>
        <v>13.966003907203907</v>
      </c>
      <c r="I93" s="42">
        <f>HSP!J405</f>
        <v>43847</v>
      </c>
      <c r="J93" s="123">
        <f>H93*I93</f>
        <v>612367.37331916974</v>
      </c>
      <c r="K93" s="452">
        <f>J93/$J$117*100</f>
        <v>0.20465449941189043</v>
      </c>
    </row>
    <row r="94" spans="5:11" ht="15" customHeight="1">
      <c r="E94" s="451">
        <v>4</v>
      </c>
      <c r="F94" s="20" t="s">
        <v>120</v>
      </c>
      <c r="G94" s="36" t="s">
        <v>91</v>
      </c>
      <c r="H94" s="20">
        <f>VLOOKUP(F94,RekapVolume,3,FALSE)</f>
        <v>13.966003907203907</v>
      </c>
      <c r="I94" s="43">
        <f>HSP!J393</f>
        <v>52538</v>
      </c>
      <c r="J94" s="124">
        <f>H94*I94</f>
        <v>733745.91327667888</v>
      </c>
      <c r="K94" s="453">
        <f>J94/$J$117*100</f>
        <v>0.24521946974939904</v>
      </c>
    </row>
    <row r="95" spans="5:11" ht="15" customHeight="1">
      <c r="E95" s="451"/>
      <c r="F95" s="20"/>
      <c r="G95" s="36"/>
      <c r="H95" s="20"/>
      <c r="I95" s="35" t="s">
        <v>151</v>
      </c>
      <c r="J95" s="125">
        <f>SUM(J91:J94)</f>
        <v>9424125.6465958506</v>
      </c>
      <c r="K95" s="454">
        <f>SUM(K91:K94)</f>
        <v>3.1495631554386994</v>
      </c>
    </row>
    <row r="96" spans="5:11" ht="15" customHeight="1">
      <c r="E96" s="910" t="s">
        <v>84</v>
      </c>
      <c r="F96" s="878" t="s">
        <v>85</v>
      </c>
      <c r="G96" s="879"/>
      <c r="H96" s="881"/>
      <c r="I96" s="881"/>
      <c r="J96" s="911"/>
      <c r="K96" s="912"/>
    </row>
    <row r="97" spans="5:11" ht="15" customHeight="1">
      <c r="E97" s="451">
        <v>1</v>
      </c>
      <c r="F97" s="20" t="s">
        <v>86</v>
      </c>
      <c r="G97" s="36" t="s">
        <v>92</v>
      </c>
      <c r="H97" s="20">
        <f t="shared" ref="H97:H112" si="11">VLOOKUP(F97,RekapVolume,3,FALSE)</f>
        <v>12.774000000000001</v>
      </c>
      <c r="I97" s="42">
        <f>HSP!J25</f>
        <v>107800</v>
      </c>
      <c r="J97" s="123">
        <f t="shared" ref="J97:J112" si="12">H97*I97</f>
        <v>1377037.2000000002</v>
      </c>
      <c r="K97" s="452">
        <f t="shared" ref="K97:K112" si="13">J97/$J$117*100</f>
        <v>0.46020880784363183</v>
      </c>
    </row>
    <row r="98" spans="5:11" ht="15" customHeight="1">
      <c r="E98" s="451">
        <v>2</v>
      </c>
      <c r="F98" s="20" t="s">
        <v>89</v>
      </c>
      <c r="G98" s="36" t="s">
        <v>91</v>
      </c>
      <c r="H98" s="20">
        <f t="shared" si="11"/>
        <v>24.959999999999997</v>
      </c>
      <c r="I98" s="42">
        <f>HSP!J174</f>
        <v>108051</v>
      </c>
      <c r="J98" s="123">
        <f t="shared" si="12"/>
        <v>2696952.9599999995</v>
      </c>
      <c r="K98" s="452">
        <f t="shared" si="13"/>
        <v>0.90132750700703912</v>
      </c>
    </row>
    <row r="99" spans="5:11" ht="15" customHeight="1">
      <c r="E99" s="451">
        <v>3</v>
      </c>
      <c r="F99" s="20" t="s">
        <v>121</v>
      </c>
      <c r="G99" s="36" t="s">
        <v>92</v>
      </c>
      <c r="H99" s="20">
        <f t="shared" si="11"/>
        <v>0.432</v>
      </c>
      <c r="I99" s="42">
        <f>HSP!J49</f>
        <v>885381</v>
      </c>
      <c r="J99" s="123">
        <f t="shared" si="12"/>
        <v>382484.592</v>
      </c>
      <c r="K99" s="452">
        <f t="shared" si="13"/>
        <v>0.1278271771473406</v>
      </c>
    </row>
    <row r="100" spans="5:11" ht="15" customHeight="1">
      <c r="E100" s="451">
        <v>4</v>
      </c>
      <c r="F100" s="20" t="s">
        <v>1683</v>
      </c>
      <c r="G100" s="36" t="s">
        <v>92</v>
      </c>
      <c r="H100" s="20">
        <f t="shared" si="11"/>
        <v>0.42750000000000005</v>
      </c>
      <c r="I100" s="42">
        <f>HSP!J35</f>
        <v>440426</v>
      </c>
      <c r="J100" s="123">
        <f t="shared" si="12"/>
        <v>188282.11500000002</v>
      </c>
      <c r="K100" s="452">
        <f t="shared" si="13"/>
        <v>6.2924289686892676E-2</v>
      </c>
    </row>
    <row r="101" spans="5:11" ht="15" customHeight="1">
      <c r="E101" s="451">
        <v>5</v>
      </c>
      <c r="F101" s="20" t="s">
        <v>122</v>
      </c>
      <c r="G101" s="36" t="s">
        <v>92</v>
      </c>
      <c r="H101" s="20">
        <f t="shared" si="11"/>
        <v>0.432</v>
      </c>
      <c r="I101" s="42">
        <f>HSP!J38</f>
        <v>401852</v>
      </c>
      <c r="J101" s="123">
        <f t="shared" si="12"/>
        <v>173600.06399999998</v>
      </c>
      <c r="K101" s="452">
        <f t="shared" si="13"/>
        <v>5.8017516516633075E-2</v>
      </c>
    </row>
    <row r="102" spans="5:11" ht="15" customHeight="1">
      <c r="E102" s="451">
        <v>6</v>
      </c>
      <c r="F102" s="20" t="s">
        <v>1684</v>
      </c>
      <c r="G102" s="36" t="s">
        <v>92</v>
      </c>
      <c r="H102" s="20">
        <f t="shared" si="11"/>
        <v>0.432</v>
      </c>
      <c r="I102" s="42">
        <f>HSP!J38</f>
        <v>401852</v>
      </c>
      <c r="J102" s="123">
        <f t="shared" si="12"/>
        <v>173600.06399999998</v>
      </c>
      <c r="K102" s="452">
        <f t="shared" si="13"/>
        <v>5.8017516516633075E-2</v>
      </c>
    </row>
    <row r="103" spans="5:11" ht="15" customHeight="1">
      <c r="E103" s="451">
        <v>7</v>
      </c>
      <c r="F103" s="20" t="s">
        <v>123</v>
      </c>
      <c r="G103" s="36" t="s">
        <v>91</v>
      </c>
      <c r="H103" s="20">
        <f t="shared" si="11"/>
        <v>5.1199999999999992</v>
      </c>
      <c r="I103" s="42">
        <f>HSP!J37/2</f>
        <v>808665</v>
      </c>
      <c r="J103" s="123">
        <f t="shared" si="12"/>
        <v>4140364.7999999993</v>
      </c>
      <c r="K103" s="452">
        <f t="shared" si="13"/>
        <v>1.3837188629658925</v>
      </c>
    </row>
    <row r="104" spans="5:11" ht="15" customHeight="1">
      <c r="E104" s="451">
        <v>8</v>
      </c>
      <c r="F104" s="20" t="s">
        <v>124</v>
      </c>
      <c r="G104" s="36" t="s">
        <v>92</v>
      </c>
      <c r="H104" s="20">
        <f t="shared" si="11"/>
        <v>0.28350000000000009</v>
      </c>
      <c r="I104" s="42">
        <f>HSP!J83</f>
        <v>7336880</v>
      </c>
      <c r="J104" s="123">
        <f t="shared" si="12"/>
        <v>2080005.4800000007</v>
      </c>
      <c r="K104" s="452">
        <f t="shared" si="13"/>
        <v>0.69514232604538306</v>
      </c>
    </row>
    <row r="105" spans="5:11" ht="15" customHeight="1">
      <c r="E105" s="451">
        <v>9</v>
      </c>
      <c r="F105" s="20" t="s">
        <v>125</v>
      </c>
      <c r="G105" s="36" t="s">
        <v>92</v>
      </c>
      <c r="H105" s="20">
        <f t="shared" si="11"/>
        <v>0.20249999999999996</v>
      </c>
      <c r="I105" s="42">
        <f>HSP!J86</f>
        <v>8939854</v>
      </c>
      <c r="J105" s="123">
        <f t="shared" si="12"/>
        <v>1810320.4349999996</v>
      </c>
      <c r="K105" s="452">
        <f t="shared" si="13"/>
        <v>0.60501300125102986</v>
      </c>
    </row>
    <row r="106" spans="5:11" ht="15" customHeight="1">
      <c r="E106" s="451">
        <v>10</v>
      </c>
      <c r="F106" s="20" t="s">
        <v>126</v>
      </c>
      <c r="G106" s="36" t="s">
        <v>92</v>
      </c>
      <c r="H106" s="20">
        <f t="shared" si="11"/>
        <v>0.11199999999999999</v>
      </c>
      <c r="I106" s="42">
        <f>HSP!J86</f>
        <v>8939854</v>
      </c>
      <c r="J106" s="123">
        <f t="shared" si="12"/>
        <v>1001263.6479999999</v>
      </c>
      <c r="K106" s="452">
        <f t="shared" si="13"/>
        <v>0.33462447476600171</v>
      </c>
    </row>
    <row r="107" spans="5:11" ht="15" customHeight="1">
      <c r="E107" s="451">
        <v>11</v>
      </c>
      <c r="F107" s="20" t="s">
        <v>127</v>
      </c>
      <c r="G107" s="36" t="s">
        <v>92</v>
      </c>
      <c r="H107" s="20">
        <f t="shared" si="11"/>
        <v>0.24975000000000003</v>
      </c>
      <c r="I107" s="42">
        <f>HSP!J83</f>
        <v>7336880</v>
      </c>
      <c r="J107" s="123">
        <f t="shared" si="12"/>
        <v>1832385.7800000003</v>
      </c>
      <c r="K107" s="452">
        <f t="shared" si="13"/>
        <v>0.61238728723045632</v>
      </c>
    </row>
    <row r="108" spans="5:11" ht="15" customHeight="1">
      <c r="E108" s="451">
        <v>12</v>
      </c>
      <c r="F108" s="20" t="s">
        <v>128</v>
      </c>
      <c r="G108" s="36" t="s">
        <v>92</v>
      </c>
      <c r="H108" s="20">
        <f t="shared" si="11"/>
        <v>0.16800000000000001</v>
      </c>
      <c r="I108" s="42">
        <f>HSP!J83</f>
        <v>7336880</v>
      </c>
      <c r="J108" s="123">
        <f t="shared" si="12"/>
        <v>1232595.8400000001</v>
      </c>
      <c r="K108" s="452">
        <f t="shared" si="13"/>
        <v>0.41193619321207869</v>
      </c>
    </row>
    <row r="109" spans="5:11" ht="15" customHeight="1">
      <c r="E109" s="451">
        <v>13</v>
      </c>
      <c r="F109" s="20" t="s">
        <v>129</v>
      </c>
      <c r="G109" s="36" t="s">
        <v>92</v>
      </c>
      <c r="H109" s="20">
        <f t="shared" si="11"/>
        <v>0.59075</v>
      </c>
      <c r="I109" s="42">
        <f>HSP!J86</f>
        <v>8939854</v>
      </c>
      <c r="J109" s="123">
        <f t="shared" si="12"/>
        <v>5281218.7505000001</v>
      </c>
      <c r="K109" s="452">
        <f t="shared" si="13"/>
        <v>1.7649947184644244</v>
      </c>
    </row>
    <row r="110" spans="5:11" ht="15" customHeight="1">
      <c r="E110" s="451">
        <v>14</v>
      </c>
      <c r="F110" s="20" t="s">
        <v>130</v>
      </c>
      <c r="G110" s="36" t="s">
        <v>93</v>
      </c>
      <c r="H110" s="20">
        <f t="shared" si="11"/>
        <v>3</v>
      </c>
      <c r="I110" s="42">
        <f>HSP!J445</f>
        <v>154222</v>
      </c>
      <c r="J110" s="123">
        <f t="shared" si="12"/>
        <v>462666</v>
      </c>
      <c r="K110" s="452">
        <f t="shared" si="13"/>
        <v>0.15462397696284583</v>
      </c>
    </row>
    <row r="111" spans="5:11" ht="15" customHeight="1">
      <c r="E111" s="451">
        <v>15</v>
      </c>
      <c r="F111" s="20" t="s">
        <v>131</v>
      </c>
      <c r="G111" s="36" t="s">
        <v>95</v>
      </c>
      <c r="H111" s="20">
        <f t="shared" si="11"/>
        <v>1</v>
      </c>
      <c r="I111" s="21">
        <v>100000</v>
      </c>
      <c r="J111" s="123">
        <f t="shared" si="12"/>
        <v>100000</v>
      </c>
      <c r="K111" s="452">
        <f t="shared" si="13"/>
        <v>3.3420216087381785E-2</v>
      </c>
    </row>
    <row r="112" spans="5:11" ht="15" customHeight="1">
      <c r="E112" s="451">
        <v>16</v>
      </c>
      <c r="F112" s="20" t="s">
        <v>132</v>
      </c>
      <c r="G112" s="36" t="s">
        <v>92</v>
      </c>
      <c r="H112" s="20">
        <f t="shared" si="11"/>
        <v>34.14</v>
      </c>
      <c r="I112" s="43">
        <f>HSP!J154</f>
        <v>178223</v>
      </c>
      <c r="J112" s="124">
        <f t="shared" si="12"/>
        <v>6084533.2199999997</v>
      </c>
      <c r="K112" s="453">
        <f t="shared" si="13"/>
        <v>2.033464150032529</v>
      </c>
    </row>
    <row r="113" spans="5:11" ht="15" customHeight="1">
      <c r="E113" s="451"/>
      <c r="F113" s="20"/>
      <c r="G113" s="36"/>
      <c r="H113" s="20"/>
      <c r="I113" s="35" t="s">
        <v>152</v>
      </c>
      <c r="J113" s="125">
        <f>SUM(J97:J112)</f>
        <v>29017310.9485</v>
      </c>
      <c r="K113" s="454">
        <f>SUM(K97:K112)</f>
        <v>9.6976480217361942</v>
      </c>
    </row>
    <row r="114" spans="5:11" ht="15" customHeight="1">
      <c r="E114" s="910" t="s">
        <v>133</v>
      </c>
      <c r="F114" s="878" t="s">
        <v>134</v>
      </c>
      <c r="G114" s="879"/>
      <c r="H114" s="881"/>
      <c r="I114" s="881"/>
      <c r="J114" s="911"/>
      <c r="K114" s="912"/>
    </row>
    <row r="115" spans="5:11" ht="15" customHeight="1">
      <c r="E115" s="451">
        <v>1</v>
      </c>
      <c r="F115" s="20" t="s">
        <v>135</v>
      </c>
      <c r="G115" s="36" t="s">
        <v>614</v>
      </c>
      <c r="H115" s="20">
        <f>H8</f>
        <v>200</v>
      </c>
      <c r="I115" s="43">
        <f>I8/3</f>
        <v>7700</v>
      </c>
      <c r="J115" s="124">
        <f>H115*I115</f>
        <v>1540000</v>
      </c>
      <c r="K115" s="453">
        <f>J115/$J$117*100</f>
        <v>0.51467132774567947</v>
      </c>
    </row>
    <row r="116" spans="5:11" ht="15" customHeight="1">
      <c r="E116" s="455"/>
      <c r="F116" s="38"/>
      <c r="G116" s="39"/>
      <c r="H116" s="38"/>
      <c r="I116" s="126" t="s">
        <v>153</v>
      </c>
      <c r="J116" s="127">
        <f>SUM(J115)</f>
        <v>1540000</v>
      </c>
      <c r="K116" s="456">
        <f>SUM(K115)</f>
        <v>0.51467132774567947</v>
      </c>
    </row>
    <row r="117" spans="5:11" ht="15" customHeight="1">
      <c r="E117" s="457"/>
      <c r="F117" s="34"/>
      <c r="G117" s="122"/>
      <c r="H117" s="34"/>
      <c r="I117" s="35" t="s">
        <v>1715</v>
      </c>
      <c r="J117" s="125">
        <f>J12+J18+J25+J47+J55+J62+J66+J75+J89+J95+J113+J116</f>
        <v>299220088.04053253</v>
      </c>
      <c r="K117" s="458">
        <f>K12+K18+K25+K47+K55+K62+K66+K75+K89+K95+K113+K116</f>
        <v>100.00000000000001</v>
      </c>
    </row>
    <row r="118" spans="5:11" ht="15" customHeight="1" thickBot="1">
      <c r="E118" s="459"/>
      <c r="F118" s="460"/>
      <c r="G118" s="461"/>
      <c r="H118" s="460"/>
      <c r="I118" s="460"/>
      <c r="J118" s="462"/>
      <c r="K118" s="463"/>
    </row>
  </sheetData>
  <mergeCells count="7">
    <mergeCell ref="A35:C35"/>
    <mergeCell ref="K4:K5"/>
    <mergeCell ref="E4:E5"/>
    <mergeCell ref="F4:F5"/>
    <mergeCell ref="G4:G5"/>
    <mergeCell ref="H4:H5"/>
    <mergeCell ref="I4:J4"/>
  </mergeCells>
  <pageMargins left="0.7" right="0.7" top="0.75" bottom="0.75" header="0.3" footer="0.3"/>
  <pageSetup paperSize="9"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8219E-1458-4202-B4BD-AD377FE3A92B}">
  <sheetPr codeName="Sheet15"/>
  <dimension ref="A1:Z118"/>
  <sheetViews>
    <sheetView showGridLines="0" showRowColHeaders="0" zoomScale="75" zoomScaleNormal="75" workbookViewId="0">
      <pane ySplit="5" topLeftCell="A6" activePane="bottomLeft" state="frozen"/>
      <selection pane="bottomLeft" activeCell="M7" sqref="M7"/>
    </sheetView>
  </sheetViews>
  <sheetFormatPr defaultColWidth="9.21875" defaultRowHeight="15" customHeight="1"/>
  <cols>
    <col min="1" max="3" width="10.77734375" style="662" customWidth="1"/>
    <col min="4" max="4" width="4.77734375" style="239" customWidth="1"/>
    <col min="5" max="5" width="5.44140625" style="239" customWidth="1"/>
    <col min="6" max="6" width="30.44140625" style="239" customWidth="1"/>
    <col min="7" max="7" width="15.44140625" style="239" bestFit="1" customWidth="1"/>
    <col min="8" max="8" width="2.77734375" style="240" hidden="1" customWidth="1"/>
    <col min="9" max="9" width="1.44140625" style="239" hidden="1" customWidth="1"/>
    <col min="10" max="10" width="1.77734375" style="239" hidden="1" customWidth="1"/>
    <col min="11" max="11" width="1.5546875" style="239" hidden="1" customWidth="1"/>
    <col min="12" max="12" width="12.21875" style="239" customWidth="1"/>
    <col min="13" max="23" width="8.21875" style="239" customWidth="1"/>
    <col min="24" max="24" width="1.77734375" style="239" customWidth="1"/>
    <col min="25" max="16384" width="9.21875" style="239"/>
  </cols>
  <sheetData>
    <row r="1" spans="5:26" s="662" customFormat="1" ht="15" customHeight="1">
      <c r="H1" s="663"/>
    </row>
    <row r="2" spans="5:26" s="662" customFormat="1" ht="15" customHeight="1">
      <c r="E2" s="937" t="s">
        <v>2386</v>
      </c>
      <c r="H2" s="663"/>
    </row>
    <row r="3" spans="5:26" s="662" customFormat="1" ht="15" customHeight="1" thickBot="1">
      <c r="H3" s="663"/>
    </row>
    <row r="4" spans="5:26" ht="15" customHeight="1" thickTop="1">
      <c r="E4" s="1182" t="s">
        <v>136</v>
      </c>
      <c r="F4" s="1187" t="s">
        <v>137</v>
      </c>
      <c r="G4" s="1188"/>
      <c r="H4" s="1184" t="s">
        <v>138</v>
      </c>
      <c r="I4" s="1184" t="s">
        <v>58</v>
      </c>
      <c r="J4" s="1184" t="s">
        <v>139</v>
      </c>
      <c r="K4" s="1186"/>
      <c r="L4" s="1180" t="s">
        <v>1714</v>
      </c>
      <c r="M4" s="1177" t="s">
        <v>1716</v>
      </c>
      <c r="N4" s="1178"/>
      <c r="O4" s="1178"/>
      <c r="P4" s="1178"/>
      <c r="Q4" s="1178" t="s">
        <v>1721</v>
      </c>
      <c r="R4" s="1178"/>
      <c r="S4" s="1178"/>
      <c r="T4" s="1178"/>
      <c r="U4" s="1178" t="s">
        <v>1722</v>
      </c>
      <c r="V4" s="1178"/>
      <c r="W4" s="1179"/>
    </row>
    <row r="5" spans="5:26" ht="15" customHeight="1" thickBot="1">
      <c r="E5" s="1183"/>
      <c r="F5" s="1189"/>
      <c r="G5" s="1190"/>
      <c r="H5" s="1185"/>
      <c r="I5" s="1185"/>
      <c r="J5" s="913" t="s">
        <v>140</v>
      </c>
      <c r="K5" s="914" t="s">
        <v>141</v>
      </c>
      <c r="L5" s="1181"/>
      <c r="M5" s="915" t="s">
        <v>1717</v>
      </c>
      <c r="N5" s="916" t="s">
        <v>1718</v>
      </c>
      <c r="O5" s="916" t="s">
        <v>1719</v>
      </c>
      <c r="P5" s="916" t="s">
        <v>1720</v>
      </c>
      <c r="Q5" s="916" t="s">
        <v>2055</v>
      </c>
      <c r="R5" s="916" t="s">
        <v>2056</v>
      </c>
      <c r="S5" s="916" t="s">
        <v>2057</v>
      </c>
      <c r="T5" s="916" t="s">
        <v>2058</v>
      </c>
      <c r="U5" s="916" t="s">
        <v>2059</v>
      </c>
      <c r="V5" s="916" t="s">
        <v>2060</v>
      </c>
      <c r="W5" s="917" t="s">
        <v>2061</v>
      </c>
    </row>
    <row r="6" spans="5:26" ht="15" customHeight="1" thickTop="1">
      <c r="E6" s="241" t="s">
        <v>3</v>
      </c>
      <c r="F6" s="242" t="s">
        <v>4</v>
      </c>
      <c r="G6" s="243"/>
      <c r="H6" s="244"/>
      <c r="I6" s="245"/>
      <c r="J6" s="245"/>
      <c r="K6" s="246"/>
      <c r="L6" s="247"/>
      <c r="M6" s="1064"/>
      <c r="N6" s="1065"/>
      <c r="O6" s="1065"/>
      <c r="P6" s="1065"/>
      <c r="Q6" s="1065"/>
      <c r="R6" s="1065"/>
      <c r="S6" s="1065"/>
      <c r="T6" s="1065"/>
      <c r="U6" s="1065"/>
      <c r="V6" s="1065"/>
      <c r="W6" s="1066"/>
    </row>
    <row r="7" spans="5:26" ht="15" customHeight="1">
      <c r="E7" s="248">
        <v>1</v>
      </c>
      <c r="F7" s="249" t="s">
        <v>96</v>
      </c>
      <c r="G7" s="250"/>
      <c r="H7" s="251" t="s">
        <v>91</v>
      </c>
      <c r="I7" s="252">
        <f>VLOOKUP(F7,RekapVolume,3,FALSE)</f>
        <v>200</v>
      </c>
      <c r="J7" s="253">
        <f>HSP!J14</f>
        <v>23100</v>
      </c>
      <c r="K7" s="254">
        <f>I7*J7</f>
        <v>4620000</v>
      </c>
      <c r="L7" s="255">
        <f>K7/$K$116*100</f>
        <v>1.5440139832370385</v>
      </c>
      <c r="M7" s="1067">
        <f>L7</f>
        <v>1.5440139832370385</v>
      </c>
      <c r="N7" s="1068"/>
      <c r="O7" s="1068"/>
      <c r="P7" s="1068"/>
      <c r="Q7" s="1068"/>
      <c r="R7" s="1068"/>
      <c r="S7" s="1068"/>
      <c r="T7" s="1068"/>
      <c r="U7" s="1068"/>
      <c r="V7" s="1068"/>
      <c r="W7" s="1069"/>
      <c r="Y7" s="256"/>
      <c r="Z7" s="257"/>
    </row>
    <row r="8" spans="5:26" ht="15" customHeight="1">
      <c r="E8" s="248">
        <v>2</v>
      </c>
      <c r="F8" s="249" t="s">
        <v>5</v>
      </c>
      <c r="G8" s="250"/>
      <c r="H8" s="251" t="s">
        <v>97</v>
      </c>
      <c r="I8" s="252">
        <f>VLOOKUP(F8,RekapVolume,3,FALSE)</f>
        <v>48</v>
      </c>
      <c r="J8" s="253">
        <f>HSP!J10</f>
        <v>92990</v>
      </c>
      <c r="K8" s="254">
        <f>I8*J8</f>
        <v>4463520</v>
      </c>
      <c r="L8" s="255">
        <f>K8/$K$116*100</f>
        <v>1.4917180291035035</v>
      </c>
      <c r="M8" s="1067">
        <f>L8</f>
        <v>1.4917180291035035</v>
      </c>
      <c r="N8" s="1068"/>
      <c r="O8" s="1068"/>
      <c r="P8" s="1068"/>
      <c r="Q8" s="1068"/>
      <c r="R8" s="1068"/>
      <c r="S8" s="1068"/>
      <c r="T8" s="1068"/>
      <c r="U8" s="1068"/>
      <c r="V8" s="1068"/>
      <c r="W8" s="1069"/>
      <c r="Y8" s="256"/>
      <c r="Z8" s="257"/>
    </row>
    <row r="9" spans="5:26" ht="15" customHeight="1">
      <c r="E9" s="248">
        <v>3</v>
      </c>
      <c r="F9" s="249" t="s">
        <v>6</v>
      </c>
      <c r="G9" s="250"/>
      <c r="H9" s="251" t="s">
        <v>2</v>
      </c>
      <c r="I9" s="252">
        <f>VLOOKUP(F9,RekapVolume,3,FALSE)</f>
        <v>1</v>
      </c>
      <c r="J9" s="252">
        <v>500000</v>
      </c>
      <c r="K9" s="254">
        <f>I9*J9</f>
        <v>500000</v>
      </c>
      <c r="L9" s="255">
        <f>K9/$K$116*100</f>
        <v>0.16710108043690894</v>
      </c>
      <c r="M9" s="1070">
        <f>$L$9/3</f>
        <v>5.5700360145636313E-2</v>
      </c>
      <c r="N9" s="1068"/>
      <c r="O9" s="1068"/>
      <c r="P9" s="1068"/>
      <c r="Q9" s="1071">
        <f>$L$9/3</f>
        <v>5.5700360145636313E-2</v>
      </c>
      <c r="R9" s="1068"/>
      <c r="S9" s="1068"/>
      <c r="T9" s="1068"/>
      <c r="U9" s="1071">
        <f>$L$9/3</f>
        <v>5.5700360145636313E-2</v>
      </c>
      <c r="V9" s="1068"/>
      <c r="W9" s="1069"/>
      <c r="Y9" s="256"/>
      <c r="Z9" s="257"/>
    </row>
    <row r="10" spans="5:26" ht="15" customHeight="1">
      <c r="E10" s="248">
        <v>4</v>
      </c>
      <c r="F10" s="249" t="s">
        <v>98</v>
      </c>
      <c r="G10" s="250"/>
      <c r="H10" s="251" t="s">
        <v>2</v>
      </c>
      <c r="I10" s="252">
        <f>VLOOKUP(F10,RekapVolume,3,FALSE)</f>
        <v>1</v>
      </c>
      <c r="J10" s="258">
        <v>500000</v>
      </c>
      <c r="K10" s="259">
        <f>I10*J10</f>
        <v>500000</v>
      </c>
      <c r="L10" s="260">
        <f>K10/$K$116*100</f>
        <v>0.16710108043690894</v>
      </c>
      <c r="M10" s="1070">
        <f>$L$10/4</f>
        <v>4.1775270109227235E-2</v>
      </c>
      <c r="N10" s="1068"/>
      <c r="O10" s="1068"/>
      <c r="P10" s="1068"/>
      <c r="Q10" s="1071">
        <f>$L$10/4</f>
        <v>4.1775270109227235E-2</v>
      </c>
      <c r="R10" s="1072"/>
      <c r="S10" s="1068"/>
      <c r="T10" s="1068"/>
      <c r="U10" s="1071">
        <f>$L$10/4</f>
        <v>4.1775270109227235E-2</v>
      </c>
      <c r="V10" s="1072"/>
      <c r="W10" s="1073">
        <f>$L$10/4</f>
        <v>4.1775270109227235E-2</v>
      </c>
      <c r="Y10" s="256"/>
      <c r="Z10" s="257"/>
    </row>
    <row r="11" spans="5:26" ht="15" customHeight="1">
      <c r="E11" s="248"/>
      <c r="F11" s="249"/>
      <c r="G11" s="250"/>
      <c r="H11" s="251"/>
      <c r="I11" s="252"/>
      <c r="J11" s="261" t="s">
        <v>142</v>
      </c>
      <c r="K11" s="262">
        <f>SUM(K7:K10)</f>
        <v>10083520</v>
      </c>
      <c r="L11" s="263">
        <f>SUM(L7:L10)</f>
        <v>3.36993417321436</v>
      </c>
      <c r="M11" s="1074"/>
      <c r="N11" s="1068"/>
      <c r="O11" s="1068"/>
      <c r="P11" s="1068"/>
      <c r="Q11" s="1068"/>
      <c r="R11" s="1068"/>
      <c r="S11" s="1068"/>
      <c r="T11" s="1068"/>
      <c r="U11" s="1068"/>
      <c r="V11" s="1068"/>
      <c r="W11" s="1069"/>
      <c r="Y11" s="256"/>
      <c r="Z11" s="257"/>
    </row>
    <row r="12" spans="5:26" ht="15" customHeight="1">
      <c r="E12" s="264" t="s">
        <v>11</v>
      </c>
      <c r="F12" s="265" t="s">
        <v>99</v>
      </c>
      <c r="G12" s="266"/>
      <c r="H12" s="251"/>
      <c r="I12" s="252"/>
      <c r="J12" s="252"/>
      <c r="K12" s="249"/>
      <c r="L12" s="255"/>
      <c r="M12" s="1074"/>
      <c r="N12" s="1068"/>
      <c r="O12" s="1068"/>
      <c r="P12" s="1068"/>
      <c r="Q12" s="1068"/>
      <c r="R12" s="1068"/>
      <c r="S12" s="1068"/>
      <c r="T12" s="1068"/>
      <c r="U12" s="1068"/>
      <c r="V12" s="1068"/>
      <c r="W12" s="1069"/>
      <c r="Y12" s="256"/>
      <c r="Z12" s="257"/>
    </row>
    <row r="13" spans="5:26" ht="15" customHeight="1">
      <c r="E13" s="248">
        <v>1</v>
      </c>
      <c r="F13" s="249" t="s">
        <v>12</v>
      </c>
      <c r="G13" s="250"/>
      <c r="H13" s="251" t="s">
        <v>92</v>
      </c>
      <c r="I13" s="252">
        <f>VLOOKUP(F13,RekapVolume,3,FALSE)</f>
        <v>30.712500000000006</v>
      </c>
      <c r="J13" s="253">
        <f>HSP!J25</f>
        <v>107800</v>
      </c>
      <c r="K13" s="254">
        <f>I13*J13</f>
        <v>3310807.5000000005</v>
      </c>
      <c r="L13" s="255">
        <f>K13/$K$116*100</f>
        <v>1.106479020737243</v>
      </c>
      <c r="M13" s="1067">
        <f>$L$13/2</f>
        <v>0.55323951036862151</v>
      </c>
      <c r="N13" s="1075">
        <f>$L$13/2</f>
        <v>0.55323951036862151</v>
      </c>
      <c r="O13" s="1068"/>
      <c r="P13" s="1068"/>
      <c r="Q13" s="1068"/>
      <c r="R13" s="1068"/>
      <c r="S13" s="1068"/>
      <c r="T13" s="1068"/>
      <c r="U13" s="1068"/>
      <c r="V13" s="1068"/>
      <c r="W13" s="1069"/>
      <c r="Y13" s="256"/>
      <c r="Z13" s="257"/>
    </row>
    <row r="14" spans="5:26" ht="15" customHeight="1">
      <c r="E14" s="248">
        <v>2</v>
      </c>
      <c r="F14" s="249" t="s">
        <v>13</v>
      </c>
      <c r="G14" s="250"/>
      <c r="H14" s="251" t="s">
        <v>92</v>
      </c>
      <c r="I14" s="252">
        <f>VLOOKUP(F14,RekapVolume,3,FALSE)</f>
        <v>26.878125000000004</v>
      </c>
      <c r="J14" s="253">
        <f>HSP!J33</f>
        <v>39050</v>
      </c>
      <c r="K14" s="254">
        <f>I14*J14</f>
        <v>1049590.7812500002</v>
      </c>
      <c r="L14" s="255">
        <f>K14/$K$116*100</f>
        <v>0.35077550712698874</v>
      </c>
      <c r="M14" s="1074"/>
      <c r="N14" s="1068"/>
      <c r="O14" s="1075">
        <f>L14</f>
        <v>0.35077550712698874</v>
      </c>
      <c r="P14" s="1068"/>
      <c r="Q14" s="1068"/>
      <c r="R14" s="1068"/>
      <c r="S14" s="1068"/>
      <c r="T14" s="1068"/>
      <c r="U14" s="1068"/>
      <c r="V14" s="1068"/>
      <c r="W14" s="1069"/>
      <c r="Y14" s="256"/>
      <c r="Z14" s="257"/>
    </row>
    <row r="15" spans="5:26" ht="15" customHeight="1">
      <c r="E15" s="248">
        <v>3</v>
      </c>
      <c r="F15" s="249" t="s">
        <v>14</v>
      </c>
      <c r="G15" s="250"/>
      <c r="H15" s="251" t="s">
        <v>92</v>
      </c>
      <c r="I15" s="252">
        <f>VLOOKUP(F15,RekapVolume,3,FALSE)</f>
        <v>2.0249999999999999</v>
      </c>
      <c r="J15" s="253">
        <f>HSP!J35</f>
        <v>440426</v>
      </c>
      <c r="K15" s="254">
        <f>I15*J15</f>
        <v>891862.64999999991</v>
      </c>
      <c r="L15" s="255">
        <f>K15/$K$116*100</f>
        <v>0.2980624248326495</v>
      </c>
      <c r="M15" s="1074"/>
      <c r="N15" s="1068"/>
      <c r="O15" s="1075">
        <f>L15</f>
        <v>0.2980624248326495</v>
      </c>
      <c r="P15" s="1068"/>
      <c r="Q15" s="1068"/>
      <c r="R15" s="1068"/>
      <c r="S15" s="1068"/>
      <c r="T15" s="1068"/>
      <c r="U15" s="1068"/>
      <c r="V15" s="1068"/>
      <c r="W15" s="1069"/>
      <c r="Y15" s="256"/>
      <c r="Z15" s="257"/>
    </row>
    <row r="16" spans="5:26" ht="15" customHeight="1">
      <c r="E16" s="248">
        <v>4</v>
      </c>
      <c r="F16" s="249" t="s">
        <v>100</v>
      </c>
      <c r="G16" s="250"/>
      <c r="H16" s="251" t="s">
        <v>92</v>
      </c>
      <c r="I16" s="252">
        <f>VLOOKUP(F16,RekapVolume,3,FALSE)</f>
        <v>4.8000000000000007</v>
      </c>
      <c r="J16" s="267">
        <f>HSP!J35</f>
        <v>440426</v>
      </c>
      <c r="K16" s="259">
        <f>I16*J16</f>
        <v>2114044.8000000003</v>
      </c>
      <c r="L16" s="260">
        <f>K16/$K$116*100</f>
        <v>0.70651834034405825</v>
      </c>
      <c r="M16" s="1074"/>
      <c r="N16" s="1068"/>
      <c r="O16" s="1075">
        <f>L16</f>
        <v>0.70651834034405825</v>
      </c>
      <c r="P16" s="1068"/>
      <c r="Q16" s="1068"/>
      <c r="R16" s="1068"/>
      <c r="S16" s="1068"/>
      <c r="T16" s="1068"/>
      <c r="U16" s="1068"/>
      <c r="V16" s="1068"/>
      <c r="W16" s="1069"/>
      <c r="Y16" s="256"/>
      <c r="Z16" s="257"/>
    </row>
    <row r="17" spans="5:26" ht="15" customHeight="1">
      <c r="E17" s="248"/>
      <c r="F17" s="249"/>
      <c r="G17" s="250"/>
      <c r="H17" s="251"/>
      <c r="I17" s="252"/>
      <c r="J17" s="261" t="s">
        <v>143</v>
      </c>
      <c r="K17" s="262">
        <f>SUM(K13:K16)</f>
        <v>7366305.7312500011</v>
      </c>
      <c r="L17" s="263">
        <f>SUM(L13:L16)</f>
        <v>2.4618352930409397</v>
      </c>
      <c r="M17" s="1074"/>
      <c r="N17" s="1068"/>
      <c r="O17" s="1068"/>
      <c r="P17" s="1068"/>
      <c r="Q17" s="1068"/>
      <c r="R17" s="1068"/>
      <c r="S17" s="1068"/>
      <c r="T17" s="1068"/>
      <c r="U17" s="1068"/>
      <c r="V17" s="1068"/>
      <c r="W17" s="1069"/>
      <c r="Y17" s="256"/>
      <c r="Z17" s="257"/>
    </row>
    <row r="18" spans="5:26" ht="15" customHeight="1">
      <c r="E18" s="264" t="s">
        <v>16</v>
      </c>
      <c r="F18" s="265" t="s">
        <v>101</v>
      </c>
      <c r="G18" s="266"/>
      <c r="H18" s="251"/>
      <c r="I18" s="252"/>
      <c r="J18" s="252"/>
      <c r="K18" s="249"/>
      <c r="L18" s="255"/>
      <c r="M18" s="1074"/>
      <c r="N18" s="1068"/>
      <c r="O18" s="1068"/>
      <c r="P18" s="1068"/>
      <c r="Q18" s="1068"/>
      <c r="R18" s="1068"/>
      <c r="S18" s="1068"/>
      <c r="T18" s="1068"/>
      <c r="U18" s="1068"/>
      <c r="V18" s="1068"/>
      <c r="W18" s="1069"/>
      <c r="Y18" s="256"/>
      <c r="Z18" s="257"/>
    </row>
    <row r="19" spans="5:26" ht="15" customHeight="1">
      <c r="E19" s="248">
        <v>1</v>
      </c>
      <c r="F19" s="249" t="s">
        <v>102</v>
      </c>
      <c r="G19" s="250"/>
      <c r="H19" s="251" t="s">
        <v>92</v>
      </c>
      <c r="I19" s="252">
        <f>VLOOKUP(F19,RekapVolume,3,FALSE)</f>
        <v>6.0750000000000002</v>
      </c>
      <c r="J19" s="253">
        <f>HSP!J49</f>
        <v>885381</v>
      </c>
      <c r="K19" s="254">
        <f>I19*J19</f>
        <v>5378689.5750000002</v>
      </c>
      <c r="L19" s="255">
        <f>K19/$K$116*100</f>
        <v>1.797569678634477</v>
      </c>
      <c r="M19" s="1070">
        <f>$L$19/2</f>
        <v>0.89878483931723852</v>
      </c>
      <c r="N19" s="1071">
        <f>$L$19/2</f>
        <v>0.89878483931723852</v>
      </c>
      <c r="O19" s="1068"/>
      <c r="P19" s="1068"/>
      <c r="Q19" s="1068"/>
      <c r="R19" s="1068"/>
      <c r="S19" s="1068"/>
      <c r="T19" s="1068"/>
      <c r="U19" s="1068"/>
      <c r="V19" s="1068"/>
      <c r="W19" s="1069"/>
      <c r="Y19" s="256"/>
      <c r="Z19" s="257"/>
    </row>
    <row r="20" spans="5:26" ht="15" customHeight="1">
      <c r="E20" s="248">
        <v>2</v>
      </c>
      <c r="F20" s="249" t="s">
        <v>18</v>
      </c>
      <c r="G20" s="250"/>
      <c r="H20" s="251" t="s">
        <v>92</v>
      </c>
      <c r="I20" s="252">
        <f>VLOOKUP(F20,RekapVolume,3,FALSE)</f>
        <v>18</v>
      </c>
      <c r="J20" s="253">
        <f>HSP!J41</f>
        <v>1467001</v>
      </c>
      <c r="K20" s="254">
        <f>I20*J20</f>
        <v>26406018</v>
      </c>
      <c r="L20" s="255">
        <f>K20/$K$116*100</f>
        <v>8.8249482756729307</v>
      </c>
      <c r="M20" s="1074"/>
      <c r="N20" s="1071">
        <v>0.5</v>
      </c>
      <c r="O20" s="1071">
        <f>$L$20/3</f>
        <v>2.9416494252243104</v>
      </c>
      <c r="P20" s="1071">
        <f>$L$20/3</f>
        <v>2.9416494252243104</v>
      </c>
      <c r="Q20" s="1076">
        <v>2.0499999999999998</v>
      </c>
      <c r="R20" s="1068"/>
      <c r="S20" s="1068"/>
      <c r="T20" s="1068"/>
      <c r="U20" s="1068"/>
      <c r="V20" s="1068"/>
      <c r="W20" s="1069"/>
      <c r="Y20" s="256"/>
      <c r="Z20" s="257"/>
    </row>
    <row r="21" spans="5:26" ht="15" customHeight="1">
      <c r="E21" s="248">
        <v>3</v>
      </c>
      <c r="F21" s="249" t="s">
        <v>21</v>
      </c>
      <c r="G21" s="250"/>
      <c r="H21" s="251" t="s">
        <v>91</v>
      </c>
      <c r="I21" s="252">
        <f>VLOOKUP(F21,RekapVolume,3,FALSE)</f>
        <v>72.100000000000009</v>
      </c>
      <c r="J21" s="253">
        <f>HSP!J154</f>
        <v>178223</v>
      </c>
      <c r="K21" s="254">
        <f>I21*J21</f>
        <v>12849878.300000001</v>
      </c>
      <c r="L21" s="255">
        <f>K21/$K$116*100</f>
        <v>4.2944570948255816</v>
      </c>
      <c r="M21" s="1074"/>
      <c r="N21" s="1068"/>
      <c r="O21" s="1071">
        <f>$L$21/3</f>
        <v>1.4314856982751938</v>
      </c>
      <c r="P21" s="1071">
        <f>$L$21/3</f>
        <v>1.4314856982751938</v>
      </c>
      <c r="Q21" s="1071">
        <f>$L$21/3</f>
        <v>1.4314856982751938</v>
      </c>
      <c r="R21" s="1068"/>
      <c r="S21" s="1068"/>
      <c r="T21" s="1068"/>
      <c r="U21" s="1068"/>
      <c r="V21" s="1068"/>
      <c r="W21" s="1069"/>
      <c r="Y21" s="256"/>
      <c r="Z21" s="257"/>
    </row>
    <row r="22" spans="5:26" ht="15" customHeight="1">
      <c r="E22" s="248">
        <v>4</v>
      </c>
      <c r="F22" s="249" t="s">
        <v>154</v>
      </c>
      <c r="G22" s="250"/>
      <c r="H22" s="251" t="s">
        <v>91</v>
      </c>
      <c r="I22" s="252">
        <f>VLOOKUP(F22,RekapVolume,3,FALSE)</f>
        <v>135.23000000000002</v>
      </c>
      <c r="J22" s="253">
        <f>HSP!J178</f>
        <v>89498</v>
      </c>
      <c r="K22" s="254">
        <f>I22*J22</f>
        <v>12102814.540000001</v>
      </c>
      <c r="L22" s="255">
        <f>K22/$K$116*100</f>
        <v>4.0447867719230626</v>
      </c>
      <c r="M22" s="1074"/>
      <c r="N22" s="1068"/>
      <c r="O22" s="1068"/>
      <c r="P22" s="1071">
        <f>$L$22/3</f>
        <v>1.3482622573076875</v>
      </c>
      <c r="Q22" s="1071">
        <f>$L$22/3</f>
        <v>1.3482622573076875</v>
      </c>
      <c r="R22" s="1071">
        <f>$L$22/3</f>
        <v>1.3482622573076875</v>
      </c>
      <c r="S22" s="1068"/>
      <c r="T22" s="1068"/>
      <c r="U22" s="1068"/>
      <c r="V22" s="1068"/>
      <c r="W22" s="1069"/>
      <c r="Y22" s="256"/>
      <c r="Z22" s="257"/>
    </row>
    <row r="23" spans="5:26" ht="15" customHeight="1">
      <c r="E23" s="248">
        <v>5</v>
      </c>
      <c r="F23" s="249" t="s">
        <v>155</v>
      </c>
      <c r="G23" s="250"/>
      <c r="H23" s="251" t="s">
        <v>91</v>
      </c>
      <c r="I23" s="252">
        <f>VLOOKUP(F23,RekapVolume,3,FALSE)</f>
        <v>135.23000000000002</v>
      </c>
      <c r="J23" s="267">
        <f>HSP!J200</f>
        <v>54406</v>
      </c>
      <c r="K23" s="259">
        <f>I23*J23</f>
        <v>7357323.3800000008</v>
      </c>
      <c r="L23" s="260">
        <f>K23/$K$116*100</f>
        <v>2.4588333718434616</v>
      </c>
      <c r="M23" s="1074"/>
      <c r="N23" s="1068"/>
      <c r="O23" s="1068"/>
      <c r="P23" s="1068"/>
      <c r="Q23" s="1068"/>
      <c r="R23" s="1071">
        <f>$L$23/2</f>
        <v>1.2294166859217308</v>
      </c>
      <c r="S23" s="1071">
        <f>$L$23/2</f>
        <v>1.2294166859217308</v>
      </c>
      <c r="T23" s="1068"/>
      <c r="U23" s="1068"/>
      <c r="V23" s="1068"/>
      <c r="W23" s="1069"/>
      <c r="Y23" s="256"/>
      <c r="Z23" s="257"/>
    </row>
    <row r="24" spans="5:26" ht="15" customHeight="1">
      <c r="E24" s="248"/>
      <c r="F24" s="249"/>
      <c r="G24" s="250"/>
      <c r="H24" s="251"/>
      <c r="I24" s="252"/>
      <c r="J24" s="261" t="s">
        <v>144</v>
      </c>
      <c r="K24" s="262">
        <f>SUM(K19:K23)</f>
        <v>64094723.795000002</v>
      </c>
      <c r="L24" s="263">
        <f>SUM(L19:L23)</f>
        <v>21.420595192899512</v>
      </c>
      <c r="M24" s="1074"/>
      <c r="N24" s="1068"/>
      <c r="O24" s="1068"/>
      <c r="P24" s="1068"/>
      <c r="Q24" s="1068"/>
      <c r="R24" s="1068"/>
      <c r="S24" s="1068"/>
      <c r="T24" s="1068"/>
      <c r="U24" s="1068"/>
      <c r="V24" s="1068"/>
      <c r="W24" s="1069"/>
      <c r="Y24" s="256"/>
      <c r="Z24" s="257"/>
    </row>
    <row r="25" spans="5:26" ht="15" customHeight="1">
      <c r="E25" s="264" t="s">
        <v>27</v>
      </c>
      <c r="F25" s="265" t="s">
        <v>28</v>
      </c>
      <c r="G25" s="266"/>
      <c r="H25" s="251"/>
      <c r="I25" s="252"/>
      <c r="J25" s="252"/>
      <c r="K25" s="249"/>
      <c r="L25" s="255"/>
      <c r="M25" s="1074"/>
      <c r="N25" s="1068"/>
      <c r="O25" s="1068"/>
      <c r="P25" s="1068"/>
      <c r="Q25" s="1068"/>
      <c r="R25" s="1068"/>
      <c r="S25" s="1068"/>
      <c r="T25" s="1068"/>
      <c r="U25" s="1068"/>
      <c r="V25" s="1068"/>
      <c r="W25" s="1069"/>
      <c r="Y25" s="256"/>
      <c r="Z25" s="257"/>
    </row>
    <row r="26" spans="5:26" ht="15" customHeight="1">
      <c r="E26" s="248">
        <v>1</v>
      </c>
      <c r="F26" s="249" t="s">
        <v>1663</v>
      </c>
      <c r="G26" s="250"/>
      <c r="H26" s="251"/>
      <c r="I26" s="252"/>
      <c r="J26" s="252"/>
      <c r="K26" s="249"/>
      <c r="L26" s="255"/>
      <c r="M26" s="1074"/>
      <c r="N26" s="1068"/>
      <c r="O26" s="1068"/>
      <c r="P26" s="1068"/>
      <c r="Q26" s="1068"/>
      <c r="R26" s="1068"/>
      <c r="S26" s="1068"/>
      <c r="T26" s="1068"/>
      <c r="U26" s="1068"/>
      <c r="V26" s="1068"/>
      <c r="W26" s="1069"/>
      <c r="Y26" s="256"/>
      <c r="Z26" s="257"/>
    </row>
    <row r="27" spans="5:26" ht="15" customHeight="1">
      <c r="E27" s="248"/>
      <c r="F27" s="249" t="s">
        <v>1664</v>
      </c>
      <c r="G27" s="250"/>
      <c r="H27" s="251" t="s">
        <v>45</v>
      </c>
      <c r="I27" s="268">
        <f>'REKAP VOLUME'!H27</f>
        <v>189.58125000000001</v>
      </c>
      <c r="J27" s="253">
        <f>HSP!J71/10</f>
        <v>17691.7</v>
      </c>
      <c r="K27" s="254">
        <f t="shared" ref="K27:K45" si="0">I27*J27</f>
        <v>3354014.6006250004</v>
      </c>
      <c r="L27" s="255">
        <f t="shared" ref="L27:L45" si="1">K27/$K$116*100</f>
        <v>1.1209189271312103</v>
      </c>
      <c r="M27" s="1074"/>
      <c r="N27" s="1075">
        <f>L27</f>
        <v>1.1209189271312103</v>
      </c>
      <c r="O27" s="1068"/>
      <c r="P27" s="1068"/>
      <c r="Q27" s="1068"/>
      <c r="R27" s="1068"/>
      <c r="S27" s="1068"/>
      <c r="T27" s="1068"/>
      <c r="U27" s="1068"/>
      <c r="V27" s="1068"/>
      <c r="W27" s="1069"/>
      <c r="Y27" s="256"/>
      <c r="Z27" s="257"/>
    </row>
    <row r="28" spans="5:26" ht="15" customHeight="1">
      <c r="E28" s="248"/>
      <c r="F28" s="249" t="s">
        <v>1665</v>
      </c>
      <c r="G28" s="250"/>
      <c r="H28" s="251" t="s">
        <v>91</v>
      </c>
      <c r="I28" s="268">
        <f>'REKAP VOLUME'!H28</f>
        <v>22.5</v>
      </c>
      <c r="J28" s="253">
        <f>HSP!J75</f>
        <v>356765</v>
      </c>
      <c r="K28" s="254">
        <f t="shared" si="0"/>
        <v>8027212.5</v>
      </c>
      <c r="L28" s="255">
        <f t="shared" si="1"/>
        <v>2.6827117632933217</v>
      </c>
      <c r="M28" s="1074"/>
      <c r="N28" s="1075">
        <v>0.57999999999999996</v>
      </c>
      <c r="O28" s="1075">
        <f>$L$28/2</f>
        <v>1.3413558816466609</v>
      </c>
      <c r="P28" s="1076">
        <v>0.57999999999999996</v>
      </c>
      <c r="Q28" s="1068"/>
      <c r="R28" s="1068"/>
      <c r="S28" s="1068"/>
      <c r="T28" s="1068"/>
      <c r="U28" s="1068"/>
      <c r="V28" s="1068"/>
      <c r="W28" s="1069"/>
      <c r="Y28" s="256"/>
      <c r="Z28" s="257"/>
    </row>
    <row r="29" spans="5:26" ht="15" customHeight="1">
      <c r="E29" s="248"/>
      <c r="F29" s="249" t="s">
        <v>1666</v>
      </c>
      <c r="G29" s="250"/>
      <c r="H29" s="251" t="s">
        <v>92</v>
      </c>
      <c r="I29" s="268">
        <f>'REKAP VOLUME'!H29</f>
        <v>2.25</v>
      </c>
      <c r="J29" s="253">
        <f>HSP!J61</f>
        <v>1802958</v>
      </c>
      <c r="K29" s="254">
        <f t="shared" si="0"/>
        <v>4056655.5</v>
      </c>
      <c r="L29" s="255">
        <f t="shared" si="1"/>
        <v>1.355743034020658</v>
      </c>
      <c r="M29" s="1074"/>
      <c r="N29" s="1075">
        <f>$L$29/2</f>
        <v>0.67787151701032899</v>
      </c>
      <c r="O29" s="1075">
        <f>$L$29/2</f>
        <v>0.67787151701032899</v>
      </c>
      <c r="P29" s="1068"/>
      <c r="Q29" s="1068"/>
      <c r="R29" s="1068"/>
      <c r="S29" s="1068"/>
      <c r="T29" s="1068"/>
      <c r="U29" s="1068"/>
      <c r="V29" s="1068"/>
      <c r="W29" s="1069"/>
      <c r="Y29" s="256"/>
      <c r="Z29" s="257"/>
    </row>
    <row r="30" spans="5:26" ht="15" customHeight="1">
      <c r="E30" s="248">
        <v>2</v>
      </c>
      <c r="F30" s="249" t="s">
        <v>1667</v>
      </c>
      <c r="G30" s="250"/>
      <c r="H30" s="251"/>
      <c r="I30" s="252"/>
      <c r="J30" s="252"/>
      <c r="K30" s="254"/>
      <c r="L30" s="255"/>
      <c r="M30" s="1074"/>
      <c r="N30" s="1068"/>
      <c r="O30" s="1068"/>
      <c r="P30" s="1068"/>
      <c r="Q30" s="1068"/>
      <c r="R30" s="1068"/>
      <c r="S30" s="1068"/>
      <c r="T30" s="1068"/>
      <c r="U30" s="1068"/>
      <c r="V30" s="1068"/>
      <c r="W30" s="1069"/>
      <c r="Y30" s="256"/>
      <c r="Z30" s="257"/>
    </row>
    <row r="31" spans="5:26" ht="15" customHeight="1">
      <c r="E31" s="248"/>
      <c r="F31" s="249" t="s">
        <v>1664</v>
      </c>
      <c r="G31" s="250"/>
      <c r="H31" s="251" t="s">
        <v>45</v>
      </c>
      <c r="I31" s="268">
        <f>'REKAP VOLUME'!H31</f>
        <v>156.42833333333334</v>
      </c>
      <c r="J31" s="253">
        <f>HSP!J71/10</f>
        <v>17691.7</v>
      </c>
      <c r="K31" s="254">
        <f t="shared" si="0"/>
        <v>2767483.1448333338</v>
      </c>
      <c r="L31" s="255">
        <f t="shared" si="1"/>
        <v>0.92489884718516924</v>
      </c>
      <c r="M31" s="1074"/>
      <c r="N31" s="1071">
        <f>$L$31/3</f>
        <v>0.30829961572838976</v>
      </c>
      <c r="O31" s="1071">
        <f>$L$31/3</f>
        <v>0.30829961572838976</v>
      </c>
      <c r="P31" s="1071">
        <f>$L$31/3</f>
        <v>0.30829961572838976</v>
      </c>
      <c r="Q31" s="1068"/>
      <c r="R31" s="1068"/>
      <c r="S31" s="1068"/>
      <c r="T31" s="1068"/>
      <c r="U31" s="1068"/>
      <c r="V31" s="1068"/>
      <c r="W31" s="1069"/>
      <c r="Y31" s="256"/>
      <c r="Z31" s="257"/>
    </row>
    <row r="32" spans="5:26" ht="15" customHeight="1">
      <c r="E32" s="248"/>
      <c r="F32" s="249" t="s">
        <v>1665</v>
      </c>
      <c r="G32" s="250"/>
      <c r="H32" s="251" t="s">
        <v>91</v>
      </c>
      <c r="I32" s="268">
        <f>'REKAP VOLUME'!H32</f>
        <v>20.399999999999999</v>
      </c>
      <c r="J32" s="253">
        <f>HSP!J75</f>
        <v>356765</v>
      </c>
      <c r="K32" s="254">
        <f t="shared" si="0"/>
        <v>7278005.9999999991</v>
      </c>
      <c r="L32" s="255">
        <f t="shared" si="1"/>
        <v>2.4323253320526117</v>
      </c>
      <c r="M32" s="1074"/>
      <c r="N32" s="1071">
        <f>$L$32/3</f>
        <v>0.81077511068420394</v>
      </c>
      <c r="O32" s="1071">
        <f>$L$32/3</f>
        <v>0.81077511068420394</v>
      </c>
      <c r="P32" s="1071">
        <f>$L$32/3</f>
        <v>0.81077511068420394</v>
      </c>
      <c r="Q32" s="1068"/>
      <c r="R32" s="1068"/>
      <c r="S32" s="1068"/>
      <c r="T32" s="1068"/>
      <c r="U32" s="1068"/>
      <c r="V32" s="1068"/>
      <c r="W32" s="1069"/>
      <c r="Y32" s="256"/>
      <c r="Z32" s="257"/>
    </row>
    <row r="33" spans="1:26" ht="15" customHeight="1">
      <c r="E33" s="248"/>
      <c r="F33" s="249" t="s">
        <v>1666</v>
      </c>
      <c r="G33" s="250"/>
      <c r="H33" s="251" t="s">
        <v>92</v>
      </c>
      <c r="I33" s="268">
        <f>'REKAP VOLUME'!H33</f>
        <v>1.53</v>
      </c>
      <c r="J33" s="253">
        <f>HSP!J61</f>
        <v>1802958</v>
      </c>
      <c r="K33" s="254">
        <f t="shared" si="0"/>
        <v>2758525.74</v>
      </c>
      <c r="L33" s="255">
        <f t="shared" si="1"/>
        <v>0.92190526313404764</v>
      </c>
      <c r="M33" s="1074"/>
      <c r="N33" s="1071">
        <f>$L$33/3</f>
        <v>0.30730175437801588</v>
      </c>
      <c r="O33" s="1071">
        <f>$L$33/3</f>
        <v>0.30730175437801588</v>
      </c>
      <c r="P33" s="1071">
        <f>$L$33/3</f>
        <v>0.30730175437801588</v>
      </c>
      <c r="Q33" s="1068"/>
      <c r="R33" s="1068"/>
      <c r="S33" s="1068"/>
      <c r="T33" s="1068"/>
      <c r="U33" s="1068"/>
      <c r="V33" s="1068"/>
      <c r="W33" s="1069"/>
      <c r="Y33" s="256"/>
      <c r="Z33" s="257"/>
    </row>
    <row r="34" spans="1:26" ht="15" customHeight="1">
      <c r="E34" s="248">
        <v>3</v>
      </c>
      <c r="F34" s="249" t="s">
        <v>1668</v>
      </c>
      <c r="G34" s="250"/>
      <c r="H34" s="251"/>
      <c r="I34" s="252"/>
      <c r="J34" s="252"/>
      <c r="K34" s="254"/>
      <c r="L34" s="255"/>
      <c r="M34" s="1074"/>
      <c r="N34" s="1068"/>
      <c r="O34" s="1068"/>
      <c r="P34" s="1068"/>
      <c r="Q34" s="1068"/>
      <c r="R34" s="1068"/>
      <c r="S34" s="1068"/>
      <c r="T34" s="1068"/>
      <c r="U34" s="1068"/>
      <c r="V34" s="1068"/>
      <c r="W34" s="1069"/>
      <c r="Y34" s="256"/>
      <c r="Z34" s="257"/>
    </row>
    <row r="35" spans="1:26" ht="15" customHeight="1">
      <c r="A35" s="1096" t="s">
        <v>2381</v>
      </c>
      <c r="B35" s="1096"/>
      <c r="C35" s="1096"/>
      <c r="E35" s="248"/>
      <c r="F35" s="249" t="s">
        <v>1664</v>
      </c>
      <c r="G35" s="250"/>
      <c r="H35" s="251" t="s">
        <v>45</v>
      </c>
      <c r="I35" s="268">
        <f>'REKAP VOLUME'!H35</f>
        <v>103.51875000000001</v>
      </c>
      <c r="J35" s="253">
        <f>HSP!J71/10</f>
        <v>17691.7</v>
      </c>
      <c r="K35" s="254">
        <f t="shared" si="0"/>
        <v>1831422.6693750003</v>
      </c>
      <c r="L35" s="255">
        <f t="shared" si="1"/>
        <v>0.61206541357842081</v>
      </c>
      <c r="M35" s="1074"/>
      <c r="N35" s="1068"/>
      <c r="O35" s="1068"/>
      <c r="P35" s="1068"/>
      <c r="Q35" s="1068"/>
      <c r="R35" s="1075">
        <f>L35</f>
        <v>0.61206541357842081</v>
      </c>
      <c r="S35" s="1068"/>
      <c r="T35" s="1068"/>
      <c r="U35" s="1068"/>
      <c r="V35" s="1068"/>
      <c r="W35" s="1069"/>
      <c r="Y35" s="256"/>
      <c r="Z35" s="257"/>
    </row>
    <row r="36" spans="1:26" ht="15" customHeight="1">
      <c r="E36" s="248"/>
      <c r="F36" s="249" t="s">
        <v>1665</v>
      </c>
      <c r="G36" s="250"/>
      <c r="H36" s="251" t="s">
        <v>91</v>
      </c>
      <c r="I36" s="268">
        <f>'REKAP VOLUME'!H36</f>
        <v>13.5</v>
      </c>
      <c r="J36" s="253">
        <f>HSP!J75</f>
        <v>356765</v>
      </c>
      <c r="K36" s="254">
        <f t="shared" si="0"/>
        <v>4816327.5</v>
      </c>
      <c r="L36" s="255">
        <f t="shared" si="1"/>
        <v>1.609627057975993</v>
      </c>
      <c r="M36" s="1074"/>
      <c r="N36" s="1068"/>
      <c r="O36" s="1068"/>
      <c r="P36" s="1068"/>
      <c r="Q36" s="1068"/>
      <c r="R36" s="1075">
        <f>L36</f>
        <v>1.609627057975993</v>
      </c>
      <c r="S36" s="1068"/>
      <c r="T36" s="1068"/>
      <c r="U36" s="1068"/>
      <c r="V36" s="1068"/>
      <c r="W36" s="1069"/>
      <c r="Y36" s="256"/>
      <c r="Z36" s="257"/>
    </row>
    <row r="37" spans="1:26" ht="15" customHeight="1">
      <c r="E37" s="248"/>
      <c r="F37" s="249" t="s">
        <v>1666</v>
      </c>
      <c r="G37" s="250"/>
      <c r="H37" s="251" t="s">
        <v>92</v>
      </c>
      <c r="I37" s="268">
        <f>'REKAP VOLUME'!H37</f>
        <v>1.0125</v>
      </c>
      <c r="J37" s="253">
        <f>HSP!J61</f>
        <v>1802958</v>
      </c>
      <c r="K37" s="254">
        <f t="shared" si="0"/>
        <v>1825494.9749999999</v>
      </c>
      <c r="L37" s="255">
        <f t="shared" si="1"/>
        <v>0.61008436530929611</v>
      </c>
      <c r="M37" s="1074"/>
      <c r="N37" s="1068"/>
      <c r="O37" s="1068"/>
      <c r="P37" s="1068"/>
      <c r="Q37" s="1068"/>
      <c r="R37" s="1075">
        <f>L37</f>
        <v>0.61008436530929611</v>
      </c>
      <c r="S37" s="1068"/>
      <c r="T37" s="1068"/>
      <c r="U37" s="1068"/>
      <c r="V37" s="1068"/>
      <c r="W37" s="1069"/>
      <c r="Y37" s="256"/>
      <c r="Z37" s="257"/>
    </row>
    <row r="38" spans="1:26" ht="15" customHeight="1">
      <c r="E38" s="248">
        <v>4</v>
      </c>
      <c r="F38" s="249" t="s">
        <v>48</v>
      </c>
      <c r="G38" s="250"/>
      <c r="H38" s="251"/>
      <c r="I38" s="252"/>
      <c r="J38" s="252"/>
      <c r="K38" s="254"/>
      <c r="L38" s="255"/>
      <c r="M38" s="1074"/>
      <c r="N38" s="1068"/>
      <c r="O38" s="1068"/>
      <c r="P38" s="1068"/>
      <c r="Q38" s="1068"/>
      <c r="R38" s="1068"/>
      <c r="S38" s="1068"/>
      <c r="T38" s="1068"/>
      <c r="U38" s="1068"/>
      <c r="V38" s="1068"/>
      <c r="W38" s="1069"/>
      <c r="Y38" s="256"/>
      <c r="Z38" s="257"/>
    </row>
    <row r="39" spans="1:26" ht="15" customHeight="1">
      <c r="E39" s="248"/>
      <c r="F39" s="249" t="s">
        <v>1664</v>
      </c>
      <c r="G39" s="250"/>
      <c r="H39" s="251" t="s">
        <v>45</v>
      </c>
      <c r="I39" s="268">
        <f>'REKAP VOLUME'!H39</f>
        <v>37</v>
      </c>
      <c r="J39" s="253">
        <f>HSP!J71/10</f>
        <v>17691.7</v>
      </c>
      <c r="K39" s="254">
        <f t="shared" si="0"/>
        <v>654592.9</v>
      </c>
      <c r="L39" s="255">
        <f t="shared" si="1"/>
        <v>0.21876636167265898</v>
      </c>
      <c r="M39" s="1074"/>
      <c r="N39" s="1068"/>
      <c r="O39" s="1068"/>
      <c r="P39" s="1068"/>
      <c r="Q39" s="1068"/>
      <c r="R39" s="1075">
        <f>L39</f>
        <v>0.21876636167265898</v>
      </c>
      <c r="S39" s="1068"/>
      <c r="T39" s="1068"/>
      <c r="U39" s="1068"/>
      <c r="V39" s="1068"/>
      <c r="W39" s="1069"/>
      <c r="Y39" s="256"/>
      <c r="Z39" s="257"/>
    </row>
    <row r="40" spans="1:26" ht="15" customHeight="1">
      <c r="E40" s="248"/>
      <c r="F40" s="249" t="s">
        <v>1665</v>
      </c>
      <c r="G40" s="250"/>
      <c r="H40" s="251" t="s">
        <v>91</v>
      </c>
      <c r="I40" s="268">
        <f>'REKAP VOLUME'!H40</f>
        <v>3</v>
      </c>
      <c r="J40" s="253">
        <f>HSP!J78</f>
        <v>700265</v>
      </c>
      <c r="K40" s="254">
        <f t="shared" si="0"/>
        <v>2100795</v>
      </c>
      <c r="L40" s="255">
        <f t="shared" si="1"/>
        <v>0.70209022855291214</v>
      </c>
      <c r="M40" s="1074"/>
      <c r="N40" s="1068"/>
      <c r="O40" s="1068"/>
      <c r="P40" s="1068"/>
      <c r="Q40" s="1068"/>
      <c r="R40" s="1075">
        <f>L40</f>
        <v>0.70209022855291214</v>
      </c>
      <c r="S40" s="1068"/>
      <c r="T40" s="1068"/>
      <c r="U40" s="1068"/>
      <c r="V40" s="1068"/>
      <c r="W40" s="1069"/>
      <c r="Y40" s="256"/>
      <c r="Z40" s="257"/>
    </row>
    <row r="41" spans="1:26" ht="15" customHeight="1">
      <c r="E41" s="248"/>
      <c r="F41" s="249" t="s">
        <v>1666</v>
      </c>
      <c r="G41" s="250"/>
      <c r="H41" s="251" t="s">
        <v>92</v>
      </c>
      <c r="I41" s="268">
        <f>'REKAP VOLUME'!H41</f>
        <v>0.36</v>
      </c>
      <c r="J41" s="253">
        <f>HSP!J61</f>
        <v>1802958</v>
      </c>
      <c r="K41" s="254">
        <f t="shared" si="0"/>
        <v>649064.88</v>
      </c>
      <c r="L41" s="255">
        <f t="shared" si="1"/>
        <v>0.21691888544330529</v>
      </c>
      <c r="M41" s="1074"/>
      <c r="N41" s="1068"/>
      <c r="O41" s="1068"/>
      <c r="P41" s="1068"/>
      <c r="Q41" s="1068"/>
      <c r="R41" s="1075">
        <f>L41</f>
        <v>0.21691888544330529</v>
      </c>
      <c r="S41" s="1068"/>
      <c r="T41" s="1068"/>
      <c r="U41" s="1068"/>
      <c r="V41" s="1068"/>
      <c r="W41" s="1069"/>
      <c r="Y41" s="256"/>
      <c r="Z41" s="257"/>
    </row>
    <row r="42" spans="1:26" ht="15" customHeight="1">
      <c r="E42" s="248">
        <v>5</v>
      </c>
      <c r="F42" s="249" t="s">
        <v>49</v>
      </c>
      <c r="G42" s="250"/>
      <c r="H42" s="251"/>
      <c r="I42" s="252"/>
      <c r="J42" s="252"/>
      <c r="K42" s="254"/>
      <c r="L42" s="255"/>
      <c r="M42" s="1074"/>
      <c r="N42" s="1068"/>
      <c r="O42" s="1068"/>
      <c r="P42" s="1068"/>
      <c r="Q42" s="1068"/>
      <c r="R42" s="1068"/>
      <c r="S42" s="1068"/>
      <c r="T42" s="1068"/>
      <c r="U42" s="1068"/>
      <c r="V42" s="1068"/>
      <c r="W42" s="1069"/>
      <c r="Y42" s="256"/>
      <c r="Z42" s="257"/>
    </row>
    <row r="43" spans="1:26" ht="15" customHeight="1">
      <c r="E43" s="248"/>
      <c r="F43" s="249" t="s">
        <v>1664</v>
      </c>
      <c r="G43" s="250"/>
      <c r="H43" s="251" t="s">
        <v>45</v>
      </c>
      <c r="I43" s="268">
        <f>'REKAP VOLUME'!H43</f>
        <v>34.533333333333339</v>
      </c>
      <c r="J43" s="253">
        <f>HSP!J71/10</f>
        <v>17691.7</v>
      </c>
      <c r="K43" s="254">
        <f t="shared" si="0"/>
        <v>610953.37333333341</v>
      </c>
      <c r="L43" s="255">
        <f t="shared" si="1"/>
        <v>0.20418193756114841</v>
      </c>
      <c r="M43" s="1074"/>
      <c r="N43" s="1068"/>
      <c r="O43" s="1068"/>
      <c r="P43" s="1068"/>
      <c r="Q43" s="1068"/>
      <c r="R43" s="1075">
        <f>L43</f>
        <v>0.20418193756114841</v>
      </c>
      <c r="S43" s="1068"/>
      <c r="T43" s="1068"/>
      <c r="U43" s="1068"/>
      <c r="V43" s="1068"/>
      <c r="W43" s="1069"/>
      <c r="Y43" s="256"/>
      <c r="Z43" s="257"/>
    </row>
    <row r="44" spans="1:26" ht="15" customHeight="1">
      <c r="E44" s="248"/>
      <c r="F44" s="249" t="s">
        <v>1665</v>
      </c>
      <c r="G44" s="250"/>
      <c r="H44" s="251" t="s">
        <v>91</v>
      </c>
      <c r="I44" s="268">
        <f>'REKAP VOLUME'!H44</f>
        <v>2.8</v>
      </c>
      <c r="J44" s="253">
        <f>HSP!J78</f>
        <v>700265</v>
      </c>
      <c r="K44" s="254">
        <f t="shared" si="0"/>
        <v>1960741.9999999998</v>
      </c>
      <c r="L44" s="255">
        <f t="shared" si="1"/>
        <v>0.65528421331605136</v>
      </c>
      <c r="M44" s="1074"/>
      <c r="N44" s="1068"/>
      <c r="O44" s="1068"/>
      <c r="P44" s="1068"/>
      <c r="Q44" s="1068"/>
      <c r="R44" s="1075">
        <f>L44</f>
        <v>0.65528421331605136</v>
      </c>
      <c r="S44" s="1068"/>
      <c r="T44" s="1068"/>
      <c r="U44" s="1068"/>
      <c r="V44" s="1068"/>
      <c r="W44" s="1069"/>
      <c r="Y44" s="256"/>
      <c r="Z44" s="257"/>
    </row>
    <row r="45" spans="1:26" ht="15" customHeight="1">
      <c r="E45" s="248"/>
      <c r="F45" s="249" t="s">
        <v>1666</v>
      </c>
      <c r="G45" s="250"/>
      <c r="H45" s="251" t="s">
        <v>92</v>
      </c>
      <c r="I45" s="268">
        <f>'REKAP VOLUME'!H45</f>
        <v>0.33599999999999997</v>
      </c>
      <c r="J45" s="267">
        <f>HSP!J61</f>
        <v>1802958</v>
      </c>
      <c r="K45" s="259">
        <f t="shared" si="0"/>
        <v>605793.88799999992</v>
      </c>
      <c r="L45" s="260">
        <f t="shared" si="1"/>
        <v>0.20245762641375159</v>
      </c>
      <c r="M45" s="1074"/>
      <c r="N45" s="1068"/>
      <c r="O45" s="1068"/>
      <c r="P45" s="1068"/>
      <c r="Q45" s="1068"/>
      <c r="R45" s="1075">
        <f>L45</f>
        <v>0.20245762641375159</v>
      </c>
      <c r="S45" s="1068"/>
      <c r="T45" s="1068"/>
      <c r="U45" s="1068"/>
      <c r="V45" s="1068"/>
      <c r="W45" s="1069"/>
      <c r="Y45" s="256"/>
      <c r="Z45" s="257"/>
    </row>
    <row r="46" spans="1:26" ht="15" customHeight="1">
      <c r="E46" s="248"/>
      <c r="F46" s="249"/>
      <c r="G46" s="250"/>
      <c r="H46" s="251"/>
      <c r="I46" s="252"/>
      <c r="J46" s="261" t="s">
        <v>145</v>
      </c>
      <c r="K46" s="262">
        <f>SUM(K27:K45)</f>
        <v>43297084.671166666</v>
      </c>
      <c r="L46" s="263">
        <f>SUM(L27:L45)</f>
        <v>14.469979256640556</v>
      </c>
      <c r="M46" s="1074"/>
      <c r="N46" s="1068"/>
      <c r="O46" s="1068"/>
      <c r="P46" s="1068"/>
      <c r="Q46" s="1068"/>
      <c r="R46" s="1068"/>
      <c r="S46" s="1068"/>
      <c r="T46" s="1068"/>
      <c r="U46" s="1068"/>
      <c r="V46" s="1068"/>
      <c r="W46" s="1069"/>
      <c r="Y46" s="256"/>
      <c r="Z46" s="257"/>
    </row>
    <row r="47" spans="1:26" ht="15" customHeight="1">
      <c r="E47" s="264" t="s">
        <v>50</v>
      </c>
      <c r="F47" s="265" t="s">
        <v>103</v>
      </c>
      <c r="G47" s="266"/>
      <c r="H47" s="251"/>
      <c r="I47" s="252"/>
      <c r="J47" s="252"/>
      <c r="K47" s="249"/>
      <c r="L47" s="255"/>
      <c r="M47" s="1074"/>
      <c r="N47" s="1068"/>
      <c r="O47" s="1068"/>
      <c r="P47" s="1068"/>
      <c r="Q47" s="1068"/>
      <c r="R47" s="1068"/>
      <c r="S47" s="1068"/>
      <c r="T47" s="1068"/>
      <c r="U47" s="1068"/>
      <c r="V47" s="1068"/>
      <c r="W47" s="1069"/>
      <c r="Y47" s="256"/>
      <c r="Z47" s="257"/>
    </row>
    <row r="48" spans="1:26" ht="15" customHeight="1">
      <c r="E48" s="248">
        <v>1</v>
      </c>
      <c r="F48" s="249" t="s">
        <v>1669</v>
      </c>
      <c r="G48" s="250"/>
      <c r="H48" s="251" t="s">
        <v>92</v>
      </c>
      <c r="I48" s="268">
        <f t="shared" ref="I48:I53" si="2">VLOOKUP(F48,RekapVolume,3,FALSE)</f>
        <v>97.680097680097688</v>
      </c>
      <c r="J48" s="253">
        <f>HSP!J142</f>
        <v>396201</v>
      </c>
      <c r="K48" s="254">
        <f t="shared" ref="K48:K53" si="3">I48*J48</f>
        <v>38700952.380952381</v>
      </c>
      <c r="L48" s="255">
        <f t="shared" ref="L48:L53" si="4">K48/$K$116*100</f>
        <v>12.933941913589011</v>
      </c>
      <c r="M48" s="1074"/>
      <c r="N48" s="1068"/>
      <c r="O48" s="1068"/>
      <c r="P48" s="1068"/>
      <c r="Q48" s="1068"/>
      <c r="R48" s="1071">
        <f>$L$48/3</f>
        <v>4.3113139711963369</v>
      </c>
      <c r="S48" s="1071">
        <f>$L$48/3</f>
        <v>4.3113139711963369</v>
      </c>
      <c r="T48" s="1071">
        <f>$L$48/3</f>
        <v>4.3113139711963369</v>
      </c>
      <c r="U48" s="1068"/>
      <c r="V48" s="1068"/>
      <c r="W48" s="1069"/>
      <c r="Y48" s="256"/>
      <c r="Z48" s="257"/>
    </row>
    <row r="49" spans="5:26" ht="15" customHeight="1">
      <c r="E49" s="248">
        <v>2</v>
      </c>
      <c r="F49" s="249" t="s">
        <v>104</v>
      </c>
      <c r="G49" s="250"/>
      <c r="H49" s="251" t="s">
        <v>92</v>
      </c>
      <c r="I49" s="268">
        <f t="shared" si="2"/>
        <v>39.536019536019538</v>
      </c>
      <c r="J49" s="253">
        <f>HSP!J355</f>
        <v>107851</v>
      </c>
      <c r="K49" s="254">
        <f t="shared" si="3"/>
        <v>4263999.2429792434</v>
      </c>
      <c r="L49" s="255">
        <f t="shared" si="4"/>
        <v>1.4250377609679867</v>
      </c>
      <c r="M49" s="1074"/>
      <c r="N49" s="1068"/>
      <c r="O49" s="1068"/>
      <c r="P49" s="1068"/>
      <c r="Q49" s="1068"/>
      <c r="R49" s="1068"/>
      <c r="S49" s="1075">
        <f>L49</f>
        <v>1.4250377609679867</v>
      </c>
      <c r="T49" s="1068"/>
      <c r="U49" s="1068"/>
      <c r="V49" s="1068"/>
      <c r="W49" s="1069"/>
      <c r="Y49" s="256"/>
      <c r="Z49" s="257"/>
    </row>
    <row r="50" spans="5:26" ht="15" customHeight="1">
      <c r="E50" s="248">
        <v>3</v>
      </c>
      <c r="F50" s="249" t="s">
        <v>1679</v>
      </c>
      <c r="G50" s="250"/>
      <c r="H50" s="251" t="s">
        <v>92</v>
      </c>
      <c r="I50" s="268">
        <f t="shared" si="2"/>
        <v>97.680097680097688</v>
      </c>
      <c r="J50" s="253">
        <f>HSP!J321</f>
        <v>114665</v>
      </c>
      <c r="K50" s="254">
        <f t="shared" si="3"/>
        <v>11200488.400488401</v>
      </c>
      <c r="L50" s="255">
        <f t="shared" si="4"/>
        <v>3.7432274262853551</v>
      </c>
      <c r="M50" s="1074"/>
      <c r="N50" s="1068"/>
      <c r="O50" s="1068"/>
      <c r="P50" s="1068"/>
      <c r="Q50" s="1068"/>
      <c r="R50" s="1068"/>
      <c r="S50" s="1071">
        <f>$L$50/2</f>
        <v>1.8716137131426775</v>
      </c>
      <c r="T50" s="1071">
        <f>$L$50/2</f>
        <v>1.8716137131426775</v>
      </c>
      <c r="U50" s="1068"/>
      <c r="V50" s="1068"/>
      <c r="W50" s="1069"/>
      <c r="Y50" s="256"/>
      <c r="Z50" s="257"/>
    </row>
    <row r="51" spans="5:26" ht="15" customHeight="1">
      <c r="E51" s="248">
        <v>4</v>
      </c>
      <c r="F51" s="249" t="s">
        <v>1680</v>
      </c>
      <c r="G51" s="250"/>
      <c r="H51" s="251" t="s">
        <v>92</v>
      </c>
      <c r="I51" s="252">
        <f t="shared" si="2"/>
        <v>80</v>
      </c>
      <c r="J51" s="253">
        <f>HSP!J285</f>
        <v>423593</v>
      </c>
      <c r="K51" s="254">
        <f t="shared" si="3"/>
        <v>33887440</v>
      </c>
      <c r="L51" s="255">
        <f t="shared" si="4"/>
        <v>11.32525567448185</v>
      </c>
      <c r="M51" s="1074"/>
      <c r="N51" s="1068"/>
      <c r="O51" s="1068"/>
      <c r="P51" s="1068"/>
      <c r="Q51" s="1068"/>
      <c r="R51" s="1068"/>
      <c r="S51" s="1071">
        <f>$L$51/3</f>
        <v>3.7750852248272833</v>
      </c>
      <c r="T51" s="1071">
        <f>$L$51/3</f>
        <v>3.7750852248272833</v>
      </c>
      <c r="U51" s="1071">
        <f>$L$51/3</f>
        <v>3.7750852248272833</v>
      </c>
      <c r="V51" s="1068"/>
      <c r="W51" s="1069"/>
      <c r="Y51" s="256"/>
      <c r="Z51" s="257"/>
    </row>
    <row r="52" spans="5:26" ht="15" customHeight="1">
      <c r="E52" s="248">
        <v>5</v>
      </c>
      <c r="F52" s="249" t="s">
        <v>1681</v>
      </c>
      <c r="G52" s="250"/>
      <c r="H52" s="251" t="s">
        <v>93</v>
      </c>
      <c r="I52" s="252">
        <f t="shared" si="2"/>
        <v>80</v>
      </c>
      <c r="J52" s="253">
        <f>HSP!J281</f>
        <v>64700</v>
      </c>
      <c r="K52" s="254">
        <f t="shared" si="3"/>
        <v>5176000</v>
      </c>
      <c r="L52" s="255">
        <f t="shared" si="4"/>
        <v>1.7298303846828813</v>
      </c>
      <c r="M52" s="1074"/>
      <c r="N52" s="1068"/>
      <c r="O52" s="1068"/>
      <c r="P52" s="1068"/>
      <c r="Q52" s="1068"/>
      <c r="R52" s="1068"/>
      <c r="S52" s="1068"/>
      <c r="T52" s="1068"/>
      <c r="U52" s="1075">
        <f>L52</f>
        <v>1.7298303846828813</v>
      </c>
      <c r="V52" s="1068"/>
      <c r="W52" s="1069"/>
      <c r="Y52" s="256"/>
      <c r="Z52" s="257"/>
    </row>
    <row r="53" spans="5:26" ht="15" customHeight="1">
      <c r="E53" s="248">
        <v>6</v>
      </c>
      <c r="F53" s="249" t="s">
        <v>105</v>
      </c>
      <c r="G53" s="250"/>
      <c r="H53" s="251" t="s">
        <v>91</v>
      </c>
      <c r="I53" s="252">
        <f t="shared" si="2"/>
        <v>36</v>
      </c>
      <c r="J53" s="267">
        <f>HSP!J282</f>
        <v>41910</v>
      </c>
      <c r="K53" s="259">
        <f t="shared" si="3"/>
        <v>1508760</v>
      </c>
      <c r="L53" s="260">
        <f t="shared" si="4"/>
        <v>0.50423085223998154</v>
      </c>
      <c r="M53" s="1074"/>
      <c r="N53" s="1068"/>
      <c r="O53" s="1068"/>
      <c r="P53" s="1068"/>
      <c r="Q53" s="1068"/>
      <c r="R53" s="1068"/>
      <c r="S53" s="1068"/>
      <c r="T53" s="1068"/>
      <c r="U53" s="1075">
        <f>L53</f>
        <v>0.50423085223998154</v>
      </c>
      <c r="V53" s="1068"/>
      <c r="W53" s="1069"/>
      <c r="Y53" s="256"/>
      <c r="Z53" s="257"/>
    </row>
    <row r="54" spans="5:26" ht="15" customHeight="1">
      <c r="E54" s="248"/>
      <c r="F54" s="249"/>
      <c r="G54" s="250"/>
      <c r="H54" s="251"/>
      <c r="I54" s="252"/>
      <c r="J54" s="261" t="s">
        <v>146</v>
      </c>
      <c r="K54" s="262">
        <f>SUM(K48:K53)</f>
        <v>94737640.024420023</v>
      </c>
      <c r="L54" s="263">
        <f>SUM(L48:L53)</f>
        <v>31.661524012247064</v>
      </c>
      <c r="M54" s="1074"/>
      <c r="N54" s="1068"/>
      <c r="O54" s="1068"/>
      <c r="P54" s="1068"/>
      <c r="Q54" s="1068"/>
      <c r="R54" s="1068"/>
      <c r="S54" s="1068"/>
      <c r="T54" s="1068"/>
      <c r="U54" s="1068"/>
      <c r="V54" s="1068"/>
      <c r="W54" s="1069"/>
      <c r="Y54" s="256"/>
      <c r="Z54" s="257"/>
    </row>
    <row r="55" spans="5:26" ht="15" customHeight="1">
      <c r="E55" s="264" t="s">
        <v>55</v>
      </c>
      <c r="F55" s="265" t="s">
        <v>106</v>
      </c>
      <c r="G55" s="266"/>
      <c r="H55" s="251"/>
      <c r="I55" s="252"/>
      <c r="J55" s="252"/>
      <c r="K55" s="249"/>
      <c r="L55" s="255"/>
      <c r="M55" s="1074"/>
      <c r="N55" s="1068"/>
      <c r="O55" s="1068"/>
      <c r="P55" s="1068"/>
      <c r="Q55" s="1068"/>
      <c r="R55" s="1068"/>
      <c r="S55" s="1068"/>
      <c r="T55" s="1068"/>
      <c r="U55" s="1068"/>
      <c r="V55" s="1068"/>
      <c r="W55" s="1069"/>
      <c r="Y55" s="256"/>
      <c r="Z55" s="257"/>
    </row>
    <row r="56" spans="5:26" ht="15" customHeight="1">
      <c r="E56" s="248">
        <v>1</v>
      </c>
      <c r="F56" s="249" t="s">
        <v>1687</v>
      </c>
      <c r="G56" s="250"/>
      <c r="H56" s="251" t="s">
        <v>92</v>
      </c>
      <c r="I56" s="268">
        <f>VLOOKUP(F56,RekapVolume,3,FALSE)</f>
        <v>0.35040000000000004</v>
      </c>
      <c r="J56" s="253">
        <f>HSP!J336</f>
        <v>10054189</v>
      </c>
      <c r="K56" s="254">
        <f>I56*J56</f>
        <v>3522987.8256000006</v>
      </c>
      <c r="L56" s="255">
        <f>K56/$K$116*100</f>
        <v>1.1773901440476733</v>
      </c>
      <c r="M56" s="1074"/>
      <c r="N56" s="1071">
        <f>$L$56/3</f>
        <v>0.39246338134922443</v>
      </c>
      <c r="O56" s="1071">
        <f>$L$56/3</f>
        <v>0.39246338134922443</v>
      </c>
      <c r="P56" s="1071">
        <f>$L$56/3</f>
        <v>0.39246338134922443</v>
      </c>
      <c r="Q56" s="1068"/>
      <c r="R56" s="1068"/>
      <c r="S56" s="1068"/>
      <c r="T56" s="1068"/>
      <c r="U56" s="1068"/>
      <c r="V56" s="1068"/>
      <c r="W56" s="1069"/>
      <c r="Y56" s="256"/>
      <c r="Z56" s="257"/>
    </row>
    <row r="57" spans="5:26" ht="15" customHeight="1">
      <c r="E57" s="248">
        <v>2</v>
      </c>
      <c r="F57" s="249" t="s">
        <v>1688</v>
      </c>
      <c r="G57" s="250"/>
      <c r="H57" s="251" t="s">
        <v>91</v>
      </c>
      <c r="I57" s="252">
        <f>VLOOKUP(F57,RekapVolume,3,FALSE)</f>
        <v>6.5280000000000005</v>
      </c>
      <c r="J57" s="253">
        <f>HSP!J339</f>
        <v>902665</v>
      </c>
      <c r="K57" s="254">
        <f>I57*J57</f>
        <v>5892597.1200000001</v>
      </c>
      <c r="L57" s="255">
        <f>K57/$K$116*100</f>
        <v>1.9693186906628362</v>
      </c>
      <c r="M57" s="1074"/>
      <c r="N57" s="1068"/>
      <c r="O57" s="1068"/>
      <c r="P57" s="1068"/>
      <c r="Q57" s="1068"/>
      <c r="R57" s="1068"/>
      <c r="S57" s="1068"/>
      <c r="T57" s="1068"/>
      <c r="U57" s="1075">
        <f>L57</f>
        <v>1.9693186906628362</v>
      </c>
      <c r="V57" s="1068"/>
      <c r="W57" s="1069"/>
      <c r="Y57" s="256"/>
      <c r="Z57" s="257"/>
    </row>
    <row r="58" spans="5:26" ht="15" customHeight="1">
      <c r="E58" s="248">
        <v>3</v>
      </c>
      <c r="F58" s="249" t="s">
        <v>61</v>
      </c>
      <c r="G58" s="250"/>
      <c r="H58" s="251" t="s">
        <v>91</v>
      </c>
      <c r="I58" s="252">
        <f>VLOOKUP(F58,RekapVolume,3,FALSE)</f>
        <v>1.4279999999999999</v>
      </c>
      <c r="J58" s="253">
        <f>HSP!J345</f>
        <v>767120</v>
      </c>
      <c r="K58" s="254">
        <f>I58*J58</f>
        <v>1095447.3599999999</v>
      </c>
      <c r="L58" s="255">
        <f>K58/$K$116*100</f>
        <v>0.36610087483551901</v>
      </c>
      <c r="M58" s="1074"/>
      <c r="N58" s="1068"/>
      <c r="O58" s="1068"/>
      <c r="P58" s="1068"/>
      <c r="Q58" s="1068"/>
      <c r="R58" s="1068"/>
      <c r="S58" s="1068"/>
      <c r="T58" s="1068"/>
      <c r="U58" s="1075">
        <f>L58</f>
        <v>0.36610087483551901</v>
      </c>
      <c r="V58" s="1068"/>
      <c r="W58" s="1069"/>
      <c r="Y58" s="256"/>
      <c r="Z58" s="257"/>
    </row>
    <row r="59" spans="5:26" ht="15" customHeight="1">
      <c r="E59" s="248">
        <v>4</v>
      </c>
      <c r="F59" s="249" t="s">
        <v>107</v>
      </c>
      <c r="G59" s="250"/>
      <c r="H59" s="251" t="s">
        <v>91</v>
      </c>
      <c r="I59" s="252">
        <f>VLOOKUP(F59,RekapVolume,3,FALSE)</f>
        <v>1.4419999999999999</v>
      </c>
      <c r="J59" s="253">
        <f>HSP!J340</f>
        <v>680859</v>
      </c>
      <c r="K59" s="254">
        <f>I59*J59</f>
        <v>981798.67799999996</v>
      </c>
      <c r="L59" s="255">
        <f>K59/$K$116*100</f>
        <v>0.32811923973065771</v>
      </c>
      <c r="M59" s="1074"/>
      <c r="N59" s="1068"/>
      <c r="O59" s="1068"/>
      <c r="P59" s="1068"/>
      <c r="Q59" s="1068"/>
      <c r="R59" s="1068"/>
      <c r="S59" s="1068"/>
      <c r="T59" s="1068"/>
      <c r="U59" s="1075">
        <f>L59</f>
        <v>0.32811923973065771</v>
      </c>
      <c r="V59" s="1068"/>
      <c r="W59" s="1069"/>
      <c r="Y59" s="256"/>
      <c r="Z59" s="257"/>
    </row>
    <row r="60" spans="5:26" ht="15" customHeight="1">
      <c r="E60" s="248">
        <v>5</v>
      </c>
      <c r="F60" s="249" t="s">
        <v>108</v>
      </c>
      <c r="G60" s="250"/>
      <c r="H60" s="251" t="s">
        <v>91</v>
      </c>
      <c r="I60" s="252">
        <f>VLOOKUP(F60,RekapVolume,3,FALSE)</f>
        <v>2.3040000000000003</v>
      </c>
      <c r="J60" s="267">
        <f>HSP!J344</f>
        <v>822685</v>
      </c>
      <c r="K60" s="259">
        <f>I60*J60</f>
        <v>1895466.2400000002</v>
      </c>
      <c r="L60" s="260">
        <f>K60/$K$116*100</f>
        <v>0.63346891327137078</v>
      </c>
      <c r="M60" s="1074"/>
      <c r="N60" s="1068"/>
      <c r="O60" s="1068"/>
      <c r="P60" s="1075">
        <f>L60</f>
        <v>0.63346891327137078</v>
      </c>
      <c r="Q60" s="1068"/>
      <c r="R60" s="1068"/>
      <c r="S60" s="1068"/>
      <c r="T60" s="1068"/>
      <c r="U60" s="1068"/>
      <c r="V60" s="1068"/>
      <c r="W60" s="1069"/>
      <c r="Y60" s="256"/>
      <c r="Z60" s="257"/>
    </row>
    <row r="61" spans="5:26" ht="15" customHeight="1">
      <c r="E61" s="248"/>
      <c r="F61" s="249"/>
      <c r="G61" s="250"/>
      <c r="H61" s="251"/>
      <c r="I61" s="252"/>
      <c r="J61" s="261" t="s">
        <v>147</v>
      </c>
      <c r="K61" s="262">
        <f>SUM(K56:K60)</f>
        <v>13388297.2236</v>
      </c>
      <c r="L61" s="263">
        <f>SUM(L56:L60)</f>
        <v>4.4743978625480567</v>
      </c>
      <c r="M61" s="1074"/>
      <c r="N61" s="1068"/>
      <c r="O61" s="1068"/>
      <c r="P61" s="1068"/>
      <c r="Q61" s="1068"/>
      <c r="R61" s="1068"/>
      <c r="S61" s="1068"/>
      <c r="T61" s="1068"/>
      <c r="U61" s="1068"/>
      <c r="V61" s="1068"/>
      <c r="W61" s="1069"/>
      <c r="Y61" s="256"/>
      <c r="Z61" s="257"/>
    </row>
    <row r="62" spans="5:26" ht="15" customHeight="1">
      <c r="E62" s="264" t="s">
        <v>62</v>
      </c>
      <c r="F62" s="265" t="s">
        <v>109</v>
      </c>
      <c r="G62" s="266"/>
      <c r="H62" s="251"/>
      <c r="I62" s="252"/>
      <c r="J62" s="252"/>
      <c r="K62" s="249"/>
      <c r="L62" s="255"/>
      <c r="M62" s="1074"/>
      <c r="N62" s="1068"/>
      <c r="O62" s="1068"/>
      <c r="P62" s="1068"/>
      <c r="Q62" s="1068"/>
      <c r="R62" s="1068"/>
      <c r="S62" s="1068"/>
      <c r="T62" s="1068"/>
      <c r="U62" s="1068"/>
      <c r="V62" s="1068"/>
      <c r="W62" s="1069"/>
      <c r="Y62" s="256"/>
      <c r="Z62" s="257"/>
    </row>
    <row r="63" spans="5:26" ht="15" customHeight="1">
      <c r="E63" s="248">
        <v>1</v>
      </c>
      <c r="F63" s="249" t="s">
        <v>110</v>
      </c>
      <c r="G63" s="250"/>
      <c r="H63" s="251" t="s">
        <v>91</v>
      </c>
      <c r="I63" s="252">
        <f>VLOOKUP(F63,RekapVolume,3,FALSE)</f>
        <v>44.37</v>
      </c>
      <c r="J63" s="253">
        <f>HSP!J239</f>
        <v>302112</v>
      </c>
      <c r="K63" s="254">
        <f>I63*J63</f>
        <v>13404709.439999999</v>
      </c>
      <c r="L63" s="255">
        <f>K63/$K$116*100</f>
        <v>4.4798828607336656</v>
      </c>
      <c r="M63" s="1074"/>
      <c r="N63" s="1068"/>
      <c r="O63" s="1068"/>
      <c r="P63" s="1068"/>
      <c r="Q63" s="1068"/>
      <c r="R63" s="1068"/>
      <c r="S63" s="1068"/>
      <c r="T63" s="1068"/>
      <c r="U63" s="1075">
        <f>$L$63/2</f>
        <v>2.2399414303668328</v>
      </c>
      <c r="V63" s="1075">
        <f>$L$63/2</f>
        <v>2.2399414303668328</v>
      </c>
      <c r="W63" s="1069"/>
      <c r="Y63" s="256"/>
      <c r="Z63" s="257"/>
    </row>
    <row r="64" spans="5:26" ht="15" customHeight="1">
      <c r="E64" s="248">
        <v>2</v>
      </c>
      <c r="F64" s="249" t="s">
        <v>111</v>
      </c>
      <c r="G64" s="250"/>
      <c r="H64" s="251" t="s">
        <v>91</v>
      </c>
      <c r="I64" s="252">
        <f>VLOOKUP(F64,RekapVolume,3,FALSE)</f>
        <v>2.8800000000000003</v>
      </c>
      <c r="J64" s="267">
        <f>HSP!J240</f>
        <v>351087</v>
      </c>
      <c r="K64" s="259">
        <f>I64*J64</f>
        <v>1011130.5600000002</v>
      </c>
      <c r="L64" s="260">
        <f>K64/$K$116*100</f>
        <v>0.33792201807755362</v>
      </c>
      <c r="M64" s="1074"/>
      <c r="N64" s="1068"/>
      <c r="O64" s="1068"/>
      <c r="P64" s="1068"/>
      <c r="Q64" s="1068"/>
      <c r="R64" s="1068"/>
      <c r="S64" s="1068"/>
      <c r="T64" s="1068"/>
      <c r="U64" s="1075">
        <f>L64</f>
        <v>0.33792201807755362</v>
      </c>
      <c r="V64" s="1068"/>
      <c r="W64" s="1069"/>
      <c r="Y64" s="256"/>
      <c r="Z64" s="257"/>
    </row>
    <row r="65" spans="5:26" ht="15" customHeight="1">
      <c r="E65" s="248"/>
      <c r="F65" s="249"/>
      <c r="G65" s="250"/>
      <c r="H65" s="251"/>
      <c r="I65" s="252"/>
      <c r="J65" s="261" t="s">
        <v>148</v>
      </c>
      <c r="K65" s="262">
        <f>SUM(K63:K64)</f>
        <v>14415840</v>
      </c>
      <c r="L65" s="263">
        <f>SUM(L63:L64)</f>
        <v>4.8178048788112191</v>
      </c>
      <c r="M65" s="1074"/>
      <c r="N65" s="1068"/>
      <c r="O65" s="1068"/>
      <c r="P65" s="1068"/>
      <c r="Q65" s="1068"/>
      <c r="R65" s="1068"/>
      <c r="S65" s="1068"/>
      <c r="T65" s="1068"/>
      <c r="U65" s="1068"/>
      <c r="V65" s="1068"/>
      <c r="W65" s="1069"/>
      <c r="Y65" s="256"/>
      <c r="Z65" s="257"/>
    </row>
    <row r="66" spans="5:26" ht="15" customHeight="1">
      <c r="E66" s="264" t="s">
        <v>94</v>
      </c>
      <c r="F66" s="265" t="s">
        <v>112</v>
      </c>
      <c r="G66" s="266"/>
      <c r="H66" s="251"/>
      <c r="I66" s="252"/>
      <c r="J66" s="252"/>
      <c r="K66" s="249"/>
      <c r="L66" s="255"/>
      <c r="M66" s="1074"/>
      <c r="N66" s="1068"/>
      <c r="O66" s="1068"/>
      <c r="P66" s="1068"/>
      <c r="Q66" s="1068"/>
      <c r="R66" s="1068"/>
      <c r="S66" s="1068"/>
      <c r="T66" s="1068"/>
      <c r="U66" s="1068"/>
      <c r="V66" s="1068"/>
      <c r="W66" s="1069"/>
      <c r="Y66" s="256"/>
      <c r="Z66" s="257"/>
    </row>
    <row r="67" spans="5:26" ht="15" customHeight="1">
      <c r="E67" s="248">
        <v>1</v>
      </c>
      <c r="F67" s="249" t="s">
        <v>1689</v>
      </c>
      <c r="G67" s="250"/>
      <c r="H67" s="251" t="s">
        <v>95</v>
      </c>
      <c r="I67" s="252">
        <f t="shared" ref="I67:I73" si="5">VLOOKUP(F67,RekapVolume,3,FALSE)</f>
        <v>4</v>
      </c>
      <c r="J67" s="253">
        <f>HSP!J366</f>
        <v>269775</v>
      </c>
      <c r="K67" s="254">
        <f t="shared" ref="K67:K73" si="6">I67*J67</f>
        <v>1079100</v>
      </c>
      <c r="L67" s="255">
        <f t="shared" ref="L67:L73" si="7">K67/$K$116*100</f>
        <v>0.36063755179893686</v>
      </c>
      <c r="M67" s="1074"/>
      <c r="N67" s="1068"/>
      <c r="O67" s="1068"/>
      <c r="P67" s="1068"/>
      <c r="Q67" s="1068"/>
      <c r="R67" s="1068"/>
      <c r="S67" s="1068"/>
      <c r="T67" s="1068"/>
      <c r="U67" s="1075">
        <f t="shared" ref="U67:U73" si="8">L67</f>
        <v>0.36063755179893686</v>
      </c>
      <c r="V67" s="1068"/>
      <c r="W67" s="1069"/>
      <c r="Y67" s="256"/>
      <c r="Z67" s="257"/>
    </row>
    <row r="68" spans="5:26" ht="15" customHeight="1">
      <c r="E68" s="248">
        <v>2</v>
      </c>
      <c r="F68" s="249" t="s">
        <v>64</v>
      </c>
      <c r="G68" s="250"/>
      <c r="H68" s="251" t="s">
        <v>95</v>
      </c>
      <c r="I68" s="252">
        <f t="shared" si="5"/>
        <v>1</v>
      </c>
      <c r="J68" s="253">
        <f>HSP!J367</f>
        <v>157173</v>
      </c>
      <c r="K68" s="254">
        <f t="shared" si="6"/>
        <v>157173</v>
      </c>
      <c r="L68" s="255">
        <f t="shared" si="7"/>
        <v>5.2527556231020574E-2</v>
      </c>
      <c r="M68" s="1074"/>
      <c r="N68" s="1068"/>
      <c r="O68" s="1068"/>
      <c r="P68" s="1068"/>
      <c r="Q68" s="1068"/>
      <c r="R68" s="1068"/>
      <c r="S68" s="1068"/>
      <c r="T68" s="1068"/>
      <c r="U68" s="1075">
        <f t="shared" si="8"/>
        <v>5.2527556231020574E-2</v>
      </c>
      <c r="V68" s="1068"/>
      <c r="W68" s="1069"/>
      <c r="Y68" s="256"/>
      <c r="Z68" s="257"/>
    </row>
    <row r="69" spans="5:26" ht="15" customHeight="1">
      <c r="E69" s="248">
        <v>3</v>
      </c>
      <c r="F69" s="249" t="s">
        <v>1690</v>
      </c>
      <c r="G69" s="250"/>
      <c r="H69" s="251" t="s">
        <v>95</v>
      </c>
      <c r="I69" s="252">
        <f t="shared" si="5"/>
        <v>5</v>
      </c>
      <c r="J69" s="253">
        <f>HSP!J375</f>
        <v>108317</v>
      </c>
      <c r="K69" s="254">
        <f t="shared" si="6"/>
        <v>541585</v>
      </c>
      <c r="L69" s="255">
        <f t="shared" si="7"/>
        <v>0.18099887729684666</v>
      </c>
      <c r="M69" s="1074"/>
      <c r="N69" s="1068"/>
      <c r="O69" s="1068"/>
      <c r="P69" s="1068"/>
      <c r="Q69" s="1068"/>
      <c r="R69" s="1068"/>
      <c r="S69" s="1068"/>
      <c r="T69" s="1068"/>
      <c r="U69" s="1075">
        <f t="shared" si="8"/>
        <v>0.18099887729684666</v>
      </c>
      <c r="V69" s="1068"/>
      <c r="W69" s="1069"/>
      <c r="Y69" s="256"/>
      <c r="Z69" s="257"/>
    </row>
    <row r="70" spans="5:26" ht="15" customHeight="1">
      <c r="E70" s="248">
        <v>4</v>
      </c>
      <c r="F70" s="249" t="s">
        <v>1691</v>
      </c>
      <c r="G70" s="250"/>
      <c r="H70" s="251" t="s">
        <v>95</v>
      </c>
      <c r="I70" s="252">
        <f t="shared" si="5"/>
        <v>4</v>
      </c>
      <c r="J70" s="253">
        <f>HSP!J375</f>
        <v>108317</v>
      </c>
      <c r="K70" s="254">
        <f t="shared" si="6"/>
        <v>433268</v>
      </c>
      <c r="L70" s="255">
        <f t="shared" si="7"/>
        <v>0.14479910183747732</v>
      </c>
      <c r="M70" s="1074"/>
      <c r="N70" s="1068"/>
      <c r="O70" s="1068"/>
      <c r="P70" s="1068"/>
      <c r="Q70" s="1068"/>
      <c r="R70" s="1068"/>
      <c r="S70" s="1068"/>
      <c r="T70" s="1068"/>
      <c r="U70" s="1075">
        <f t="shared" si="8"/>
        <v>0.14479910183747732</v>
      </c>
      <c r="V70" s="1068"/>
      <c r="W70" s="1069"/>
      <c r="Y70" s="256"/>
      <c r="Z70" s="257"/>
    </row>
    <row r="71" spans="5:26" ht="15" customHeight="1">
      <c r="E71" s="248">
        <v>5</v>
      </c>
      <c r="F71" s="249" t="s">
        <v>65</v>
      </c>
      <c r="G71" s="250"/>
      <c r="H71" s="251" t="s">
        <v>95</v>
      </c>
      <c r="I71" s="252">
        <f t="shared" si="5"/>
        <v>15</v>
      </c>
      <c r="J71" s="253">
        <f>HSP!J369</f>
        <v>53246</v>
      </c>
      <c r="K71" s="254">
        <f t="shared" si="6"/>
        <v>798690</v>
      </c>
      <c r="L71" s="255">
        <f t="shared" si="7"/>
        <v>0.2669239238683096</v>
      </c>
      <c r="M71" s="1074"/>
      <c r="N71" s="1068"/>
      <c r="O71" s="1068"/>
      <c r="P71" s="1068"/>
      <c r="Q71" s="1068"/>
      <c r="R71" s="1068"/>
      <c r="S71" s="1068"/>
      <c r="T71" s="1068"/>
      <c r="U71" s="1075">
        <f t="shared" si="8"/>
        <v>0.2669239238683096</v>
      </c>
      <c r="V71" s="1068"/>
      <c r="W71" s="1069"/>
      <c r="Y71" s="256"/>
      <c r="Z71" s="257"/>
    </row>
    <row r="72" spans="5:26" ht="15" customHeight="1">
      <c r="E72" s="248">
        <v>6</v>
      </c>
      <c r="F72" s="249" t="s">
        <v>66</v>
      </c>
      <c r="G72" s="250"/>
      <c r="H72" s="251" t="s">
        <v>95</v>
      </c>
      <c r="I72" s="252">
        <f t="shared" si="5"/>
        <v>8</v>
      </c>
      <c r="J72" s="253">
        <f>HSP!J370</f>
        <v>44863</v>
      </c>
      <c r="K72" s="254">
        <f t="shared" si="6"/>
        <v>358904</v>
      </c>
      <c r="L72" s="255">
        <f t="shared" si="7"/>
        <v>0.11994649234625673</v>
      </c>
      <c r="M72" s="1074"/>
      <c r="N72" s="1068"/>
      <c r="O72" s="1068"/>
      <c r="P72" s="1068"/>
      <c r="Q72" s="1068"/>
      <c r="R72" s="1068"/>
      <c r="S72" s="1068"/>
      <c r="T72" s="1068"/>
      <c r="U72" s="1075">
        <f t="shared" si="8"/>
        <v>0.11994649234625673</v>
      </c>
      <c r="V72" s="1068"/>
      <c r="W72" s="1069"/>
      <c r="Y72" s="256"/>
      <c r="Z72" s="257"/>
    </row>
    <row r="73" spans="5:26" ht="15" customHeight="1">
      <c r="E73" s="248">
        <v>7</v>
      </c>
      <c r="F73" s="249" t="s">
        <v>67</v>
      </c>
      <c r="G73" s="250"/>
      <c r="H73" s="251" t="s">
        <v>95</v>
      </c>
      <c r="I73" s="252">
        <f t="shared" si="5"/>
        <v>8</v>
      </c>
      <c r="J73" s="267">
        <f>HSP!J373</f>
        <v>38291</v>
      </c>
      <c r="K73" s="259">
        <f t="shared" si="6"/>
        <v>306328</v>
      </c>
      <c r="L73" s="260">
        <f t="shared" si="7"/>
        <v>0.10237547953615488</v>
      </c>
      <c r="M73" s="1074"/>
      <c r="N73" s="1068"/>
      <c r="O73" s="1068"/>
      <c r="P73" s="1068"/>
      <c r="Q73" s="1068"/>
      <c r="R73" s="1068"/>
      <c r="S73" s="1068"/>
      <c r="T73" s="1068"/>
      <c r="U73" s="1075">
        <f t="shared" si="8"/>
        <v>0.10237547953615488</v>
      </c>
      <c r="V73" s="1068"/>
      <c r="W73" s="1069"/>
      <c r="Y73" s="256"/>
      <c r="Z73" s="257"/>
    </row>
    <row r="74" spans="5:26" ht="15" customHeight="1">
      <c r="E74" s="248"/>
      <c r="F74" s="249"/>
      <c r="G74" s="250"/>
      <c r="H74" s="251"/>
      <c r="I74" s="252"/>
      <c r="J74" s="261" t="s">
        <v>149</v>
      </c>
      <c r="K74" s="262">
        <f>SUM(K67:K73)</f>
        <v>3675048</v>
      </c>
      <c r="L74" s="263">
        <f>SUM(L67:L73)</f>
        <v>1.2282089829150027</v>
      </c>
      <c r="M74" s="1074"/>
      <c r="N74" s="1068"/>
      <c r="O74" s="1068"/>
      <c r="P74" s="1068"/>
      <c r="Q74" s="1068"/>
      <c r="R74" s="1068"/>
      <c r="S74" s="1068"/>
      <c r="T74" s="1068"/>
      <c r="U74" s="1068"/>
      <c r="V74" s="1068"/>
      <c r="W74" s="1069"/>
      <c r="Y74" s="256"/>
      <c r="Z74" s="257"/>
    </row>
    <row r="75" spans="5:26" ht="15" customHeight="1">
      <c r="E75" s="264" t="s">
        <v>69</v>
      </c>
      <c r="F75" s="265" t="s">
        <v>113</v>
      </c>
      <c r="G75" s="266"/>
      <c r="H75" s="251"/>
      <c r="I75" s="252"/>
      <c r="J75" s="252"/>
      <c r="K75" s="249"/>
      <c r="L75" s="255"/>
      <c r="M75" s="1074"/>
      <c r="N75" s="1068"/>
      <c r="O75" s="1068"/>
      <c r="P75" s="1068"/>
      <c r="Q75" s="1068"/>
      <c r="R75" s="1068"/>
      <c r="S75" s="1068"/>
      <c r="T75" s="1068"/>
      <c r="U75" s="1068"/>
      <c r="V75" s="1068"/>
      <c r="W75" s="1069"/>
      <c r="Y75" s="256"/>
      <c r="Z75" s="257"/>
    </row>
    <row r="76" spans="5:26" ht="15" customHeight="1">
      <c r="E76" s="248">
        <v>1</v>
      </c>
      <c r="F76" s="249" t="s">
        <v>114</v>
      </c>
      <c r="G76" s="250"/>
      <c r="H76" s="251" t="s">
        <v>95</v>
      </c>
      <c r="I76" s="252">
        <f t="shared" ref="I76:I87" si="9">VLOOKUP(F76,RekapVolume,3,FALSE)</f>
        <v>2</v>
      </c>
      <c r="J76" s="253">
        <f>HSP!J454</f>
        <v>306611</v>
      </c>
      <c r="K76" s="254">
        <f t="shared" ref="K76:K87" si="10">I76*J76</f>
        <v>613222</v>
      </c>
      <c r="L76" s="255">
        <f t="shared" ref="L76:L87" si="11">K76/$K$116*100</f>
        <v>0.20494011749536434</v>
      </c>
      <c r="M76" s="1074"/>
      <c r="N76" s="1068"/>
      <c r="O76" s="1068"/>
      <c r="P76" s="1068"/>
      <c r="Q76" s="1068"/>
      <c r="R76" s="1068"/>
      <c r="S76" s="1068"/>
      <c r="T76" s="1068"/>
      <c r="U76" s="1068"/>
      <c r="V76" s="1068"/>
      <c r="W76" s="1077">
        <f>L76</f>
        <v>0.20494011749536434</v>
      </c>
      <c r="Y76" s="256"/>
      <c r="Z76" s="257"/>
    </row>
    <row r="77" spans="5:26" ht="15" customHeight="1">
      <c r="E77" s="248">
        <v>2</v>
      </c>
      <c r="F77" s="249" t="s">
        <v>115</v>
      </c>
      <c r="G77" s="250"/>
      <c r="H77" s="251" t="s">
        <v>95</v>
      </c>
      <c r="I77" s="252">
        <f t="shared" si="9"/>
        <v>5</v>
      </c>
      <c r="J77" s="253">
        <f>HSP!J454</f>
        <v>306611</v>
      </c>
      <c r="K77" s="254">
        <f t="shared" si="10"/>
        <v>1533055</v>
      </c>
      <c r="L77" s="255">
        <f t="shared" si="11"/>
        <v>0.5123502937384109</v>
      </c>
      <c r="M77" s="1074"/>
      <c r="N77" s="1068"/>
      <c r="O77" s="1068"/>
      <c r="P77" s="1068"/>
      <c r="Q77" s="1068"/>
      <c r="R77" s="1068"/>
      <c r="S77" s="1068"/>
      <c r="T77" s="1068"/>
      <c r="U77" s="1068"/>
      <c r="V77" s="1068"/>
      <c r="W77" s="1077">
        <f>L77</f>
        <v>0.5123502937384109</v>
      </c>
      <c r="Y77" s="256"/>
      <c r="Z77" s="257"/>
    </row>
    <row r="78" spans="5:26" ht="15" customHeight="1">
      <c r="E78" s="248">
        <v>3</v>
      </c>
      <c r="F78" s="249" t="s">
        <v>116</v>
      </c>
      <c r="G78" s="250"/>
      <c r="H78" s="251" t="s">
        <v>95</v>
      </c>
      <c r="I78" s="252">
        <f t="shared" si="9"/>
        <v>1</v>
      </c>
      <c r="J78" s="253">
        <f>HSP!J454</f>
        <v>306611</v>
      </c>
      <c r="K78" s="254">
        <f t="shared" si="10"/>
        <v>306611</v>
      </c>
      <c r="L78" s="255">
        <f t="shared" si="11"/>
        <v>0.10247005874768217</v>
      </c>
      <c r="M78" s="1074"/>
      <c r="N78" s="1068"/>
      <c r="O78" s="1068"/>
      <c r="P78" s="1068"/>
      <c r="Q78" s="1068"/>
      <c r="R78" s="1068"/>
      <c r="S78" s="1068"/>
      <c r="T78" s="1068"/>
      <c r="U78" s="1068"/>
      <c r="V78" s="1068"/>
      <c r="W78" s="1077">
        <f>L78</f>
        <v>0.10247005874768217</v>
      </c>
      <c r="Y78" s="256"/>
      <c r="Z78" s="257"/>
    </row>
    <row r="79" spans="5:26" ht="15" customHeight="1">
      <c r="E79" s="248">
        <v>4</v>
      </c>
      <c r="F79" s="249" t="s">
        <v>70</v>
      </c>
      <c r="G79" s="250"/>
      <c r="H79" s="251" t="s">
        <v>95</v>
      </c>
      <c r="I79" s="252">
        <f t="shared" si="9"/>
        <v>2</v>
      </c>
      <c r="J79" s="253">
        <f>HSP!J455</f>
        <v>84535</v>
      </c>
      <c r="K79" s="254">
        <f t="shared" si="10"/>
        <v>169070</v>
      </c>
      <c r="L79" s="255">
        <f t="shared" si="11"/>
        <v>5.6503559338936388E-2</v>
      </c>
      <c r="M79" s="1074"/>
      <c r="N79" s="1068"/>
      <c r="O79" s="1068"/>
      <c r="P79" s="1075">
        <f>L79</f>
        <v>5.6503559338936388E-2</v>
      </c>
      <c r="Q79" s="1068"/>
      <c r="R79" s="1068"/>
      <c r="S79" s="1068"/>
      <c r="T79" s="1068"/>
      <c r="U79" s="1068"/>
      <c r="V79" s="1068"/>
      <c r="W79" s="1069"/>
      <c r="Y79" s="256"/>
      <c r="Z79" s="257"/>
    </row>
    <row r="80" spans="5:26" ht="15" customHeight="1">
      <c r="E80" s="248">
        <v>5</v>
      </c>
      <c r="F80" s="249" t="s">
        <v>71</v>
      </c>
      <c r="G80" s="250"/>
      <c r="H80" s="251" t="s">
        <v>95</v>
      </c>
      <c r="I80" s="252">
        <f t="shared" si="9"/>
        <v>4</v>
      </c>
      <c r="J80" s="253">
        <f>HSP!J456</f>
        <v>77935</v>
      </c>
      <c r="K80" s="254">
        <f t="shared" si="10"/>
        <v>311740</v>
      </c>
      <c r="L80" s="255">
        <f t="shared" si="11"/>
        <v>0.10418418163080398</v>
      </c>
      <c r="M80" s="1074"/>
      <c r="N80" s="1068"/>
      <c r="O80" s="1068"/>
      <c r="P80" s="1075">
        <f>L80</f>
        <v>0.10418418163080398</v>
      </c>
      <c r="Q80" s="1068"/>
      <c r="R80" s="1068"/>
      <c r="S80" s="1068"/>
      <c r="T80" s="1068"/>
      <c r="U80" s="1068"/>
      <c r="V80" s="1068"/>
      <c r="W80" s="1069"/>
      <c r="Y80" s="256"/>
      <c r="Z80" s="257"/>
    </row>
    <row r="81" spans="5:26" ht="15" customHeight="1">
      <c r="E81" s="248">
        <v>6</v>
      </c>
      <c r="F81" s="249" t="s">
        <v>72</v>
      </c>
      <c r="G81" s="250"/>
      <c r="H81" s="251" t="s">
        <v>95</v>
      </c>
      <c r="I81" s="252">
        <f t="shared" si="9"/>
        <v>4</v>
      </c>
      <c r="J81" s="253">
        <f>HSP!J457</f>
        <v>70697</v>
      </c>
      <c r="K81" s="254">
        <f t="shared" si="10"/>
        <v>282788</v>
      </c>
      <c r="L81" s="255">
        <f t="shared" si="11"/>
        <v>9.4508360669185207E-2</v>
      </c>
      <c r="M81" s="1074"/>
      <c r="N81" s="1068"/>
      <c r="O81" s="1068"/>
      <c r="P81" s="1075">
        <f>L81</f>
        <v>9.4508360669185207E-2</v>
      </c>
      <c r="Q81" s="1068"/>
      <c r="R81" s="1068"/>
      <c r="S81" s="1068"/>
      <c r="T81" s="1068"/>
      <c r="U81" s="1068"/>
      <c r="V81" s="1068"/>
      <c r="W81" s="1069"/>
      <c r="Y81" s="256"/>
      <c r="Z81" s="257"/>
    </row>
    <row r="82" spans="5:26" ht="15" customHeight="1">
      <c r="E82" s="248">
        <v>7</v>
      </c>
      <c r="F82" s="249" t="s">
        <v>73</v>
      </c>
      <c r="G82" s="250"/>
      <c r="H82" s="251" t="s">
        <v>95</v>
      </c>
      <c r="I82" s="252">
        <f t="shared" si="9"/>
        <v>1</v>
      </c>
      <c r="J82" s="253">
        <f>HSP!J458</f>
        <v>496870</v>
      </c>
      <c r="K82" s="254">
        <f t="shared" si="10"/>
        <v>496870</v>
      </c>
      <c r="L82" s="255">
        <f t="shared" si="11"/>
        <v>0.16605502767337388</v>
      </c>
      <c r="M82" s="1074"/>
      <c r="N82" s="1068"/>
      <c r="O82" s="1068"/>
      <c r="P82" s="1075">
        <f>L82</f>
        <v>0.16605502767337388</v>
      </c>
      <c r="Q82" s="1068"/>
      <c r="R82" s="1068"/>
      <c r="S82" s="1068"/>
      <c r="T82" s="1068"/>
      <c r="U82" s="1068"/>
      <c r="V82" s="1068"/>
      <c r="W82" s="1069"/>
      <c r="Y82" s="256"/>
      <c r="Z82" s="257"/>
    </row>
    <row r="83" spans="5:26" ht="15" customHeight="1">
      <c r="E83" s="248">
        <v>8</v>
      </c>
      <c r="F83" s="249" t="s">
        <v>74</v>
      </c>
      <c r="G83" s="250"/>
      <c r="H83" s="251" t="s">
        <v>95</v>
      </c>
      <c r="I83" s="252">
        <f t="shared" si="9"/>
        <v>1</v>
      </c>
      <c r="J83" s="253">
        <f>HSP!J414</f>
        <v>2407185</v>
      </c>
      <c r="K83" s="254">
        <f t="shared" si="10"/>
        <v>2407185</v>
      </c>
      <c r="L83" s="255">
        <f t="shared" si="11"/>
        <v>0.80448642862304132</v>
      </c>
      <c r="M83" s="1074"/>
      <c r="N83" s="1068"/>
      <c r="O83" s="1068"/>
      <c r="P83" s="1068"/>
      <c r="Q83" s="1068"/>
      <c r="R83" s="1068"/>
      <c r="S83" s="1068"/>
      <c r="T83" s="1068"/>
      <c r="U83" s="1068"/>
      <c r="V83" s="1075">
        <f>L83</f>
        <v>0.80448642862304132</v>
      </c>
      <c r="W83" s="1069"/>
      <c r="Y83" s="256"/>
      <c r="Z83" s="257"/>
    </row>
    <row r="84" spans="5:26" ht="15" customHeight="1">
      <c r="E84" s="248">
        <v>9</v>
      </c>
      <c r="F84" s="249" t="s">
        <v>75</v>
      </c>
      <c r="G84" s="250"/>
      <c r="H84" s="251" t="s">
        <v>95</v>
      </c>
      <c r="I84" s="252">
        <f t="shared" si="9"/>
        <v>1</v>
      </c>
      <c r="J84" s="253">
        <f>HSP!J423</f>
        <v>611387</v>
      </c>
      <c r="K84" s="254">
        <f t="shared" si="10"/>
        <v>611387</v>
      </c>
      <c r="L84" s="255">
        <f t="shared" si="11"/>
        <v>0.20432685653016089</v>
      </c>
      <c r="M84" s="1074"/>
      <c r="N84" s="1068"/>
      <c r="O84" s="1068"/>
      <c r="P84" s="1068"/>
      <c r="Q84" s="1068"/>
      <c r="R84" s="1068"/>
      <c r="S84" s="1068"/>
      <c r="T84" s="1068"/>
      <c r="U84" s="1068"/>
      <c r="V84" s="1075">
        <f>L84</f>
        <v>0.20432685653016089</v>
      </c>
      <c r="W84" s="1069"/>
      <c r="Y84" s="256"/>
      <c r="Z84" s="257"/>
    </row>
    <row r="85" spans="5:26" ht="15" customHeight="1">
      <c r="E85" s="248">
        <v>10</v>
      </c>
      <c r="F85" s="249" t="s">
        <v>76</v>
      </c>
      <c r="G85" s="250"/>
      <c r="H85" s="251" t="s">
        <v>95</v>
      </c>
      <c r="I85" s="252">
        <f t="shared" si="9"/>
        <v>4</v>
      </c>
      <c r="J85" s="253">
        <f>HSP!J432</f>
        <v>110331</v>
      </c>
      <c r="K85" s="254">
        <f t="shared" si="10"/>
        <v>441324</v>
      </c>
      <c r="L85" s="255">
        <f t="shared" si="11"/>
        <v>0.1474914344454768</v>
      </c>
      <c r="M85" s="1074"/>
      <c r="N85" s="1068"/>
      <c r="O85" s="1068"/>
      <c r="P85" s="1068"/>
      <c r="Q85" s="1068"/>
      <c r="R85" s="1068"/>
      <c r="S85" s="1068"/>
      <c r="T85" s="1068"/>
      <c r="U85" s="1068"/>
      <c r="V85" s="1075">
        <f>L85</f>
        <v>0.1474914344454768</v>
      </c>
      <c r="W85" s="1069"/>
      <c r="Y85" s="256"/>
      <c r="Z85" s="257"/>
    </row>
    <row r="86" spans="5:26" ht="15" customHeight="1">
      <c r="E86" s="248">
        <v>11</v>
      </c>
      <c r="F86" s="249" t="s">
        <v>77</v>
      </c>
      <c r="G86" s="250"/>
      <c r="H86" s="251" t="s">
        <v>95</v>
      </c>
      <c r="I86" s="252">
        <f t="shared" si="9"/>
        <v>1</v>
      </c>
      <c r="J86" s="253">
        <f>HSP!J427</f>
        <v>328625</v>
      </c>
      <c r="K86" s="254">
        <f t="shared" si="10"/>
        <v>328625</v>
      </c>
      <c r="L86" s="255">
        <f t="shared" si="11"/>
        <v>0.1098271851171584</v>
      </c>
      <c r="M86" s="1074"/>
      <c r="N86" s="1068"/>
      <c r="O86" s="1068"/>
      <c r="P86" s="1068"/>
      <c r="Q86" s="1068"/>
      <c r="R86" s="1068"/>
      <c r="S86" s="1068"/>
      <c r="T86" s="1068"/>
      <c r="U86" s="1068"/>
      <c r="V86" s="1075">
        <f>L86</f>
        <v>0.1098271851171584</v>
      </c>
      <c r="W86" s="1069"/>
      <c r="Y86" s="256"/>
      <c r="Z86" s="257"/>
    </row>
    <row r="87" spans="5:26" ht="15" customHeight="1">
      <c r="E87" s="248">
        <v>12</v>
      </c>
      <c r="F87" s="249" t="s">
        <v>78</v>
      </c>
      <c r="G87" s="250"/>
      <c r="H87" s="251" t="s">
        <v>95</v>
      </c>
      <c r="I87" s="252">
        <f t="shared" si="9"/>
        <v>1</v>
      </c>
      <c r="J87" s="267">
        <f>HSP!J425</f>
        <v>678315</v>
      </c>
      <c r="K87" s="259">
        <f t="shared" si="10"/>
        <v>678315</v>
      </c>
      <c r="L87" s="260">
        <f t="shared" si="11"/>
        <v>0.22669433875312375</v>
      </c>
      <c r="M87" s="1074"/>
      <c r="N87" s="1068"/>
      <c r="O87" s="1068"/>
      <c r="P87" s="1068"/>
      <c r="Q87" s="1068"/>
      <c r="R87" s="1068"/>
      <c r="S87" s="1068"/>
      <c r="T87" s="1068"/>
      <c r="U87" s="1068"/>
      <c r="V87" s="1075">
        <f>L87</f>
        <v>0.22669433875312375</v>
      </c>
      <c r="W87" s="1069"/>
      <c r="Y87" s="256"/>
      <c r="Z87" s="257"/>
    </row>
    <row r="88" spans="5:26" ht="15" customHeight="1">
      <c r="E88" s="248"/>
      <c r="F88" s="249"/>
      <c r="G88" s="250"/>
      <c r="H88" s="251"/>
      <c r="I88" s="252"/>
      <c r="J88" s="261" t="s">
        <v>150</v>
      </c>
      <c r="K88" s="262">
        <f>SUM(K76:K87)</f>
        <v>8180192</v>
      </c>
      <c r="L88" s="263">
        <f>SUM(L76:L87)</f>
        <v>2.7338378427627186</v>
      </c>
      <c r="M88" s="1074"/>
      <c r="N88" s="1068"/>
      <c r="O88" s="1068"/>
      <c r="P88" s="1068"/>
      <c r="Q88" s="1068"/>
      <c r="R88" s="1068"/>
      <c r="S88" s="1068"/>
      <c r="T88" s="1068"/>
      <c r="U88" s="1068"/>
      <c r="V88" s="1078"/>
      <c r="W88" s="1069"/>
      <c r="Y88" s="256"/>
      <c r="Z88" s="257"/>
    </row>
    <row r="89" spans="5:26" ht="15" customHeight="1">
      <c r="E89" s="264" t="s">
        <v>8</v>
      </c>
      <c r="F89" s="265" t="s">
        <v>82</v>
      </c>
      <c r="G89" s="266"/>
      <c r="H89" s="251"/>
      <c r="I89" s="252"/>
      <c r="J89" s="252"/>
      <c r="K89" s="249"/>
      <c r="L89" s="255"/>
      <c r="M89" s="1074"/>
      <c r="N89" s="1068"/>
      <c r="O89" s="1068"/>
      <c r="P89" s="1068"/>
      <c r="Q89" s="1068"/>
      <c r="R89" s="1068"/>
      <c r="S89" s="1068"/>
      <c r="T89" s="1068"/>
      <c r="U89" s="1068"/>
      <c r="V89" s="1068"/>
      <c r="W89" s="1069"/>
      <c r="Y89" s="256"/>
      <c r="Z89" s="257"/>
    </row>
    <row r="90" spans="5:26" ht="15" customHeight="1">
      <c r="E90" s="248">
        <v>1</v>
      </c>
      <c r="F90" s="249" t="s">
        <v>117</v>
      </c>
      <c r="G90" s="250"/>
      <c r="H90" s="251" t="s">
        <v>91</v>
      </c>
      <c r="I90" s="252">
        <f>VLOOKUP(F90,RekapVolume,3,FALSE)</f>
        <v>135.23000000000002</v>
      </c>
      <c r="J90" s="253">
        <f>HSP!J399</f>
        <v>37532</v>
      </c>
      <c r="K90" s="254">
        <f>I90*J90</f>
        <v>5075452.3600000003</v>
      </c>
      <c r="L90" s="255">
        <f>K90/$K$116*100</f>
        <v>1.696227146124119</v>
      </c>
      <c r="M90" s="1074"/>
      <c r="N90" s="1068"/>
      <c r="O90" s="1068"/>
      <c r="P90" s="1068"/>
      <c r="Q90" s="1068"/>
      <c r="R90" s="1068"/>
      <c r="S90" s="1068"/>
      <c r="T90" s="1068"/>
      <c r="U90" s="1068"/>
      <c r="V90" s="1075">
        <f>$L$90/2</f>
        <v>0.84811357306205948</v>
      </c>
      <c r="W90" s="1077">
        <f>$L$90/2</f>
        <v>0.84811357306205948</v>
      </c>
      <c r="Y90" s="256"/>
      <c r="Z90" s="257"/>
    </row>
    <row r="91" spans="5:26" ht="15" customHeight="1">
      <c r="E91" s="248">
        <v>2</v>
      </c>
      <c r="F91" s="249" t="s">
        <v>118</v>
      </c>
      <c r="G91" s="250"/>
      <c r="H91" s="251" t="s">
        <v>91</v>
      </c>
      <c r="I91" s="252">
        <f>VLOOKUP(F91,RekapVolume,3,FALSE)</f>
        <v>80</v>
      </c>
      <c r="J91" s="253">
        <f>HSP!J399</f>
        <v>37532</v>
      </c>
      <c r="K91" s="254">
        <f>I91*J91</f>
        <v>3002560</v>
      </c>
      <c r="L91" s="255">
        <f>K91/$K$116*100</f>
        <v>1.0034620401532905</v>
      </c>
      <c r="M91" s="1074"/>
      <c r="N91" s="1068"/>
      <c r="O91" s="1068"/>
      <c r="P91" s="1068"/>
      <c r="Q91" s="1068"/>
      <c r="R91" s="1068"/>
      <c r="S91" s="1068"/>
      <c r="T91" s="1068"/>
      <c r="U91" s="1068"/>
      <c r="V91" s="1075">
        <f>L91</f>
        <v>1.0034620401532905</v>
      </c>
      <c r="W91" s="1069"/>
      <c r="Y91" s="256"/>
      <c r="Z91" s="257"/>
    </row>
    <row r="92" spans="5:26" ht="15" customHeight="1">
      <c r="E92" s="248">
        <v>3</v>
      </c>
      <c r="F92" s="249" t="s">
        <v>119</v>
      </c>
      <c r="G92" s="250"/>
      <c r="H92" s="251" t="s">
        <v>91</v>
      </c>
      <c r="I92" s="252">
        <f>VLOOKUP(F92,RekapVolume,3,FALSE)</f>
        <v>13.966003907203907</v>
      </c>
      <c r="J92" s="253">
        <f>HSP!J405</f>
        <v>43847</v>
      </c>
      <c r="K92" s="254">
        <f>I92*J92</f>
        <v>612367.37331916974</v>
      </c>
      <c r="L92" s="255">
        <f>K92/$K$116*100</f>
        <v>0.20465449941189043</v>
      </c>
      <c r="M92" s="1074"/>
      <c r="N92" s="1068"/>
      <c r="O92" s="1068"/>
      <c r="P92" s="1068"/>
      <c r="Q92" s="1068"/>
      <c r="R92" s="1068"/>
      <c r="S92" s="1068"/>
      <c r="T92" s="1068"/>
      <c r="U92" s="1068"/>
      <c r="V92" s="1075">
        <f>L92</f>
        <v>0.20465449941189043</v>
      </c>
      <c r="W92" s="1069"/>
      <c r="Y92" s="256"/>
      <c r="Z92" s="257"/>
    </row>
    <row r="93" spans="5:26" ht="15" customHeight="1">
      <c r="E93" s="248">
        <v>4</v>
      </c>
      <c r="F93" s="249" t="s">
        <v>120</v>
      </c>
      <c r="G93" s="250"/>
      <c r="H93" s="251" t="s">
        <v>91</v>
      </c>
      <c r="I93" s="252">
        <f>VLOOKUP(F93,RekapVolume,3,FALSE)</f>
        <v>13.966003907203907</v>
      </c>
      <c r="J93" s="267">
        <f>HSP!J393</f>
        <v>52538</v>
      </c>
      <c r="K93" s="259">
        <f>I93*J93</f>
        <v>733745.91327667888</v>
      </c>
      <c r="L93" s="260">
        <f>K93/$K$116*100</f>
        <v>0.24521946974939904</v>
      </c>
      <c r="M93" s="1074"/>
      <c r="N93" s="1068"/>
      <c r="O93" s="1068"/>
      <c r="P93" s="1068"/>
      <c r="Q93" s="1068"/>
      <c r="R93" s="1068"/>
      <c r="S93" s="1068"/>
      <c r="T93" s="1068"/>
      <c r="U93" s="1068"/>
      <c r="V93" s="1075">
        <f>$L$93/2</f>
        <v>0.12260973487469952</v>
      </c>
      <c r="W93" s="1077">
        <f>$L$93/2</f>
        <v>0.12260973487469952</v>
      </c>
      <c r="Y93" s="256"/>
      <c r="Z93" s="257"/>
    </row>
    <row r="94" spans="5:26" ht="15" customHeight="1">
      <c r="E94" s="248"/>
      <c r="F94" s="249"/>
      <c r="G94" s="250"/>
      <c r="H94" s="251"/>
      <c r="I94" s="252"/>
      <c r="J94" s="261" t="s">
        <v>151</v>
      </c>
      <c r="K94" s="262">
        <f>SUM(K90:K93)</f>
        <v>9424125.6465958506</v>
      </c>
      <c r="L94" s="263">
        <f>SUM(L90:L93)</f>
        <v>3.1495631554386994</v>
      </c>
      <c r="M94" s="1074"/>
      <c r="N94" s="1068"/>
      <c r="O94" s="1068"/>
      <c r="P94" s="1068"/>
      <c r="Q94" s="1068"/>
      <c r="R94" s="1068"/>
      <c r="S94" s="1068"/>
      <c r="T94" s="1068"/>
      <c r="U94" s="1068"/>
      <c r="V94" s="1068"/>
      <c r="W94" s="1069"/>
      <c r="Y94" s="256"/>
      <c r="Z94" s="257"/>
    </row>
    <row r="95" spans="5:26" ht="15" customHeight="1">
      <c r="E95" s="264" t="s">
        <v>84</v>
      </c>
      <c r="F95" s="265" t="s">
        <v>85</v>
      </c>
      <c r="G95" s="266"/>
      <c r="H95" s="251"/>
      <c r="I95" s="252"/>
      <c r="J95" s="252"/>
      <c r="K95" s="249"/>
      <c r="L95" s="255"/>
      <c r="M95" s="1074"/>
      <c r="N95" s="1068"/>
      <c r="O95" s="1068"/>
      <c r="P95" s="1068"/>
      <c r="Q95" s="1068"/>
      <c r="R95" s="1068"/>
      <c r="S95" s="1068"/>
      <c r="T95" s="1068"/>
      <c r="U95" s="1068"/>
      <c r="V95" s="1068"/>
      <c r="W95" s="1069"/>
      <c r="Y95" s="256"/>
      <c r="Z95" s="257"/>
    </row>
    <row r="96" spans="5:26" ht="15" customHeight="1">
      <c r="E96" s="248">
        <v>1</v>
      </c>
      <c r="F96" s="249" t="s">
        <v>86</v>
      </c>
      <c r="G96" s="250"/>
      <c r="H96" s="251" t="s">
        <v>92</v>
      </c>
      <c r="I96" s="252">
        <f t="shared" ref="I96:I111" si="12">VLOOKUP(F96,RekapVolume,3,FALSE)</f>
        <v>12.774000000000001</v>
      </c>
      <c r="J96" s="253">
        <f>HSP!J25</f>
        <v>107800</v>
      </c>
      <c r="K96" s="254">
        <f t="shared" ref="K96:K111" si="13">I96*J96</f>
        <v>1377037.2000000002</v>
      </c>
      <c r="L96" s="255">
        <f t="shared" ref="L96:L111" si="14">K96/$K$116*100</f>
        <v>0.46020880784363183</v>
      </c>
      <c r="M96" s="1074"/>
      <c r="N96" s="1075">
        <f>$L$96/2</f>
        <v>0.23010440392181591</v>
      </c>
      <c r="O96" s="1075">
        <f>$L$96/2</f>
        <v>0.23010440392181591</v>
      </c>
      <c r="P96" s="1068"/>
      <c r="Q96" s="1068"/>
      <c r="R96" s="1068"/>
      <c r="S96" s="1068"/>
      <c r="T96" s="1068"/>
      <c r="U96" s="1068"/>
      <c r="V96" s="1068"/>
      <c r="W96" s="1069"/>
      <c r="Y96" s="256"/>
      <c r="Z96" s="257"/>
    </row>
    <row r="97" spans="5:26" ht="15" customHeight="1">
      <c r="E97" s="248">
        <v>2</v>
      </c>
      <c r="F97" s="249" t="s">
        <v>89</v>
      </c>
      <c r="G97" s="250"/>
      <c r="H97" s="251" t="s">
        <v>91</v>
      </c>
      <c r="I97" s="252">
        <f t="shared" si="12"/>
        <v>24.959999999999997</v>
      </c>
      <c r="J97" s="253">
        <f>HSP!J174</f>
        <v>108051</v>
      </c>
      <c r="K97" s="254">
        <f t="shared" si="13"/>
        <v>2696952.9599999995</v>
      </c>
      <c r="L97" s="255">
        <f t="shared" si="14"/>
        <v>0.90132750700703912</v>
      </c>
      <c r="M97" s="1074"/>
      <c r="N97" s="1075">
        <f>$L$97/2</f>
        <v>0.45066375350351956</v>
      </c>
      <c r="O97" s="1075">
        <f>$L$97/2</f>
        <v>0.45066375350351956</v>
      </c>
      <c r="P97" s="1068"/>
      <c r="Q97" s="1068"/>
      <c r="R97" s="1068"/>
      <c r="S97" s="1068"/>
      <c r="T97" s="1068"/>
      <c r="U97" s="1068"/>
      <c r="V97" s="1068"/>
      <c r="W97" s="1069"/>
      <c r="Y97" s="256"/>
      <c r="Z97" s="257"/>
    </row>
    <row r="98" spans="5:26" ht="15" customHeight="1">
      <c r="E98" s="248">
        <v>3</v>
      </c>
      <c r="F98" s="249" t="s">
        <v>121</v>
      </c>
      <c r="G98" s="250"/>
      <c r="H98" s="251" t="s">
        <v>92</v>
      </c>
      <c r="I98" s="252">
        <f t="shared" si="12"/>
        <v>0.432</v>
      </c>
      <c r="J98" s="253">
        <f>HSP!J49</f>
        <v>885381</v>
      </c>
      <c r="K98" s="254">
        <f t="shared" si="13"/>
        <v>382484.592</v>
      </c>
      <c r="L98" s="255">
        <f t="shared" si="14"/>
        <v>0.1278271771473406</v>
      </c>
      <c r="M98" s="1074"/>
      <c r="N98" s="1075">
        <f>$L$98/2</f>
        <v>6.3913588573670299E-2</v>
      </c>
      <c r="O98" s="1075">
        <f>$L$98/2</f>
        <v>6.3913588573670299E-2</v>
      </c>
      <c r="P98" s="1068"/>
      <c r="Q98" s="1068"/>
      <c r="R98" s="1068"/>
      <c r="S98" s="1068"/>
      <c r="T98" s="1068"/>
      <c r="U98" s="1068"/>
      <c r="V98" s="1068"/>
      <c r="W98" s="1069"/>
      <c r="Y98" s="256"/>
      <c r="Z98" s="257"/>
    </row>
    <row r="99" spans="5:26" ht="15" customHeight="1">
      <c r="E99" s="248">
        <v>4</v>
      </c>
      <c r="F99" s="249" t="s">
        <v>1683</v>
      </c>
      <c r="G99" s="250"/>
      <c r="H99" s="251" t="s">
        <v>92</v>
      </c>
      <c r="I99" s="252">
        <f t="shared" si="12"/>
        <v>0.42750000000000005</v>
      </c>
      <c r="J99" s="253">
        <f>HSP!J35</f>
        <v>440426</v>
      </c>
      <c r="K99" s="254">
        <f t="shared" si="13"/>
        <v>188282.11500000002</v>
      </c>
      <c r="L99" s="255">
        <f t="shared" si="14"/>
        <v>6.2924289686892676E-2</v>
      </c>
      <c r="M99" s="1074"/>
      <c r="N99" s="1075">
        <f>$L$99/2</f>
        <v>3.1462144843446338E-2</v>
      </c>
      <c r="O99" s="1075">
        <f>$L$99/2</f>
        <v>3.1462144843446338E-2</v>
      </c>
      <c r="P99" s="1068"/>
      <c r="Q99" s="1068"/>
      <c r="R99" s="1068"/>
      <c r="S99" s="1068"/>
      <c r="T99" s="1068"/>
      <c r="U99" s="1068"/>
      <c r="V99" s="1068"/>
      <c r="W99" s="1069"/>
      <c r="Y99" s="256"/>
      <c r="Z99" s="257"/>
    </row>
    <row r="100" spans="5:26" ht="15" customHeight="1">
      <c r="E100" s="248">
        <v>5</v>
      </c>
      <c r="F100" s="249" t="s">
        <v>122</v>
      </c>
      <c r="G100" s="250"/>
      <c r="H100" s="251" t="s">
        <v>92</v>
      </c>
      <c r="I100" s="252">
        <f t="shared" si="12"/>
        <v>0.432</v>
      </c>
      <c r="J100" s="253">
        <f>HSP!J38</f>
        <v>401852</v>
      </c>
      <c r="K100" s="254">
        <f t="shared" si="13"/>
        <v>173600.06399999998</v>
      </c>
      <c r="L100" s="255">
        <f t="shared" si="14"/>
        <v>5.8017516516633075E-2</v>
      </c>
      <c r="M100" s="1074"/>
      <c r="N100" s="1068"/>
      <c r="O100" s="1075">
        <f>L100</f>
        <v>5.8017516516633075E-2</v>
      </c>
      <c r="P100" s="1068"/>
      <c r="Q100" s="1068"/>
      <c r="R100" s="1068"/>
      <c r="S100" s="1068"/>
      <c r="T100" s="1068"/>
      <c r="U100" s="1068"/>
      <c r="V100" s="1068"/>
      <c r="W100" s="1069"/>
      <c r="Y100" s="256"/>
      <c r="Z100" s="257"/>
    </row>
    <row r="101" spans="5:26" ht="15" customHeight="1">
      <c r="E101" s="248">
        <v>6</v>
      </c>
      <c r="F101" s="249" t="s">
        <v>1684</v>
      </c>
      <c r="G101" s="250"/>
      <c r="H101" s="251" t="s">
        <v>92</v>
      </c>
      <c r="I101" s="252">
        <f t="shared" si="12"/>
        <v>0.432</v>
      </c>
      <c r="J101" s="253">
        <f>HSP!J38</f>
        <v>401852</v>
      </c>
      <c r="K101" s="254">
        <f t="shared" si="13"/>
        <v>173600.06399999998</v>
      </c>
      <c r="L101" s="255">
        <f t="shared" si="14"/>
        <v>5.8017516516633075E-2</v>
      </c>
      <c r="M101" s="1074"/>
      <c r="N101" s="1068"/>
      <c r="O101" s="1075">
        <f>L101</f>
        <v>5.8017516516633075E-2</v>
      </c>
      <c r="P101" s="1068"/>
      <c r="Q101" s="1068"/>
      <c r="R101" s="1068"/>
      <c r="S101" s="1068"/>
      <c r="T101" s="1068"/>
      <c r="U101" s="1068"/>
      <c r="V101" s="1068"/>
      <c r="W101" s="1069"/>
      <c r="Y101" s="256"/>
      <c r="Z101" s="257"/>
    </row>
    <row r="102" spans="5:26" ht="15" customHeight="1">
      <c r="E102" s="248">
        <v>7</v>
      </c>
      <c r="F102" s="249" t="s">
        <v>123</v>
      </c>
      <c r="G102" s="250"/>
      <c r="H102" s="251" t="s">
        <v>91</v>
      </c>
      <c r="I102" s="252">
        <f t="shared" si="12"/>
        <v>5.1199999999999992</v>
      </c>
      <c r="J102" s="253">
        <f>HSP!J37/2</f>
        <v>808665</v>
      </c>
      <c r="K102" s="254">
        <f t="shared" si="13"/>
        <v>4140364.7999999993</v>
      </c>
      <c r="L102" s="255">
        <f t="shared" si="14"/>
        <v>1.3837188629658925</v>
      </c>
      <c r="M102" s="1074"/>
      <c r="N102" s="1068"/>
      <c r="O102" s="1075">
        <f>L102</f>
        <v>1.3837188629658925</v>
      </c>
      <c r="P102" s="1068"/>
      <c r="Q102" s="1068"/>
      <c r="R102" s="1068"/>
      <c r="S102" s="1068"/>
      <c r="T102" s="1068"/>
      <c r="U102" s="1068"/>
      <c r="V102" s="1068"/>
      <c r="W102" s="1069"/>
      <c r="Y102" s="256"/>
      <c r="Z102" s="257"/>
    </row>
    <row r="103" spans="5:26" ht="15" customHeight="1">
      <c r="E103" s="248">
        <v>8</v>
      </c>
      <c r="F103" s="249" t="s">
        <v>124</v>
      </c>
      <c r="G103" s="250"/>
      <c r="H103" s="251" t="s">
        <v>92</v>
      </c>
      <c r="I103" s="252">
        <f t="shared" si="12"/>
        <v>0.28350000000000009</v>
      </c>
      <c r="J103" s="253">
        <f>HSP!J83</f>
        <v>7336880</v>
      </c>
      <c r="K103" s="254">
        <f t="shared" si="13"/>
        <v>2080005.4800000007</v>
      </c>
      <c r="L103" s="255">
        <f t="shared" si="14"/>
        <v>0.69514232604538306</v>
      </c>
      <c r="M103" s="1074"/>
      <c r="N103" s="1068"/>
      <c r="O103" s="1068"/>
      <c r="P103" s="1068"/>
      <c r="Q103" s="1075">
        <f>L103</f>
        <v>0.69514232604538306</v>
      </c>
      <c r="R103" s="1068"/>
      <c r="S103" s="1068"/>
      <c r="T103" s="1068"/>
      <c r="U103" s="1068"/>
      <c r="V103" s="1068"/>
      <c r="W103" s="1069"/>
      <c r="Y103" s="256"/>
      <c r="Z103" s="257"/>
    </row>
    <row r="104" spans="5:26" ht="15" customHeight="1">
      <c r="E104" s="248">
        <v>9</v>
      </c>
      <c r="F104" s="249" t="s">
        <v>125</v>
      </c>
      <c r="G104" s="250"/>
      <c r="H104" s="251" t="s">
        <v>92</v>
      </c>
      <c r="I104" s="252">
        <f t="shared" si="12"/>
        <v>0.20249999999999996</v>
      </c>
      <c r="J104" s="253">
        <f>HSP!J86</f>
        <v>8939854</v>
      </c>
      <c r="K104" s="254">
        <f t="shared" si="13"/>
        <v>1810320.4349999996</v>
      </c>
      <c r="L104" s="255">
        <f t="shared" si="14"/>
        <v>0.60501300125102986</v>
      </c>
      <c r="M104" s="1074"/>
      <c r="N104" s="1068"/>
      <c r="O104" s="1068"/>
      <c r="P104" s="1075">
        <f>L104</f>
        <v>0.60501300125102986</v>
      </c>
      <c r="Q104" s="1068"/>
      <c r="R104" s="1068"/>
      <c r="S104" s="1068"/>
      <c r="T104" s="1068"/>
      <c r="U104" s="1068"/>
      <c r="V104" s="1068"/>
      <c r="W104" s="1069"/>
      <c r="Y104" s="256"/>
      <c r="Z104" s="257"/>
    </row>
    <row r="105" spans="5:26" ht="15" customHeight="1">
      <c r="E105" s="248">
        <v>10</v>
      </c>
      <c r="F105" s="249" t="s">
        <v>126</v>
      </c>
      <c r="G105" s="250"/>
      <c r="H105" s="251" t="s">
        <v>92</v>
      </c>
      <c r="I105" s="252">
        <f t="shared" si="12"/>
        <v>0.11199999999999999</v>
      </c>
      <c r="J105" s="253">
        <f>HSP!J86</f>
        <v>8939854</v>
      </c>
      <c r="K105" s="254">
        <f t="shared" si="13"/>
        <v>1001263.6479999999</v>
      </c>
      <c r="L105" s="255">
        <f t="shared" si="14"/>
        <v>0.33462447476600171</v>
      </c>
      <c r="M105" s="1074"/>
      <c r="N105" s="1068"/>
      <c r="O105" s="1068"/>
      <c r="P105" s="1075">
        <f>L105</f>
        <v>0.33462447476600171</v>
      </c>
      <c r="Q105" s="1068"/>
      <c r="R105" s="1068"/>
      <c r="S105" s="1068"/>
      <c r="T105" s="1068"/>
      <c r="U105" s="1068"/>
      <c r="V105" s="1068"/>
      <c r="W105" s="1069"/>
      <c r="Y105" s="256"/>
      <c r="Z105" s="257"/>
    </row>
    <row r="106" spans="5:26" ht="15" customHeight="1">
      <c r="E106" s="248">
        <v>11</v>
      </c>
      <c r="F106" s="249" t="s">
        <v>127</v>
      </c>
      <c r="G106" s="250"/>
      <c r="H106" s="251" t="s">
        <v>92</v>
      </c>
      <c r="I106" s="252">
        <f t="shared" si="12"/>
        <v>0.24975000000000003</v>
      </c>
      <c r="J106" s="253">
        <f>HSP!J83</f>
        <v>7336880</v>
      </c>
      <c r="K106" s="254">
        <f t="shared" si="13"/>
        <v>1832385.7800000003</v>
      </c>
      <c r="L106" s="255">
        <f t="shared" si="14"/>
        <v>0.61238728723045632</v>
      </c>
      <c r="M106" s="1074"/>
      <c r="N106" s="1068"/>
      <c r="O106" s="1068"/>
      <c r="P106" s="1075">
        <f>L106</f>
        <v>0.61238728723045632</v>
      </c>
      <c r="Q106" s="1068"/>
      <c r="R106" s="1068"/>
      <c r="S106" s="1068"/>
      <c r="T106" s="1068"/>
      <c r="U106" s="1068"/>
      <c r="V106" s="1068"/>
      <c r="W106" s="1069"/>
      <c r="Y106" s="256"/>
      <c r="Z106" s="257"/>
    </row>
    <row r="107" spans="5:26" ht="15" customHeight="1">
      <c r="E107" s="248">
        <v>12</v>
      </c>
      <c r="F107" s="249" t="s">
        <v>128</v>
      </c>
      <c r="G107" s="250"/>
      <c r="H107" s="251" t="s">
        <v>92</v>
      </c>
      <c r="I107" s="252">
        <f t="shared" si="12"/>
        <v>0.16800000000000001</v>
      </c>
      <c r="J107" s="253">
        <f>HSP!J83</f>
        <v>7336880</v>
      </c>
      <c r="K107" s="254">
        <f t="shared" si="13"/>
        <v>1232595.8400000001</v>
      </c>
      <c r="L107" s="255">
        <f t="shared" si="14"/>
        <v>0.41193619321207869</v>
      </c>
      <c r="M107" s="1074"/>
      <c r="N107" s="1068"/>
      <c r="O107" s="1068"/>
      <c r="P107" s="1075">
        <f>L107</f>
        <v>0.41193619321207869</v>
      </c>
      <c r="Q107" s="1078"/>
      <c r="R107" s="1068"/>
      <c r="S107" s="1068"/>
      <c r="T107" s="1068"/>
      <c r="U107" s="1068"/>
      <c r="V107" s="1068"/>
      <c r="W107" s="1069"/>
      <c r="Y107" s="256"/>
      <c r="Z107" s="257"/>
    </row>
    <row r="108" spans="5:26" ht="15" customHeight="1">
      <c r="E108" s="248">
        <v>13</v>
      </c>
      <c r="F108" s="249" t="s">
        <v>129</v>
      </c>
      <c r="G108" s="250"/>
      <c r="H108" s="251" t="s">
        <v>92</v>
      </c>
      <c r="I108" s="252">
        <f t="shared" si="12"/>
        <v>0.59075</v>
      </c>
      <c r="J108" s="253">
        <f>HSP!J86</f>
        <v>8939854</v>
      </c>
      <c r="K108" s="254">
        <f t="shared" si="13"/>
        <v>5281218.7505000001</v>
      </c>
      <c r="L108" s="255">
        <f t="shared" si="14"/>
        <v>1.7649947184644244</v>
      </c>
      <c r="M108" s="1074"/>
      <c r="N108" s="1068"/>
      <c r="O108" s="1068"/>
      <c r="P108" s="1068"/>
      <c r="Q108" s="1075">
        <f>L108</f>
        <v>1.7649947184644244</v>
      </c>
      <c r="R108" s="1068"/>
      <c r="S108" s="1068"/>
      <c r="T108" s="1068"/>
      <c r="U108" s="1068"/>
      <c r="V108" s="1068"/>
      <c r="W108" s="1069"/>
      <c r="Y108" s="256"/>
      <c r="Z108" s="257"/>
    </row>
    <row r="109" spans="5:26" ht="15" customHeight="1">
      <c r="E109" s="248">
        <v>14</v>
      </c>
      <c r="F109" s="249" t="s">
        <v>130</v>
      </c>
      <c r="G109" s="250"/>
      <c r="H109" s="251" t="s">
        <v>93</v>
      </c>
      <c r="I109" s="252">
        <f t="shared" si="12"/>
        <v>3</v>
      </c>
      <c r="J109" s="253">
        <f>HSP!J445</f>
        <v>154222</v>
      </c>
      <c r="K109" s="254">
        <f t="shared" si="13"/>
        <v>462666</v>
      </c>
      <c r="L109" s="255">
        <f t="shared" si="14"/>
        <v>0.15462397696284583</v>
      </c>
      <c r="M109" s="1074"/>
      <c r="N109" s="1068"/>
      <c r="O109" s="1068"/>
      <c r="P109" s="1068"/>
      <c r="Q109" s="1075">
        <f>L109</f>
        <v>0.15462397696284583</v>
      </c>
      <c r="R109" s="1068"/>
      <c r="S109" s="1068"/>
      <c r="T109" s="1068"/>
      <c r="U109" s="1068"/>
      <c r="V109" s="1068"/>
      <c r="W109" s="1069"/>
      <c r="Y109" s="256"/>
      <c r="Z109" s="257"/>
    </row>
    <row r="110" spans="5:26" ht="15" customHeight="1">
      <c r="E110" s="248">
        <v>15</v>
      </c>
      <c r="F110" s="249" t="s">
        <v>131</v>
      </c>
      <c r="G110" s="250"/>
      <c r="H110" s="251" t="s">
        <v>95</v>
      </c>
      <c r="I110" s="252">
        <f t="shared" si="12"/>
        <v>1</v>
      </c>
      <c r="J110" s="269">
        <v>100000</v>
      </c>
      <c r="K110" s="254">
        <f t="shared" si="13"/>
        <v>100000</v>
      </c>
      <c r="L110" s="255">
        <f t="shared" si="14"/>
        <v>3.3420216087381785E-2</v>
      </c>
      <c r="M110" s="1074"/>
      <c r="N110" s="1068"/>
      <c r="O110" s="1068"/>
      <c r="P110" s="1068"/>
      <c r="Q110" s="1075">
        <f>L110</f>
        <v>3.3420216087381785E-2</v>
      </c>
      <c r="R110" s="1068"/>
      <c r="S110" s="1068"/>
      <c r="T110" s="1068"/>
      <c r="U110" s="1068"/>
      <c r="V110" s="1068"/>
      <c r="W110" s="1069"/>
      <c r="Y110" s="256"/>
      <c r="Z110" s="257"/>
    </row>
    <row r="111" spans="5:26" ht="15" customHeight="1">
      <c r="E111" s="248">
        <v>16</v>
      </c>
      <c r="F111" s="249" t="s">
        <v>132</v>
      </c>
      <c r="G111" s="250"/>
      <c r="H111" s="251" t="s">
        <v>92</v>
      </c>
      <c r="I111" s="252">
        <f t="shared" si="12"/>
        <v>34.14</v>
      </c>
      <c r="J111" s="267">
        <f>HSP!J154</f>
        <v>178223</v>
      </c>
      <c r="K111" s="259">
        <f t="shared" si="13"/>
        <v>6084533.2199999997</v>
      </c>
      <c r="L111" s="260">
        <f t="shared" si="14"/>
        <v>2.033464150032529</v>
      </c>
      <c r="M111" s="1074"/>
      <c r="N111" s="1068"/>
      <c r="O111" s="1071">
        <f>$L$111/2</f>
        <v>1.0167320750162645</v>
      </c>
      <c r="P111" s="1071">
        <f>$L$111/2</f>
        <v>1.0167320750162645</v>
      </c>
      <c r="Q111" s="1068"/>
      <c r="R111" s="1068"/>
      <c r="S111" s="1068"/>
      <c r="T111" s="1068"/>
      <c r="U111" s="1068"/>
      <c r="V111" s="1068"/>
      <c r="W111" s="1069"/>
      <c r="Y111" s="256"/>
      <c r="Z111" s="257"/>
    </row>
    <row r="112" spans="5:26" ht="15" customHeight="1">
      <c r="E112" s="248"/>
      <c r="F112" s="249"/>
      <c r="G112" s="250"/>
      <c r="H112" s="251"/>
      <c r="I112" s="252"/>
      <c r="J112" s="261" t="s">
        <v>152</v>
      </c>
      <c r="K112" s="262">
        <f>SUM(K96:K111)</f>
        <v>29017310.9485</v>
      </c>
      <c r="L112" s="263">
        <f>SUM(L96:L111)</f>
        <v>9.6976480217361942</v>
      </c>
      <c r="M112" s="1074"/>
      <c r="N112" s="1068"/>
      <c r="O112" s="1068"/>
      <c r="P112" s="1068"/>
      <c r="Q112" s="1068"/>
      <c r="R112" s="1068"/>
      <c r="S112" s="1068"/>
      <c r="T112" s="1068"/>
      <c r="U112" s="1068"/>
      <c r="V112" s="1068"/>
      <c r="W112" s="1069"/>
      <c r="Y112" s="256"/>
      <c r="Z112" s="257"/>
    </row>
    <row r="113" spans="5:26" ht="15" customHeight="1">
      <c r="E113" s="264" t="s">
        <v>133</v>
      </c>
      <c r="F113" s="265" t="s">
        <v>134</v>
      </c>
      <c r="G113" s="266"/>
      <c r="H113" s="251"/>
      <c r="I113" s="252"/>
      <c r="J113" s="252"/>
      <c r="K113" s="249"/>
      <c r="L113" s="255"/>
      <c r="M113" s="1074"/>
      <c r="N113" s="1068"/>
      <c r="O113" s="1068"/>
      <c r="P113" s="1068"/>
      <c r="Q113" s="1068"/>
      <c r="R113" s="1068"/>
      <c r="S113" s="1068"/>
      <c r="T113" s="1068"/>
      <c r="U113" s="1068"/>
      <c r="V113" s="1068"/>
      <c r="W113" s="1069"/>
      <c r="Y113" s="256"/>
      <c r="Z113" s="257"/>
    </row>
    <row r="114" spans="5:26" ht="15" customHeight="1">
      <c r="E114" s="248">
        <v>1</v>
      </c>
      <c r="F114" s="249" t="s">
        <v>135</v>
      </c>
      <c r="G114" s="250"/>
      <c r="H114" s="251" t="s">
        <v>614</v>
      </c>
      <c r="I114" s="252">
        <f>I7</f>
        <v>200</v>
      </c>
      <c r="J114" s="267">
        <f>J7/3</f>
        <v>7700</v>
      </c>
      <c r="K114" s="259">
        <f>I114*J114</f>
        <v>1540000</v>
      </c>
      <c r="L114" s="260">
        <f>K114/$K$116*100</f>
        <v>0.51467132774567947</v>
      </c>
      <c r="M114" s="1074"/>
      <c r="N114" s="1068"/>
      <c r="O114" s="1068"/>
      <c r="P114" s="1068"/>
      <c r="Q114" s="1068"/>
      <c r="R114" s="1068"/>
      <c r="S114" s="1068"/>
      <c r="T114" s="1068"/>
      <c r="U114" s="1068"/>
      <c r="V114" s="1068"/>
      <c r="W114" s="1077">
        <f>L114</f>
        <v>0.51467132774567947</v>
      </c>
      <c r="Y114" s="256"/>
      <c r="Z114" s="257"/>
    </row>
    <row r="115" spans="5:26" ht="15" customHeight="1">
      <c r="E115" s="270"/>
      <c r="F115" s="271"/>
      <c r="G115" s="272"/>
      <c r="H115" s="273"/>
      <c r="I115" s="258"/>
      <c r="J115" s="274" t="s">
        <v>153</v>
      </c>
      <c r="K115" s="275">
        <f>SUM(K114)</f>
        <v>1540000</v>
      </c>
      <c r="L115" s="276">
        <f>SUM(L114)</f>
        <v>0.51467132774567947</v>
      </c>
      <c r="M115" s="1079"/>
      <c r="N115" s="1080"/>
      <c r="O115" s="1080"/>
      <c r="P115" s="1080"/>
      <c r="Q115" s="1080"/>
      <c r="R115" s="1080"/>
      <c r="S115" s="1080"/>
      <c r="T115" s="1080"/>
      <c r="U115" s="1080"/>
      <c r="V115" s="1080"/>
      <c r="W115" s="1081"/>
      <c r="Y115" s="256"/>
      <c r="Z115" s="257"/>
    </row>
    <row r="116" spans="5:26" ht="15" customHeight="1">
      <c r="E116" s="1173" t="s">
        <v>1724</v>
      </c>
      <c r="F116" s="1174"/>
      <c r="G116" s="228" t="s">
        <v>1723</v>
      </c>
      <c r="H116" s="228"/>
      <c r="I116" s="238"/>
      <c r="J116" s="277" t="s">
        <v>1715</v>
      </c>
      <c r="K116" s="278">
        <f>K11+K17+K24+K46+K54+K61+K65+K74+K88+K94+K112+K115</f>
        <v>299220088.04053253</v>
      </c>
      <c r="L116" s="279">
        <f>L11+L17+L24+L46+L54+L61+L65+L74+L88+L94+L112+L115</f>
        <v>100.00000000000001</v>
      </c>
      <c r="M116" s="280">
        <f>SUM(M6:M115)</f>
        <v>4.5852319922812663</v>
      </c>
      <c r="N116" s="281">
        <f t="shared" ref="N116:W116" si="15">SUM(N6:N115)</f>
        <v>6.925798546809685</v>
      </c>
      <c r="O116" s="281">
        <f t="shared" si="15"/>
        <v>12.8591885184579</v>
      </c>
      <c r="P116" s="281">
        <f t="shared" si="15"/>
        <v>12.155650317006526</v>
      </c>
      <c r="Q116" s="281">
        <f t="shared" si="15"/>
        <v>7.57540482339778</v>
      </c>
      <c r="R116" s="281">
        <f t="shared" si="15"/>
        <v>11.920469004249291</v>
      </c>
      <c r="S116" s="281">
        <f t="shared" si="15"/>
        <v>12.612467356056015</v>
      </c>
      <c r="T116" s="281">
        <f t="shared" si="15"/>
        <v>9.9580129091662979</v>
      </c>
      <c r="U116" s="281">
        <f t="shared" si="15"/>
        <v>12.576233328593412</v>
      </c>
      <c r="V116" s="281">
        <f t="shared" si="15"/>
        <v>5.9116075213377339</v>
      </c>
      <c r="W116" s="282">
        <f t="shared" si="15"/>
        <v>2.3469303757731232</v>
      </c>
    </row>
    <row r="117" spans="5:26" ht="15" customHeight="1" thickBot="1">
      <c r="E117" s="1175"/>
      <c r="F117" s="1176"/>
      <c r="G117" s="229" t="s">
        <v>2068</v>
      </c>
      <c r="H117" s="229"/>
      <c r="I117" s="283"/>
      <c r="J117" s="283"/>
      <c r="K117" s="283"/>
      <c r="L117" s="284">
        <v>0</v>
      </c>
      <c r="M117" s="285">
        <f>M116*100%</f>
        <v>4.5852319922812663</v>
      </c>
      <c r="N117" s="286">
        <f>M117+N116</f>
        <v>11.511030539090951</v>
      </c>
      <c r="O117" s="286">
        <f t="shared" ref="O117:W117" si="16">N117+O116</f>
        <v>24.370219057548852</v>
      </c>
      <c r="P117" s="286">
        <f t="shared" si="16"/>
        <v>36.525869374555377</v>
      </c>
      <c r="Q117" s="286">
        <f t="shared" si="16"/>
        <v>44.10127419795316</v>
      </c>
      <c r="R117" s="286">
        <f t="shared" si="16"/>
        <v>56.021743202202451</v>
      </c>
      <c r="S117" s="286">
        <f t="shared" si="16"/>
        <v>68.634210558258474</v>
      </c>
      <c r="T117" s="286">
        <f t="shared" si="16"/>
        <v>78.592223467424773</v>
      </c>
      <c r="U117" s="286">
        <f t="shared" si="16"/>
        <v>91.168456796018191</v>
      </c>
      <c r="V117" s="286">
        <f t="shared" si="16"/>
        <v>97.080064317355919</v>
      </c>
      <c r="W117" s="287">
        <f t="shared" si="16"/>
        <v>99.426994693129046</v>
      </c>
    </row>
    <row r="118" spans="5:26" ht="15" customHeight="1" thickTop="1">
      <c r="W118" s="288"/>
    </row>
  </sheetData>
  <mergeCells count="11">
    <mergeCell ref="A35:C35"/>
    <mergeCell ref="E116:F117"/>
    <mergeCell ref="M4:P4"/>
    <mergeCell ref="Q4:T4"/>
    <mergeCell ref="U4:W4"/>
    <mergeCell ref="L4:L5"/>
    <mergeCell ref="E4:E5"/>
    <mergeCell ref="H4:H5"/>
    <mergeCell ref="I4:I5"/>
    <mergeCell ref="J4:K4"/>
    <mergeCell ref="F4:G5"/>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DF400-AEAF-46C4-AE8A-25A5F2F8AFD5}">
  <sheetPr codeName="Sheet11"/>
  <dimension ref="A1:M63"/>
  <sheetViews>
    <sheetView showGridLines="0" showRowColHeaders="0" zoomScale="75" zoomScaleNormal="75" workbookViewId="0">
      <pane xSplit="3" ySplit="4" topLeftCell="D5" activePane="bottomRight" state="frozen"/>
      <selection pane="topRight" activeCell="D1" sqref="D1"/>
      <selection pane="bottomLeft" activeCell="A5" sqref="A5"/>
      <selection pane="bottomRight" activeCell="E2" sqref="E2"/>
    </sheetView>
  </sheetViews>
  <sheetFormatPr defaultColWidth="9.21875" defaultRowHeight="15" customHeight="1"/>
  <cols>
    <col min="1" max="3" width="10.77734375" style="671" customWidth="1"/>
    <col min="4" max="4" width="3.77734375" style="691" customWidth="1"/>
    <col min="5" max="5" width="6.21875" style="697" customWidth="1"/>
    <col min="6" max="6" width="16" style="697" customWidth="1"/>
    <col min="7" max="7" width="2.77734375" style="697" customWidth="1"/>
    <col min="8" max="8" width="55.21875" style="697" customWidth="1"/>
    <col min="9" max="9" width="8.44140625" style="751" customWidth="1"/>
    <col min="10" max="10" width="14.77734375" style="752" customWidth="1"/>
    <col min="11" max="11" width="22.21875" style="706" customWidth="1"/>
    <col min="12" max="12" width="25.44140625" style="697" customWidth="1"/>
    <col min="13" max="13" width="12.44140625" style="696" customWidth="1"/>
    <col min="14" max="16384" width="9.21875" style="697"/>
  </cols>
  <sheetData>
    <row r="1" spans="1:13" s="671" customFormat="1" ht="15" customHeight="1">
      <c r="D1" s="672"/>
      <c r="E1" s="673"/>
      <c r="F1" s="674"/>
      <c r="G1" s="675"/>
      <c r="H1" s="673"/>
      <c r="I1" s="676"/>
      <c r="J1" s="677"/>
      <c r="K1" s="678"/>
      <c r="L1" s="678"/>
      <c r="M1" s="679"/>
    </row>
    <row r="2" spans="1:13" s="671" customFormat="1" ht="15" customHeight="1">
      <c r="D2" s="672"/>
      <c r="E2" s="937" t="s">
        <v>2396</v>
      </c>
      <c r="F2" s="674"/>
      <c r="G2" s="675"/>
      <c r="H2" s="673"/>
      <c r="I2" s="676"/>
      <c r="J2" s="677"/>
      <c r="K2" s="939"/>
      <c r="L2" s="678"/>
      <c r="M2" s="679"/>
    </row>
    <row r="3" spans="1:13" s="671" customFormat="1" ht="15" customHeight="1">
      <c r="A3" s="680"/>
      <c r="B3" s="680"/>
      <c r="C3" s="680"/>
      <c r="D3" s="672"/>
      <c r="E3" s="681"/>
      <c r="F3" s="682"/>
      <c r="G3" s="683"/>
      <c r="H3" s="681"/>
      <c r="I3" s="684"/>
      <c r="J3" s="685"/>
      <c r="K3" s="686"/>
      <c r="L3" s="687"/>
      <c r="M3" s="679"/>
    </row>
    <row r="4" spans="1:13" s="689" customFormat="1" ht="15" customHeight="1">
      <c r="A4" s="688"/>
      <c r="B4" s="688"/>
      <c r="C4" s="688"/>
      <c r="E4" s="918" t="s">
        <v>1620</v>
      </c>
      <c r="F4" s="919" t="s">
        <v>2323</v>
      </c>
      <c r="G4" s="920"/>
      <c r="H4" s="920"/>
      <c r="I4" s="921" t="s">
        <v>138</v>
      </c>
      <c r="J4" s="922" t="s">
        <v>2324</v>
      </c>
      <c r="K4" s="923" t="s">
        <v>2095</v>
      </c>
      <c r="L4" s="924" t="s">
        <v>2325</v>
      </c>
      <c r="M4" s="690"/>
    </row>
    <row r="5" spans="1:13" ht="15" customHeight="1">
      <c r="E5" s="692">
        <v>1</v>
      </c>
      <c r="F5" s="1191">
        <v>2</v>
      </c>
      <c r="G5" s="1192"/>
      <c r="H5" s="1192"/>
      <c r="I5" s="692">
        <v>4</v>
      </c>
      <c r="J5" s="693">
        <v>5</v>
      </c>
      <c r="K5" s="694">
        <v>6</v>
      </c>
      <c r="L5" s="695">
        <v>7</v>
      </c>
    </row>
    <row r="6" spans="1:13" ht="15" customHeight="1">
      <c r="D6" s="698"/>
      <c r="E6" s="699" t="s">
        <v>3</v>
      </c>
      <c r="F6" s="700" t="s">
        <v>2326</v>
      </c>
      <c r="G6" s="701"/>
      <c r="H6" s="701"/>
      <c r="I6" s="702"/>
      <c r="J6" s="703"/>
      <c r="K6" s="704"/>
      <c r="L6" s="705"/>
      <c r="M6" s="706"/>
    </row>
    <row r="7" spans="1:13" ht="15" customHeight="1">
      <c r="E7" s="707">
        <v>1</v>
      </c>
      <c r="F7" s="708" t="s">
        <v>2327</v>
      </c>
      <c r="G7" s="709"/>
      <c r="H7" s="709"/>
      <c r="I7" s="710" t="s">
        <v>1204</v>
      </c>
      <c r="J7" s="711"/>
      <c r="K7" s="712"/>
      <c r="L7" s="713" t="str">
        <f>IF(J7="","",J7*K7)</f>
        <v/>
      </c>
      <c r="M7" s="706"/>
    </row>
    <row r="8" spans="1:13" ht="15" customHeight="1">
      <c r="E8" s="707">
        <f>E7+1</f>
        <v>2</v>
      </c>
      <c r="F8" s="708" t="s">
        <v>2328</v>
      </c>
      <c r="G8" s="709"/>
      <c r="H8" s="709"/>
      <c r="I8" s="710" t="s">
        <v>1204</v>
      </c>
      <c r="J8" s="711"/>
      <c r="K8" s="712"/>
      <c r="L8" s="713" t="str">
        <f>IF(J8="","",J8*K8)</f>
        <v/>
      </c>
      <c r="M8" s="706"/>
    </row>
    <row r="9" spans="1:13" ht="15" customHeight="1">
      <c r="E9" s="707">
        <f>E8+1</f>
        <v>3</v>
      </c>
      <c r="F9" s="708" t="s">
        <v>2329</v>
      </c>
      <c r="G9" s="709"/>
      <c r="H9" s="709"/>
      <c r="I9" s="710" t="s">
        <v>1204</v>
      </c>
      <c r="J9" s="711"/>
      <c r="K9" s="712"/>
      <c r="L9" s="713" t="str">
        <f>IF(J9="","",J9*K9)</f>
        <v/>
      </c>
      <c r="M9" s="706"/>
    </row>
    <row r="10" spans="1:13" s="722" customFormat="1" ht="15" customHeight="1">
      <c r="A10" s="714"/>
      <c r="B10" s="714"/>
      <c r="C10" s="714"/>
      <c r="D10" s="691"/>
      <c r="E10" s="715"/>
      <c r="F10" s="716"/>
      <c r="G10" s="717"/>
      <c r="H10" s="717"/>
      <c r="I10" s="710" t="s">
        <v>2111</v>
      </c>
      <c r="J10" s="718"/>
      <c r="K10" s="719" t="s">
        <v>2330</v>
      </c>
      <c r="L10" s="720">
        <f>SUM(L7:L9)</f>
        <v>0</v>
      </c>
      <c r="M10" s="721"/>
    </row>
    <row r="11" spans="1:13" ht="15" customHeight="1">
      <c r="E11" s="699" t="s">
        <v>11</v>
      </c>
      <c r="F11" s="700" t="s">
        <v>2331</v>
      </c>
      <c r="G11" s="723"/>
      <c r="H11" s="723"/>
      <c r="I11" s="724" t="s">
        <v>2111</v>
      </c>
      <c r="J11" s="703"/>
      <c r="K11" s="704"/>
      <c r="L11" s="705"/>
      <c r="M11" s="706"/>
    </row>
    <row r="12" spans="1:13" ht="15" customHeight="1">
      <c r="E12" s="707">
        <v>1</v>
      </c>
      <c r="F12" s="708" t="s">
        <v>2332</v>
      </c>
      <c r="G12" s="725"/>
      <c r="H12" s="725"/>
      <c r="I12" s="707" t="s">
        <v>2333</v>
      </c>
      <c r="J12" s="711"/>
      <c r="K12" s="726"/>
      <c r="L12" s="713" t="str">
        <f t="shared" ref="L12:L20" si="0">IF(J12="","",J12*K12)</f>
        <v/>
      </c>
      <c r="M12" s="706"/>
    </row>
    <row r="13" spans="1:13" ht="15" customHeight="1">
      <c r="E13" s="707">
        <v>2</v>
      </c>
      <c r="F13" s="708" t="s">
        <v>2334</v>
      </c>
      <c r="G13" s="725"/>
      <c r="H13" s="725"/>
      <c r="I13" s="707" t="s">
        <v>2333</v>
      </c>
      <c r="J13" s="711"/>
      <c r="K13" s="726"/>
      <c r="L13" s="713" t="str">
        <f t="shared" si="0"/>
        <v/>
      </c>
      <c r="M13" s="706"/>
    </row>
    <row r="14" spans="1:13" ht="15" customHeight="1">
      <c r="E14" s="707">
        <v>3</v>
      </c>
      <c r="F14" s="708" t="s">
        <v>2335</v>
      </c>
      <c r="G14" s="725"/>
      <c r="H14" s="725"/>
      <c r="I14" s="707" t="s">
        <v>2333</v>
      </c>
      <c r="J14" s="711"/>
      <c r="K14" s="726"/>
      <c r="L14" s="713" t="str">
        <f t="shared" si="0"/>
        <v/>
      </c>
      <c r="M14" s="706"/>
    </row>
    <row r="15" spans="1:13" ht="15" customHeight="1">
      <c r="E15" s="707">
        <v>4</v>
      </c>
      <c r="F15" s="708" t="s">
        <v>2336</v>
      </c>
      <c r="G15" s="725"/>
      <c r="H15" s="725"/>
      <c r="I15" s="707"/>
      <c r="J15" s="711"/>
      <c r="K15" s="726"/>
      <c r="L15" s="713" t="str">
        <f t="shared" si="0"/>
        <v/>
      </c>
      <c r="M15" s="706"/>
    </row>
    <row r="16" spans="1:13" ht="15" customHeight="1">
      <c r="E16" s="727" t="s">
        <v>46</v>
      </c>
      <c r="F16" s="708" t="s">
        <v>2337</v>
      </c>
      <c r="G16" s="725"/>
      <c r="H16" s="725"/>
      <c r="I16" s="707" t="s">
        <v>2333</v>
      </c>
      <c r="J16" s="711"/>
      <c r="K16" s="726"/>
      <c r="L16" s="713" t="str">
        <f t="shared" si="0"/>
        <v/>
      </c>
      <c r="M16" s="706"/>
    </row>
    <row r="17" spans="1:13" ht="15" customHeight="1">
      <c r="E17" s="707">
        <v>5</v>
      </c>
      <c r="F17" s="708" t="s">
        <v>2338</v>
      </c>
      <c r="G17" s="725"/>
      <c r="H17" s="725"/>
      <c r="I17" s="707" t="s">
        <v>2333</v>
      </c>
      <c r="J17" s="711"/>
      <c r="K17" s="726"/>
      <c r="L17" s="713" t="str">
        <f t="shared" si="0"/>
        <v/>
      </c>
      <c r="M17" s="706"/>
    </row>
    <row r="18" spans="1:13" ht="15" customHeight="1">
      <c r="E18" s="707">
        <f>E17+1</f>
        <v>6</v>
      </c>
      <c r="F18" s="708" t="s">
        <v>2339</v>
      </c>
      <c r="G18" s="725"/>
      <c r="H18" s="725"/>
      <c r="I18" s="707" t="s">
        <v>2340</v>
      </c>
      <c r="J18" s="711"/>
      <c r="K18" s="726"/>
      <c r="L18" s="713" t="str">
        <f t="shared" si="0"/>
        <v/>
      </c>
      <c r="M18" s="706"/>
    </row>
    <row r="19" spans="1:13" ht="15" customHeight="1">
      <c r="E19" s="707">
        <f>E18+1</f>
        <v>7</v>
      </c>
      <c r="F19" s="708" t="s">
        <v>2341</v>
      </c>
      <c r="G19" s="725"/>
      <c r="H19" s="725"/>
      <c r="I19" s="707" t="s">
        <v>2340</v>
      </c>
      <c r="J19" s="711"/>
      <c r="K19" s="726"/>
      <c r="L19" s="713" t="str">
        <f t="shared" si="0"/>
        <v/>
      </c>
      <c r="M19" s="706"/>
    </row>
    <row r="20" spans="1:13" ht="15" customHeight="1">
      <c r="E20" s="707">
        <f>E19+1</f>
        <v>8</v>
      </c>
      <c r="F20" s="708" t="s">
        <v>2342</v>
      </c>
      <c r="G20" s="725"/>
      <c r="H20" s="725"/>
      <c r="I20" s="707" t="s">
        <v>36</v>
      </c>
      <c r="J20" s="711"/>
      <c r="K20" s="726"/>
      <c r="L20" s="713" t="str">
        <f t="shared" si="0"/>
        <v/>
      </c>
      <c r="M20" s="706"/>
    </row>
    <row r="21" spans="1:13" s="722" customFormat="1" ht="15" customHeight="1">
      <c r="A21" s="714"/>
      <c r="B21" s="714"/>
      <c r="C21" s="714"/>
      <c r="D21" s="691"/>
      <c r="E21" s="715"/>
      <c r="F21" s="728"/>
      <c r="G21" s="717"/>
      <c r="H21" s="717"/>
      <c r="I21" s="710" t="s">
        <v>2111</v>
      </c>
      <c r="J21" s="711"/>
      <c r="K21" s="719" t="s">
        <v>2330</v>
      </c>
      <c r="L21" s="720">
        <f>SUM(L12:L20)</f>
        <v>0</v>
      </c>
      <c r="M21" s="721"/>
    </row>
    <row r="22" spans="1:13" ht="15" customHeight="1">
      <c r="E22" s="699" t="s">
        <v>16</v>
      </c>
      <c r="F22" s="700" t="s">
        <v>2343</v>
      </c>
      <c r="G22" s="723"/>
      <c r="H22" s="723"/>
      <c r="I22" s="724" t="s">
        <v>2111</v>
      </c>
      <c r="J22" s="729"/>
      <c r="K22" s="704"/>
      <c r="L22" s="705"/>
      <c r="M22" s="730"/>
    </row>
    <row r="23" spans="1:13" ht="15" customHeight="1">
      <c r="E23" s="707">
        <v>1</v>
      </c>
      <c r="F23" s="708" t="s">
        <v>2344</v>
      </c>
      <c r="G23" s="725"/>
      <c r="H23" s="725"/>
      <c r="I23" s="710"/>
      <c r="J23" s="711"/>
      <c r="K23" s="712"/>
      <c r="L23" s="713" t="str">
        <f t="shared" ref="L23:L31" si="1">IF(J23="","",J23*K23)</f>
        <v/>
      </c>
      <c r="M23" s="730"/>
    </row>
    <row r="24" spans="1:13" ht="15" customHeight="1">
      <c r="E24" s="731"/>
      <c r="F24" s="708" t="s">
        <v>2345</v>
      </c>
      <c r="G24" s="725"/>
      <c r="H24" s="725"/>
      <c r="I24" s="710" t="s">
        <v>2346</v>
      </c>
      <c r="J24" s="711"/>
      <c r="K24" s="712"/>
      <c r="L24" s="713" t="str">
        <f t="shared" si="1"/>
        <v/>
      </c>
      <c r="M24" s="730"/>
    </row>
    <row r="25" spans="1:13" ht="15" customHeight="1">
      <c r="E25" s="731"/>
      <c r="F25" s="708" t="s">
        <v>2347</v>
      </c>
      <c r="G25" s="725"/>
      <c r="H25" s="725"/>
      <c r="I25" s="710" t="s">
        <v>1204</v>
      </c>
      <c r="J25" s="711"/>
      <c r="K25" s="712"/>
      <c r="L25" s="713" t="str">
        <f t="shared" si="1"/>
        <v/>
      </c>
      <c r="M25" s="730"/>
    </row>
    <row r="26" spans="1:13" ht="15" customHeight="1">
      <c r="E26" s="732">
        <v>2</v>
      </c>
      <c r="F26" s="708" t="s">
        <v>2348</v>
      </c>
      <c r="G26" s="725"/>
      <c r="H26" s="725"/>
      <c r="I26" s="710"/>
      <c r="J26" s="711"/>
      <c r="K26" s="712"/>
      <c r="L26" s="713" t="str">
        <f t="shared" si="1"/>
        <v/>
      </c>
      <c r="M26" s="730"/>
    </row>
    <row r="27" spans="1:13" ht="15" customHeight="1">
      <c r="E27" s="732"/>
      <c r="F27" s="708" t="s">
        <v>2349</v>
      </c>
      <c r="G27" s="725"/>
      <c r="H27" s="725"/>
      <c r="I27" s="710" t="s">
        <v>36</v>
      </c>
      <c r="J27" s="711">
        <v>5</v>
      </c>
      <c r="K27" s="712">
        <v>25000</v>
      </c>
      <c r="L27" s="713">
        <f t="shared" si="1"/>
        <v>125000</v>
      </c>
      <c r="M27" s="730"/>
    </row>
    <row r="28" spans="1:13" ht="15" customHeight="1">
      <c r="E28" s="727"/>
      <c r="F28" s="708" t="s">
        <v>2350</v>
      </c>
      <c r="G28" s="725"/>
      <c r="H28" s="725"/>
      <c r="I28" s="710" t="s">
        <v>2351</v>
      </c>
      <c r="J28" s="711">
        <v>3</v>
      </c>
      <c r="K28" s="712">
        <v>45000</v>
      </c>
      <c r="L28" s="713">
        <f t="shared" si="1"/>
        <v>135000</v>
      </c>
      <c r="M28" s="730"/>
    </row>
    <row r="29" spans="1:13" ht="15" customHeight="1">
      <c r="E29" s="733"/>
      <c r="F29" s="708" t="s">
        <v>2352</v>
      </c>
      <c r="G29" s="725"/>
      <c r="H29" s="725"/>
      <c r="I29" s="710" t="s">
        <v>2351</v>
      </c>
      <c r="J29" s="711">
        <v>20</v>
      </c>
      <c r="K29" s="712">
        <v>10000</v>
      </c>
      <c r="L29" s="713">
        <f>IF(J29="","",J29*K29)</f>
        <v>200000</v>
      </c>
      <c r="M29" s="730"/>
    </row>
    <row r="30" spans="1:13" ht="15" customHeight="1">
      <c r="E30" s="727"/>
      <c r="F30" s="708" t="s">
        <v>2353</v>
      </c>
      <c r="G30" s="725"/>
      <c r="H30" s="725"/>
      <c r="I30" s="710" t="s">
        <v>2351</v>
      </c>
      <c r="J30" s="711">
        <v>8</v>
      </c>
      <c r="K30" s="712">
        <v>220000</v>
      </c>
      <c r="L30" s="713">
        <f t="shared" si="1"/>
        <v>1760000</v>
      </c>
      <c r="M30" s="730"/>
    </row>
    <row r="31" spans="1:13" ht="15" customHeight="1">
      <c r="E31" s="727"/>
      <c r="F31" s="708" t="s">
        <v>2354</v>
      </c>
      <c r="G31" s="725"/>
      <c r="H31" s="725"/>
      <c r="I31" s="710" t="s">
        <v>36</v>
      </c>
      <c r="J31" s="711">
        <v>20</v>
      </c>
      <c r="K31" s="712">
        <v>7500</v>
      </c>
      <c r="L31" s="713">
        <f t="shared" si="1"/>
        <v>150000</v>
      </c>
      <c r="M31" s="730"/>
    </row>
    <row r="32" spans="1:13" s="722" customFormat="1" ht="15" customHeight="1">
      <c r="A32" s="714"/>
      <c r="B32" s="714"/>
      <c r="C32" s="714"/>
      <c r="D32" s="691"/>
      <c r="E32" s="715"/>
      <c r="F32" s="716"/>
      <c r="G32" s="717"/>
      <c r="H32" s="717"/>
      <c r="I32" s="710" t="s">
        <v>2111</v>
      </c>
      <c r="J32" s="711"/>
      <c r="K32" s="719" t="s">
        <v>2330</v>
      </c>
      <c r="L32" s="720">
        <f>SUM(L23:L31)</f>
        <v>2370000</v>
      </c>
      <c r="M32" s="721"/>
    </row>
    <row r="33" spans="1:13" ht="15" customHeight="1">
      <c r="E33" s="699" t="s">
        <v>27</v>
      </c>
      <c r="F33" s="700" t="s">
        <v>2355</v>
      </c>
      <c r="G33" s="701"/>
      <c r="H33" s="734"/>
      <c r="I33" s="724"/>
      <c r="J33" s="729"/>
      <c r="K33" s="724"/>
      <c r="L33" s="705"/>
      <c r="M33" s="706"/>
    </row>
    <row r="34" spans="1:13" ht="15" customHeight="1">
      <c r="E34" s="715"/>
      <c r="F34" s="708" t="s">
        <v>2356</v>
      </c>
      <c r="G34" s="725"/>
      <c r="H34" s="725"/>
      <c r="I34" s="710"/>
      <c r="J34" s="711"/>
      <c r="K34" s="712"/>
      <c r="L34" s="713"/>
      <c r="M34" s="706"/>
    </row>
    <row r="35" spans="1:13" ht="15" customHeight="1">
      <c r="A35" s="1096" t="s">
        <v>2381</v>
      </c>
      <c r="B35" s="1096"/>
      <c r="C35" s="1096"/>
      <c r="E35" s="732"/>
      <c r="F35" s="708"/>
      <c r="G35" s="709"/>
      <c r="H35" s="709"/>
      <c r="I35" s="710"/>
      <c r="J35" s="711"/>
      <c r="K35" s="719" t="s">
        <v>2330</v>
      </c>
      <c r="L35" s="720">
        <f>SUM(L34)</f>
        <v>0</v>
      </c>
      <c r="M35" s="706"/>
    </row>
    <row r="36" spans="1:13" ht="15" customHeight="1">
      <c r="E36" s="699" t="s">
        <v>50</v>
      </c>
      <c r="F36" s="700" t="s">
        <v>2357</v>
      </c>
      <c r="G36" s="735"/>
      <c r="H36" s="735"/>
      <c r="I36" s="724"/>
      <c r="J36" s="729"/>
      <c r="K36" s="724"/>
      <c r="L36" s="736"/>
    </row>
    <row r="37" spans="1:13" ht="15" customHeight="1">
      <c r="E37" s="737">
        <v>1</v>
      </c>
      <c r="F37" s="708" t="s">
        <v>2358</v>
      </c>
      <c r="G37" s="738"/>
      <c r="H37" s="738"/>
      <c r="I37" s="710" t="s">
        <v>2359</v>
      </c>
      <c r="J37" s="711"/>
      <c r="K37" s="712"/>
      <c r="L37" s="713" t="str">
        <f>IF(J37="","",J37*K37)</f>
        <v/>
      </c>
    </row>
    <row r="38" spans="1:13" ht="15" customHeight="1">
      <c r="E38" s="737"/>
      <c r="F38" s="708"/>
      <c r="G38" s="739"/>
      <c r="H38" s="739"/>
      <c r="I38" s="710"/>
      <c r="J38" s="711"/>
      <c r="K38" s="719" t="s">
        <v>2330</v>
      </c>
      <c r="L38" s="720">
        <f>SUM(L37)</f>
        <v>0</v>
      </c>
    </row>
    <row r="39" spans="1:13" ht="15" customHeight="1">
      <c r="E39" s="699" t="s">
        <v>55</v>
      </c>
      <c r="F39" s="700" t="s">
        <v>2360</v>
      </c>
      <c r="G39" s="735"/>
      <c r="H39" s="735"/>
      <c r="I39" s="724"/>
      <c r="J39" s="729"/>
      <c r="K39" s="704"/>
      <c r="L39" s="736"/>
    </row>
    <row r="40" spans="1:13" ht="15" customHeight="1">
      <c r="E40" s="737">
        <v>1</v>
      </c>
      <c r="F40" s="708" t="s">
        <v>2361</v>
      </c>
      <c r="G40" s="739"/>
      <c r="H40" s="739"/>
      <c r="I40" s="710" t="s">
        <v>1204</v>
      </c>
      <c r="J40" s="711">
        <v>1</v>
      </c>
      <c r="K40" s="712">
        <v>350000</v>
      </c>
      <c r="L40" s="713">
        <f>IF(J40="","",J40*K40)</f>
        <v>350000</v>
      </c>
    </row>
    <row r="41" spans="1:13" ht="15" customHeight="1">
      <c r="E41" s="737"/>
      <c r="F41" s="708"/>
      <c r="G41" s="739"/>
      <c r="H41" s="739"/>
      <c r="I41" s="710"/>
      <c r="J41" s="711"/>
      <c r="K41" s="719" t="s">
        <v>2330</v>
      </c>
      <c r="L41" s="720">
        <f>SUM(L40)</f>
        <v>350000</v>
      </c>
    </row>
    <row r="42" spans="1:13" ht="15" customHeight="1">
      <c r="E42" s="699" t="s">
        <v>62</v>
      </c>
      <c r="F42" s="700" t="s">
        <v>2362</v>
      </c>
      <c r="G42" s="740"/>
      <c r="H42" s="740"/>
      <c r="I42" s="724"/>
      <c r="J42" s="729"/>
      <c r="K42" s="704"/>
      <c r="L42" s="736"/>
    </row>
    <row r="43" spans="1:13" ht="15" customHeight="1">
      <c r="E43" s="707">
        <v>1</v>
      </c>
      <c r="F43" s="708" t="s">
        <v>2363</v>
      </c>
      <c r="G43" s="739"/>
      <c r="H43" s="739"/>
      <c r="I43" s="707" t="s">
        <v>36</v>
      </c>
      <c r="J43" s="711"/>
      <c r="K43" s="726"/>
      <c r="L43" s="713" t="str">
        <f t="shared" ref="L43:L52" si="2">IF(J43="","",J43*K43)</f>
        <v/>
      </c>
    </row>
    <row r="44" spans="1:13" ht="15" customHeight="1">
      <c r="E44" s="707">
        <f>E43+1</f>
        <v>2</v>
      </c>
      <c r="F44" s="708" t="s">
        <v>2364</v>
      </c>
      <c r="G44" s="739"/>
      <c r="H44" s="739"/>
      <c r="I44" s="707" t="s">
        <v>36</v>
      </c>
      <c r="J44" s="711">
        <v>1</v>
      </c>
      <c r="K44" s="726">
        <v>250000</v>
      </c>
      <c r="L44" s="713">
        <f t="shared" si="2"/>
        <v>250000</v>
      </c>
    </row>
    <row r="45" spans="1:13" ht="15" customHeight="1">
      <c r="E45" s="707">
        <f t="shared" ref="E45:E52" si="3">E44+1</f>
        <v>3</v>
      </c>
      <c r="F45" s="708" t="s">
        <v>2365</v>
      </c>
      <c r="G45" s="739"/>
      <c r="H45" s="739"/>
      <c r="I45" s="707" t="s">
        <v>36</v>
      </c>
      <c r="J45" s="711">
        <v>1</v>
      </c>
      <c r="K45" s="726">
        <v>250000</v>
      </c>
      <c r="L45" s="713">
        <f t="shared" si="2"/>
        <v>250000</v>
      </c>
    </row>
    <row r="46" spans="1:13" ht="15" customHeight="1">
      <c r="E46" s="707">
        <f t="shared" si="3"/>
        <v>4</v>
      </c>
      <c r="F46" s="708" t="s">
        <v>2366</v>
      </c>
      <c r="G46" s="739"/>
      <c r="H46" s="739"/>
      <c r="I46" s="707" t="s">
        <v>36</v>
      </c>
      <c r="J46" s="711"/>
      <c r="K46" s="726"/>
      <c r="L46" s="713" t="str">
        <f t="shared" si="2"/>
        <v/>
      </c>
    </row>
    <row r="47" spans="1:13" ht="15" customHeight="1">
      <c r="E47" s="707">
        <f t="shared" si="3"/>
        <v>5</v>
      </c>
      <c r="F47" s="708" t="s">
        <v>2367</v>
      </c>
      <c r="G47" s="739"/>
      <c r="H47" s="739"/>
      <c r="I47" s="707" t="s">
        <v>36</v>
      </c>
      <c r="J47" s="711"/>
      <c r="K47" s="726"/>
      <c r="L47" s="713" t="str">
        <f t="shared" si="2"/>
        <v/>
      </c>
    </row>
    <row r="48" spans="1:13" ht="15" customHeight="1">
      <c r="E48" s="707">
        <f t="shared" si="3"/>
        <v>6</v>
      </c>
      <c r="F48" s="708" t="s">
        <v>2368</v>
      </c>
      <c r="G48" s="739"/>
      <c r="H48" s="739"/>
      <c r="I48" s="707" t="s">
        <v>36</v>
      </c>
      <c r="J48" s="711"/>
      <c r="K48" s="726"/>
      <c r="L48" s="713" t="str">
        <f t="shared" si="2"/>
        <v/>
      </c>
    </row>
    <row r="49" spans="5:12" ht="15" customHeight="1">
      <c r="E49" s="707">
        <f t="shared" si="3"/>
        <v>7</v>
      </c>
      <c r="F49" s="708" t="s">
        <v>2369</v>
      </c>
      <c r="G49" s="739"/>
      <c r="H49" s="739"/>
      <c r="I49" s="707" t="s">
        <v>36</v>
      </c>
      <c r="J49" s="711"/>
      <c r="K49" s="726"/>
      <c r="L49" s="713" t="str">
        <f t="shared" si="2"/>
        <v/>
      </c>
    </row>
    <row r="50" spans="5:12" ht="15" customHeight="1">
      <c r="E50" s="707">
        <f t="shared" si="3"/>
        <v>8</v>
      </c>
      <c r="F50" s="708" t="s">
        <v>2370</v>
      </c>
      <c r="G50" s="739"/>
      <c r="H50" s="739"/>
      <c r="I50" s="707" t="s">
        <v>36</v>
      </c>
      <c r="J50" s="711"/>
      <c r="K50" s="712"/>
      <c r="L50" s="713" t="str">
        <f t="shared" si="2"/>
        <v/>
      </c>
    </row>
    <row r="51" spans="5:12" ht="15" customHeight="1">
      <c r="E51" s="707">
        <f t="shared" si="3"/>
        <v>9</v>
      </c>
      <c r="F51" s="708" t="s">
        <v>2371</v>
      </c>
      <c r="G51" s="739"/>
      <c r="H51" s="739"/>
      <c r="I51" s="707" t="s">
        <v>36</v>
      </c>
      <c r="J51" s="711"/>
      <c r="K51" s="712"/>
      <c r="L51" s="713" t="str">
        <f t="shared" si="2"/>
        <v/>
      </c>
    </row>
    <row r="52" spans="5:12" ht="15" customHeight="1">
      <c r="E52" s="707">
        <f t="shared" si="3"/>
        <v>10</v>
      </c>
      <c r="F52" s="708" t="s">
        <v>2372</v>
      </c>
      <c r="G52" s="739"/>
      <c r="H52" s="739"/>
      <c r="I52" s="707" t="s">
        <v>36</v>
      </c>
      <c r="J52" s="711"/>
      <c r="K52" s="712"/>
      <c r="L52" s="713" t="str">
        <f t="shared" si="2"/>
        <v/>
      </c>
    </row>
    <row r="53" spans="5:12" ht="15" customHeight="1">
      <c r="E53" s="707"/>
      <c r="F53" s="708"/>
      <c r="G53" s="739"/>
      <c r="H53" s="739"/>
      <c r="I53" s="710"/>
      <c r="J53" s="711"/>
      <c r="K53" s="719" t="s">
        <v>2330</v>
      </c>
      <c r="L53" s="720">
        <f>SUM(L43:L52)</f>
        <v>500000</v>
      </c>
    </row>
    <row r="54" spans="5:12" ht="15" customHeight="1">
      <c r="E54" s="699" t="s">
        <v>94</v>
      </c>
      <c r="F54" s="700" t="s">
        <v>2373</v>
      </c>
      <c r="G54" s="735"/>
      <c r="H54" s="735"/>
      <c r="I54" s="741"/>
      <c r="J54" s="729"/>
      <c r="K54" s="704"/>
      <c r="L54" s="736"/>
    </row>
    <row r="55" spans="5:12" ht="15" customHeight="1">
      <c r="E55" s="742"/>
      <c r="F55" s="708" t="s">
        <v>2356</v>
      </c>
      <c r="G55" s="738"/>
      <c r="H55" s="738"/>
      <c r="I55" s="710"/>
      <c r="J55" s="711"/>
      <c r="K55" s="712"/>
      <c r="L55" s="713"/>
    </row>
    <row r="56" spans="5:12" ht="15" customHeight="1">
      <c r="E56" s="737"/>
      <c r="F56" s="708"/>
      <c r="G56" s="739"/>
      <c r="H56" s="739"/>
      <c r="I56" s="710"/>
      <c r="J56" s="711"/>
      <c r="K56" s="719" t="s">
        <v>2330</v>
      </c>
      <c r="L56" s="720">
        <f>SUM(L55)</f>
        <v>0</v>
      </c>
    </row>
    <row r="57" spans="5:12" ht="15" customHeight="1">
      <c r="E57" s="699" t="s">
        <v>69</v>
      </c>
      <c r="F57" s="700" t="s">
        <v>2374</v>
      </c>
      <c r="G57" s="735"/>
      <c r="H57" s="735"/>
      <c r="I57" s="735"/>
      <c r="J57" s="743"/>
      <c r="K57" s="704"/>
      <c r="L57" s="736"/>
    </row>
    <row r="58" spans="5:12" ht="15" customHeight="1">
      <c r="E58" s="707">
        <v>1</v>
      </c>
      <c r="F58" s="708" t="s">
        <v>2375</v>
      </c>
      <c r="G58" s="738"/>
      <c r="H58" s="738"/>
      <c r="I58" s="710" t="s">
        <v>2198</v>
      </c>
      <c r="J58" s="711"/>
      <c r="K58" s="712"/>
      <c r="L58" s="713" t="str">
        <f>IF(J58="","",J58*K58)</f>
        <v/>
      </c>
    </row>
    <row r="59" spans="5:12" ht="15" customHeight="1">
      <c r="E59" s="707">
        <f>E58+1</f>
        <v>2</v>
      </c>
      <c r="F59" s="708" t="s">
        <v>2376</v>
      </c>
      <c r="G59" s="739"/>
      <c r="H59" s="739"/>
      <c r="I59" s="710" t="s">
        <v>36</v>
      </c>
      <c r="J59" s="711"/>
      <c r="K59" s="712"/>
      <c r="L59" s="713" t="str">
        <f>IF(J59="","",J59*K59)</f>
        <v/>
      </c>
    </row>
    <row r="60" spans="5:12" ht="15" customHeight="1">
      <c r="E60" s="707"/>
      <c r="F60" s="708" t="s">
        <v>2377</v>
      </c>
      <c r="G60" s="739"/>
      <c r="H60" s="739"/>
      <c r="I60" s="710" t="s">
        <v>36</v>
      </c>
      <c r="J60" s="711"/>
      <c r="K60" s="712"/>
      <c r="L60" s="713" t="str">
        <f>IF(J60="","",J60*K60)</f>
        <v/>
      </c>
    </row>
    <row r="61" spans="5:12" ht="15" customHeight="1">
      <c r="E61" s="707"/>
      <c r="F61" s="708" t="s">
        <v>2378</v>
      </c>
      <c r="G61" s="739"/>
      <c r="H61" s="739"/>
      <c r="I61" s="710" t="s">
        <v>2333</v>
      </c>
      <c r="J61" s="711"/>
      <c r="K61" s="712"/>
      <c r="L61" s="713" t="str">
        <f>IF(J61="","",J61*K61)</f>
        <v/>
      </c>
    </row>
    <row r="62" spans="5:12" ht="15" customHeight="1">
      <c r="E62" s="744"/>
      <c r="F62" s="745"/>
      <c r="G62" s="746"/>
      <c r="H62" s="746"/>
      <c r="I62" s="747"/>
      <c r="J62" s="748"/>
      <c r="K62" s="749" t="s">
        <v>2330</v>
      </c>
      <c r="L62" s="750">
        <f>SUM(L58:L61)</f>
        <v>0</v>
      </c>
    </row>
    <row r="63" spans="5:12" ht="15" customHeight="1">
      <c r="E63" s="925"/>
      <c r="F63" s="926"/>
      <c r="G63" s="927"/>
      <c r="H63" s="927"/>
      <c r="I63" s="927"/>
      <c r="J63" s="928"/>
      <c r="K63" s="929" t="s">
        <v>2379</v>
      </c>
      <c r="L63" s="930">
        <f>SUMIF(K6:K62,K62,L6:L62)</f>
        <v>3220000</v>
      </c>
    </row>
  </sheetData>
  <mergeCells count="2">
    <mergeCell ref="F5:H5"/>
    <mergeCell ref="A35:C35"/>
  </mergeCells>
  <conditionalFormatting sqref="N5:XFD5">
    <cfRule type="cellIs" dxfId="5" priority="1" operator="equal">
      <formula>0</formula>
    </cfRule>
    <cfRule type="cellIs" dxfId="4" priority="2" operator="equal">
      <formula>0</formula>
    </cfRule>
  </conditionalFormatting>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E6AF4-D6FE-4A2D-AB15-10122361D238}">
  <sheetPr codeName="Sheet12"/>
  <dimension ref="A1:E27"/>
  <sheetViews>
    <sheetView showGridLines="0" showRowColHeaders="0" zoomScale="75" zoomScaleNormal="75" workbookViewId="0">
      <selection activeCell="C37" sqref="C37"/>
    </sheetView>
  </sheetViews>
  <sheetFormatPr defaultRowHeight="14.4"/>
  <cols>
    <col min="1" max="3" width="10.77734375" style="612" customWidth="1"/>
    <col min="4" max="4" width="3.6640625" customWidth="1"/>
  </cols>
  <sheetData>
    <row r="1" spans="5:5" s="612" customFormat="1" ht="15" customHeight="1"/>
    <row r="2" spans="5:5" s="612" customFormat="1" ht="15" customHeight="1">
      <c r="E2" s="937" t="s">
        <v>2387</v>
      </c>
    </row>
    <row r="3" spans="5:5" s="612" customFormat="1" ht="15" customHeight="1"/>
    <row r="27" spans="1:3">
      <c r="A27" s="1096" t="s">
        <v>2381</v>
      </c>
      <c r="B27" s="1096"/>
      <c r="C27" s="1096"/>
    </row>
  </sheetData>
  <mergeCells count="1">
    <mergeCell ref="A27:C27"/>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EF072-FAD1-4031-A4B5-C6A5D0409A01}">
  <sheetPr codeName="Sheet17"/>
  <dimension ref="A1:T71"/>
  <sheetViews>
    <sheetView showGridLines="0" showRowColHeaders="0" zoomScale="75" zoomScaleNormal="75" zoomScaleSheetLayoutView="85" workbookViewId="0">
      <selection activeCell="N51" sqref="N51"/>
    </sheetView>
  </sheetViews>
  <sheetFormatPr defaultRowHeight="14.4"/>
  <cols>
    <col min="1" max="3" width="10.77734375" style="612" customWidth="1"/>
    <col min="4" max="4" width="4.77734375" customWidth="1"/>
    <col min="5" max="5" width="15.77734375" customWidth="1"/>
    <col min="6" max="6" width="5.44140625" customWidth="1"/>
    <col min="7" max="7" width="45.77734375" customWidth="1"/>
    <col min="8" max="8" width="8.21875" style="166" customWidth="1"/>
    <col min="9" max="9" width="11.44140625" customWidth="1"/>
    <col min="10" max="10" width="17.77734375" customWidth="1"/>
    <col min="11" max="11" width="23.77734375" customWidth="1"/>
    <col min="12" max="12" width="10.77734375" customWidth="1"/>
    <col min="14" max="14" width="17.21875" bestFit="1" customWidth="1"/>
    <col min="15" max="15" width="25.21875" bestFit="1" customWidth="1"/>
    <col min="16" max="16" width="10" customWidth="1"/>
  </cols>
  <sheetData>
    <row r="1" spans="5:20" s="612" customFormat="1">
      <c r="H1" s="753"/>
    </row>
    <row r="2" spans="5:20" s="612" customFormat="1" ht="17.399999999999999">
      <c r="E2" s="937" t="s">
        <v>2397</v>
      </c>
      <c r="H2" s="753"/>
    </row>
    <row r="3" spans="5:20" s="612" customFormat="1">
      <c r="H3" s="753"/>
      <c r="R3" s="754"/>
      <c r="S3" s="754"/>
      <c r="T3" s="754"/>
    </row>
    <row r="4" spans="5:20">
      <c r="R4" s="167"/>
      <c r="S4" s="167"/>
      <c r="T4" s="167"/>
    </row>
    <row r="5" spans="5:20">
      <c r="E5" t="s">
        <v>2045</v>
      </c>
      <c r="R5" s="167"/>
      <c r="S5" s="167"/>
      <c r="T5" s="167"/>
    </row>
    <row r="6" spans="5:20">
      <c r="E6" s="204" t="s">
        <v>2026</v>
      </c>
      <c r="F6" s="177" t="s">
        <v>2014</v>
      </c>
      <c r="G6" s="170"/>
      <c r="R6" s="167"/>
      <c r="S6" s="167"/>
      <c r="T6" s="167"/>
    </row>
    <row r="7" spans="5:20">
      <c r="E7" s="205" t="s">
        <v>2027</v>
      </c>
      <c r="F7" t="s">
        <v>2015</v>
      </c>
      <c r="G7" s="171"/>
      <c r="R7" s="167"/>
      <c r="S7" s="167"/>
      <c r="T7" s="167"/>
    </row>
    <row r="8" spans="5:20">
      <c r="E8" s="205" t="s">
        <v>2028</v>
      </c>
      <c r="F8" s="172" t="s">
        <v>2048</v>
      </c>
      <c r="G8" s="171"/>
      <c r="R8" s="167"/>
      <c r="S8" s="167"/>
      <c r="T8" s="167"/>
    </row>
    <row r="9" spans="5:20">
      <c r="E9" s="205" t="s">
        <v>2029</v>
      </c>
      <c r="F9" s="173" t="s">
        <v>2049</v>
      </c>
      <c r="G9" s="171"/>
      <c r="R9" s="167"/>
      <c r="S9" s="167"/>
      <c r="T9" s="167"/>
    </row>
    <row r="10" spans="5:20">
      <c r="E10" s="206" t="s">
        <v>2030</v>
      </c>
      <c r="F10" s="175" t="s">
        <v>2050</v>
      </c>
      <c r="G10" s="176"/>
      <c r="R10" s="167"/>
      <c r="S10" s="167"/>
      <c r="T10" s="167"/>
    </row>
    <row r="11" spans="5:20">
      <c r="R11" s="167"/>
      <c r="S11" s="167"/>
      <c r="T11" s="167"/>
    </row>
    <row r="12" spans="5:20">
      <c r="E12" t="s">
        <v>2046</v>
      </c>
      <c r="R12" s="167"/>
      <c r="S12" s="167"/>
      <c r="T12" s="167"/>
    </row>
    <row r="13" spans="5:20">
      <c r="E13" s="204" t="s">
        <v>2031</v>
      </c>
      <c r="F13" s="177" t="s">
        <v>2034</v>
      </c>
      <c r="G13" s="178"/>
      <c r="R13" s="167"/>
      <c r="S13" s="167"/>
      <c r="T13" s="167"/>
    </row>
    <row r="14" spans="5:20">
      <c r="E14" s="205" t="s">
        <v>2032</v>
      </c>
      <c r="F14" t="s">
        <v>2035</v>
      </c>
      <c r="G14" s="171"/>
      <c r="R14" s="167"/>
      <c r="S14" s="167"/>
      <c r="T14" s="167"/>
    </row>
    <row r="15" spans="5:20">
      <c r="E15" s="206" t="s">
        <v>2033</v>
      </c>
      <c r="F15" s="179" t="s">
        <v>2036</v>
      </c>
      <c r="G15" s="176"/>
      <c r="R15" s="167"/>
      <c r="S15" s="167"/>
      <c r="T15" s="167"/>
    </row>
    <row r="16" spans="5:20">
      <c r="R16" s="167"/>
      <c r="S16" s="167"/>
      <c r="T16" s="167"/>
    </row>
    <row r="17" spans="5:20">
      <c r="E17" t="s">
        <v>2047</v>
      </c>
      <c r="R17" s="167"/>
      <c r="S17" s="167"/>
      <c r="T17" s="167"/>
    </row>
    <row r="18" spans="5:20">
      <c r="E18" s="204" t="s">
        <v>2038</v>
      </c>
      <c r="F18" s="177" t="s">
        <v>2040</v>
      </c>
      <c r="G18" s="178"/>
      <c r="R18" s="167"/>
      <c r="S18" s="167"/>
      <c r="T18" s="167"/>
    </row>
    <row r="19" spans="5:20">
      <c r="E19" s="205" t="s">
        <v>2041</v>
      </c>
      <c r="F19" t="s">
        <v>2043</v>
      </c>
      <c r="G19" s="171"/>
      <c r="R19" s="167"/>
      <c r="S19" s="167"/>
      <c r="T19" s="167"/>
    </row>
    <row r="20" spans="5:20">
      <c r="E20" s="205" t="s">
        <v>2042</v>
      </c>
      <c r="F20" t="s">
        <v>2044</v>
      </c>
      <c r="G20" s="171"/>
      <c r="R20" s="167"/>
      <c r="S20" s="167"/>
      <c r="T20" s="167"/>
    </row>
    <row r="21" spans="5:20">
      <c r="E21" s="206" t="s">
        <v>2053</v>
      </c>
      <c r="F21" s="207">
        <v>120</v>
      </c>
      <c r="G21" s="176"/>
      <c r="R21" s="167"/>
      <c r="S21" s="167"/>
      <c r="T21" s="167"/>
    </row>
    <row r="23" spans="5:20">
      <c r="E23" s="1204" t="str">
        <f>F6</f>
        <v>PT. INDONESIA KONSTRUKSI</v>
      </c>
      <c r="F23" s="1205"/>
      <c r="G23" s="1205"/>
      <c r="H23" s="1205"/>
      <c r="I23" s="1205"/>
      <c r="J23" s="1205"/>
      <c r="K23" s="1206"/>
    </row>
    <row r="24" spans="5:20">
      <c r="E24" s="1207" t="s">
        <v>2015</v>
      </c>
      <c r="F24" s="1208"/>
      <c r="G24" s="1208"/>
      <c r="H24" s="1208"/>
      <c r="I24" s="1208"/>
      <c r="J24" s="1208"/>
      <c r="K24" s="1209"/>
    </row>
    <row r="25" spans="5:20">
      <c r="E25" s="1207" t="s">
        <v>2016</v>
      </c>
      <c r="F25" s="1208"/>
      <c r="G25" s="1208"/>
      <c r="H25" s="1208"/>
      <c r="I25" s="1208"/>
      <c r="J25" s="1208"/>
      <c r="K25" s="1209"/>
    </row>
    <row r="26" spans="5:20">
      <c r="E26" s="1207" t="str">
        <f>"Telp : "&amp;F8&amp;" - Email : "&amp;F9&amp;""</f>
        <v>Telp : 08123456789 - Email : indonesiakonstruksi@gmail.com</v>
      </c>
      <c r="F26" s="1208"/>
      <c r="G26" s="1208"/>
      <c r="H26" s="1208"/>
      <c r="I26" s="1208"/>
      <c r="J26" s="1208"/>
      <c r="K26" s="1209"/>
    </row>
    <row r="27" spans="5:20" ht="15" thickBot="1">
      <c r="E27" s="1210" t="str">
        <f>"Website : "&amp;F10&amp;""</f>
        <v>Website : www.indonesiakonstruksi.com</v>
      </c>
      <c r="F27" s="1211"/>
      <c r="G27" s="1211"/>
      <c r="H27" s="1211"/>
      <c r="I27" s="1211"/>
      <c r="J27" s="1211"/>
      <c r="K27" s="1212"/>
      <c r="L27" s="168"/>
    </row>
    <row r="28" spans="5:20" ht="15" thickTop="1">
      <c r="E28" s="755"/>
      <c r="K28" s="171"/>
      <c r="Q28" s="167"/>
    </row>
    <row r="29" spans="5:20" ht="15" thickTop="1">
      <c r="E29" s="755" t="s">
        <v>2017</v>
      </c>
      <c r="F29" s="756" t="s">
        <v>2022</v>
      </c>
      <c r="G29" t="s">
        <v>2023</v>
      </c>
      <c r="J29" s="756" t="s">
        <v>2020</v>
      </c>
      <c r="K29" s="171" t="s">
        <v>2021</v>
      </c>
    </row>
    <row r="30" spans="5:20">
      <c r="E30" s="755" t="s">
        <v>2018</v>
      </c>
      <c r="F30" s="756" t="s">
        <v>2022</v>
      </c>
      <c r="G30" t="s">
        <v>2024</v>
      </c>
      <c r="K30" s="171"/>
    </row>
    <row r="31" spans="5:20">
      <c r="E31" s="755" t="s">
        <v>2019</v>
      </c>
      <c r="F31" s="756" t="s">
        <v>2022</v>
      </c>
      <c r="G31" t="s">
        <v>2025</v>
      </c>
      <c r="K31" s="171"/>
    </row>
    <row r="32" spans="5:20">
      <c r="E32" s="755"/>
      <c r="K32" s="171"/>
    </row>
    <row r="33" spans="1:11">
      <c r="E33" s="755" t="s">
        <v>2051</v>
      </c>
      <c r="K33" s="171"/>
    </row>
    <row r="34" spans="1:11">
      <c r="E34" s="755" t="str">
        <f>"Yth Bapak " &amp;F13</f>
        <v>Yth Bapak Donald Trump</v>
      </c>
      <c r="K34" s="171"/>
    </row>
    <row r="35" spans="1:11">
      <c r="E35" s="755" t="str">
        <f>"Di " &amp;F14</f>
        <v>Di Jalan Pahlawan 17, Semarang</v>
      </c>
      <c r="K35" s="171"/>
    </row>
    <row r="36" spans="1:11">
      <c r="E36" s="755" t="str">
        <f>F15</f>
        <v>Jogjakarta</v>
      </c>
      <c r="K36" s="171"/>
    </row>
    <row r="37" spans="1:11">
      <c r="E37" s="755"/>
      <c r="K37" s="171"/>
    </row>
    <row r="38" spans="1:11">
      <c r="E38" s="755" t="s">
        <v>2037</v>
      </c>
      <c r="K38" s="171"/>
    </row>
    <row r="39" spans="1:11">
      <c r="E39" s="755"/>
      <c r="K39" s="171"/>
    </row>
    <row r="40" spans="1:11">
      <c r="E40" s="755" t="str">
        <f>"Sehubungan adanya pekerjaan "&amp;F18&amp;" di "&amp;F19&amp;". Maka dengan ini kami "&amp;F6&amp;" yang"</f>
        <v>Sehubungan adanya pekerjaan Pebangunan Rumah di Jalan Garuda 1945. Maka dengan ini kami PT. INDONESIA KONSTRUKSI yang</v>
      </c>
      <c r="K40" s="171"/>
    </row>
    <row r="41" spans="1:11">
      <c r="E41" s="755" t="str">
        <f>"bergerak di bidang "&amp;F7&amp;" bermaksud untuk mengajukan Surat Penawaran Harga untuk pekerjaan tersebut."</f>
        <v>bergerak di bidang Arsitek &amp; General Kontraktor bermaksud untuk mengajukan Surat Penawaran Harga untuk pekerjaan tersebut.</v>
      </c>
      <c r="K41" s="171"/>
    </row>
    <row r="42" spans="1:11">
      <c r="E42" s="755" t="s">
        <v>2039</v>
      </c>
      <c r="K42" s="171"/>
    </row>
    <row r="43" spans="1:11">
      <c r="E43" s="755"/>
      <c r="K43" s="171"/>
    </row>
    <row r="44" spans="1:11">
      <c r="E44" s="1193" t="s">
        <v>136</v>
      </c>
      <c r="F44" s="1195" t="s">
        <v>137</v>
      </c>
      <c r="G44" s="1196"/>
      <c r="H44" s="1196"/>
      <c r="I44" s="1196"/>
      <c r="J44" s="1197"/>
      <c r="K44" s="1193" t="s">
        <v>141</v>
      </c>
    </row>
    <row r="45" spans="1:11">
      <c r="E45" s="1194"/>
      <c r="F45" s="1198"/>
      <c r="G45" s="1199"/>
      <c r="H45" s="1199"/>
      <c r="I45" s="1199"/>
      <c r="J45" s="1200"/>
      <c r="K45" s="1194"/>
    </row>
    <row r="46" spans="1:11" s="203" customFormat="1" ht="12" customHeight="1" thickBot="1">
      <c r="A46" s="662"/>
      <c r="B46" s="662"/>
      <c r="C46" s="662"/>
      <c r="E46" s="202">
        <v>1</v>
      </c>
      <c r="F46" s="1201">
        <v>2</v>
      </c>
      <c r="G46" s="1202"/>
      <c r="H46" s="1202"/>
      <c r="I46" s="1202"/>
      <c r="J46" s="1203"/>
      <c r="K46" s="202">
        <v>3</v>
      </c>
    </row>
    <row r="47" spans="1:11" ht="18" customHeight="1" thickTop="1">
      <c r="E47" s="180" t="s">
        <v>3</v>
      </c>
      <c r="F47" s="181" t="s">
        <v>4</v>
      </c>
      <c r="G47" s="182"/>
      <c r="H47" s="183"/>
      <c r="I47" s="182"/>
      <c r="J47" s="184"/>
      <c r="K47" s="185">
        <f>'HITUNG RAB'!L13</f>
        <v>10083520</v>
      </c>
    </row>
    <row r="48" spans="1:11" ht="18" customHeight="1">
      <c r="E48" s="186" t="s">
        <v>11</v>
      </c>
      <c r="F48" s="187" t="s">
        <v>99</v>
      </c>
      <c r="G48" s="188"/>
      <c r="H48" s="189"/>
      <c r="I48" s="188"/>
      <c r="J48" s="190"/>
      <c r="K48" s="191">
        <f>'HITUNG RAB'!L20</f>
        <v>8462250.5812500007</v>
      </c>
    </row>
    <row r="49" spans="5:15" ht="18" customHeight="1">
      <c r="E49" s="186" t="s">
        <v>16</v>
      </c>
      <c r="F49" s="187" t="s">
        <v>101</v>
      </c>
      <c r="G49" s="188"/>
      <c r="H49" s="189"/>
      <c r="I49" s="188"/>
      <c r="J49" s="190"/>
      <c r="K49" s="191">
        <f>'HITUNG RAB'!L28</f>
        <v>64094723.795000002</v>
      </c>
    </row>
    <row r="50" spans="5:15" ht="18" customHeight="1">
      <c r="E50" s="186" t="s">
        <v>27</v>
      </c>
      <c r="F50" s="187" t="s">
        <v>28</v>
      </c>
      <c r="G50" s="188"/>
      <c r="H50" s="189"/>
      <c r="I50" s="188"/>
      <c r="J50" s="190"/>
      <c r="K50" s="191">
        <f>'HITUNG RAB'!L51</f>
        <v>50476950.171166673</v>
      </c>
    </row>
    <row r="51" spans="5:15" ht="18" customHeight="1">
      <c r="E51" s="186" t="s">
        <v>50</v>
      </c>
      <c r="F51" s="187" t="s">
        <v>103</v>
      </c>
      <c r="G51" s="188"/>
      <c r="H51" s="189"/>
      <c r="I51" s="188"/>
      <c r="J51" s="190"/>
      <c r="K51" s="191">
        <f>'HITUNG RAB'!L60</f>
        <v>94737640.024420023</v>
      </c>
      <c r="O51" s="192"/>
    </row>
    <row r="52" spans="5:15" ht="18" customHeight="1">
      <c r="E52" s="186" t="s">
        <v>55</v>
      </c>
      <c r="F52" s="187" t="s">
        <v>106</v>
      </c>
      <c r="G52" s="188"/>
      <c r="H52" s="189"/>
      <c r="I52" s="188"/>
      <c r="J52" s="190"/>
      <c r="K52" s="191">
        <f>'HITUNG RAB'!L68</f>
        <v>13388297.2236</v>
      </c>
    </row>
    <row r="53" spans="5:15" ht="18" customHeight="1">
      <c r="E53" s="186" t="s">
        <v>62</v>
      </c>
      <c r="F53" s="187" t="s">
        <v>109</v>
      </c>
      <c r="G53" s="188"/>
      <c r="H53" s="189"/>
      <c r="I53" s="188"/>
      <c r="J53" s="190"/>
      <c r="K53" s="191">
        <f>'HITUNG RAB'!L73</f>
        <v>14415840</v>
      </c>
    </row>
    <row r="54" spans="5:15" ht="18" customHeight="1">
      <c r="E54" s="186" t="s">
        <v>94</v>
      </c>
      <c r="F54" s="187" t="s">
        <v>112</v>
      </c>
      <c r="G54" s="188"/>
      <c r="H54" s="189"/>
      <c r="I54" s="188"/>
      <c r="J54" s="190"/>
      <c r="K54" s="191">
        <f>'HITUNG RAB'!L83</f>
        <v>3675048</v>
      </c>
    </row>
    <row r="55" spans="5:15" ht="18" customHeight="1">
      <c r="E55" s="186" t="s">
        <v>69</v>
      </c>
      <c r="F55" s="187" t="s">
        <v>113</v>
      </c>
      <c r="G55" s="188"/>
      <c r="H55" s="189"/>
      <c r="I55" s="188"/>
      <c r="J55" s="190"/>
      <c r="K55" s="191">
        <f>'HITUNG RAB'!L98</f>
        <v>8180192</v>
      </c>
    </row>
    <row r="56" spans="5:15" ht="18" customHeight="1">
      <c r="E56" s="186" t="s">
        <v>8</v>
      </c>
      <c r="F56" s="187" t="s">
        <v>82</v>
      </c>
      <c r="G56" s="188"/>
      <c r="H56" s="189"/>
      <c r="I56" s="188"/>
      <c r="J56" s="190"/>
      <c r="K56" s="191">
        <f>'HITUNG RAB'!L105</f>
        <v>9424125.6465958506</v>
      </c>
    </row>
    <row r="57" spans="5:15" ht="18" customHeight="1">
      <c r="E57" s="186" t="s">
        <v>84</v>
      </c>
      <c r="F57" s="187" t="s">
        <v>85</v>
      </c>
      <c r="G57" s="188"/>
      <c r="H57" s="189"/>
      <c r="I57" s="188"/>
      <c r="J57" s="190"/>
      <c r="K57" s="191">
        <f>'HITUNG RAB'!L124</f>
        <v>29017310.9485</v>
      </c>
    </row>
    <row r="58" spans="5:15" ht="18" customHeight="1">
      <c r="E58" s="193" t="s">
        <v>133</v>
      </c>
      <c r="F58" s="194" t="s">
        <v>134</v>
      </c>
      <c r="G58" s="195"/>
      <c r="H58" s="196"/>
      <c r="I58" s="195"/>
      <c r="J58" s="197"/>
      <c r="K58" s="198">
        <f>'HITUNG RAB'!L128</f>
        <v>1540000</v>
      </c>
    </row>
    <row r="59" spans="5:15">
      <c r="E59" s="169"/>
      <c r="F59" s="177"/>
      <c r="G59" s="177"/>
      <c r="H59" s="199"/>
      <c r="I59" s="177"/>
      <c r="J59" s="177" t="s">
        <v>56</v>
      </c>
      <c r="K59" s="200">
        <f>SUM(K47:K58)</f>
        <v>307495898.39053255</v>
      </c>
    </row>
    <row r="60" spans="5:15">
      <c r="E60" s="174"/>
      <c r="F60" s="179"/>
      <c r="G60" s="179"/>
      <c r="H60" s="201"/>
      <c r="I60" s="179"/>
      <c r="J60" s="179"/>
      <c r="K60" s="176"/>
    </row>
    <row r="61" spans="5:15">
      <c r="E61" s="755"/>
      <c r="K61" s="171"/>
    </row>
    <row r="62" spans="5:15">
      <c r="E62" s="755" t="s">
        <v>2052</v>
      </c>
      <c r="K62" s="171"/>
    </row>
    <row r="63" spans="5:15">
      <c r="E63" s="755" t="str">
        <f>"estimasikan dapat diselesaikan dalam waktu "&amp;F21&amp;" hari kerja, sejak tanggal dimulai. Demikian Surat Penawaran ini kami"</f>
        <v>estimasikan dapat diselesaikan dalam waktu 120 hari kerja, sejak tanggal dimulai. Demikian Surat Penawaran ini kami</v>
      </c>
      <c r="K63" s="757"/>
    </row>
    <row r="64" spans="5:15">
      <c r="E64" s="755" t="s">
        <v>2380</v>
      </c>
      <c r="K64" s="171"/>
    </row>
    <row r="65" spans="5:11">
      <c r="E65" s="755"/>
      <c r="K65" s="171"/>
    </row>
    <row r="66" spans="5:11">
      <c r="E66" s="755"/>
      <c r="K66" s="171"/>
    </row>
    <row r="67" spans="5:11">
      <c r="E67" s="755" t="s">
        <v>2054</v>
      </c>
      <c r="K67" s="171"/>
    </row>
    <row r="68" spans="5:11">
      <c r="E68" s="755"/>
      <c r="K68" s="171"/>
    </row>
    <row r="69" spans="5:11">
      <c r="E69" s="755"/>
      <c r="K69" s="171"/>
    </row>
    <row r="70" spans="5:11">
      <c r="E70" s="755" t="str">
        <f>F6</f>
        <v>PT. INDONESIA KONSTRUKSI</v>
      </c>
      <c r="K70" s="171"/>
    </row>
    <row r="71" spans="5:11">
      <c r="E71" s="174"/>
      <c r="F71" s="179"/>
      <c r="G71" s="179"/>
      <c r="H71" s="201"/>
      <c r="I71" s="179"/>
      <c r="J71" s="179"/>
      <c r="K71" s="176"/>
    </row>
  </sheetData>
  <mergeCells count="9">
    <mergeCell ref="E44:E45"/>
    <mergeCell ref="F44:J45"/>
    <mergeCell ref="F46:J46"/>
    <mergeCell ref="K44:K45"/>
    <mergeCell ref="E23:K23"/>
    <mergeCell ref="E24:K24"/>
    <mergeCell ref="E25:K25"/>
    <mergeCell ref="E26:K26"/>
    <mergeCell ref="E27:K27"/>
  </mergeCells>
  <hyperlinks>
    <hyperlink ref="F9" r:id="rId1" xr:uid="{F86DB710-939E-4CB4-BC59-BAE842CA0566}"/>
  </hyperlinks>
  <pageMargins left="0.7" right="0.7" top="0.75" bottom="0.75" header="0.3" footer="0.3"/>
  <pageSetup paperSize="9" scale="70" orientation="portrait" r:id="rId2"/>
  <colBreaks count="1" manualBreakCount="1">
    <brk id="12" max="1048575" man="1"/>
  </colBreaks>
  <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F54EE-BEC1-486B-85FB-FDCBAEDFDD6C}">
  <sheetPr codeName="Sheet18"/>
  <dimension ref="A1:X282"/>
  <sheetViews>
    <sheetView showGridLines="0" showRowColHeaders="0" zoomScale="75" zoomScaleNormal="75" workbookViewId="0">
      <pane xSplit="3" ySplit="6" topLeftCell="D7" activePane="bottomRight" state="frozen"/>
      <selection pane="topRight" activeCell="D1" sqref="D1"/>
      <selection pane="bottomLeft" activeCell="A7" sqref="A7"/>
      <selection pane="bottomRight" activeCell="E2" sqref="E2"/>
    </sheetView>
  </sheetViews>
  <sheetFormatPr defaultColWidth="9.21875" defaultRowHeight="15" customHeight="1"/>
  <cols>
    <col min="1" max="3" width="10.77734375" style="758" customWidth="1"/>
    <col min="4" max="4" width="3.77734375" style="791" customWidth="1"/>
    <col min="5" max="5" width="6.21875" style="779" customWidth="1"/>
    <col min="6" max="6" width="14.21875" style="779" customWidth="1"/>
    <col min="7" max="7" width="2.77734375" style="779" customWidth="1"/>
    <col min="8" max="8" width="35.77734375" style="779" customWidth="1"/>
    <col min="9" max="9" width="8.77734375" style="843" customWidth="1"/>
    <col min="10" max="10" width="6.77734375" style="766" customWidth="1"/>
    <col min="11" max="11" width="15.77734375" style="844" customWidth="1"/>
    <col min="12" max="12" width="15.77734375" style="779" customWidth="1"/>
    <col min="13" max="13" width="8.77734375" style="766" customWidth="1"/>
    <col min="14" max="15" width="15.77734375" style="766" customWidth="1"/>
    <col min="16" max="16" width="8.77734375" style="766" customWidth="1"/>
    <col min="17" max="18" width="15.77734375" style="766" customWidth="1"/>
    <col min="19" max="19" width="8.77734375" style="766" customWidth="1"/>
    <col min="20" max="20" width="6.77734375" style="766" customWidth="1"/>
    <col min="21" max="22" width="15.77734375" style="766" customWidth="1"/>
    <col min="23" max="23" width="18.21875" style="778" customWidth="1"/>
    <col min="24" max="24" width="22.77734375" style="779" customWidth="1"/>
    <col min="25" max="16384" width="9.21875" style="779"/>
  </cols>
  <sheetData>
    <row r="1" spans="1:24" s="758" customFormat="1" ht="15" customHeight="1">
      <c r="D1" s="759"/>
      <c r="E1" s="940"/>
      <c r="F1" s="940"/>
      <c r="G1" s="940"/>
      <c r="H1" s="940"/>
      <c r="I1" s="760"/>
      <c r="J1" s="760"/>
      <c r="K1" s="760"/>
      <c r="L1" s="760"/>
      <c r="M1" s="760"/>
      <c r="N1" s="760"/>
      <c r="O1" s="760"/>
      <c r="P1" s="760"/>
      <c r="Q1" s="760"/>
      <c r="R1" s="760"/>
      <c r="S1" s="760"/>
      <c r="T1" s="760"/>
      <c r="U1" s="760"/>
      <c r="V1" s="760"/>
      <c r="W1" s="761"/>
    </row>
    <row r="2" spans="1:24" s="758" customFormat="1" ht="15" customHeight="1">
      <c r="D2" s="759"/>
      <c r="E2" s="937" t="s">
        <v>2398</v>
      </c>
      <c r="F2" s="940"/>
      <c r="G2" s="940"/>
      <c r="H2" s="940"/>
      <c r="I2" s="760"/>
      <c r="J2" s="760"/>
      <c r="K2" s="760"/>
      <c r="L2" s="760"/>
      <c r="M2" s="760"/>
      <c r="N2" s="760"/>
      <c r="O2" s="760"/>
      <c r="P2" s="760"/>
      <c r="Q2" s="760"/>
      <c r="R2" s="760"/>
      <c r="S2" s="760"/>
      <c r="T2" s="760"/>
      <c r="U2" s="760"/>
      <c r="V2" s="760"/>
      <c r="W2" s="761"/>
    </row>
    <row r="3" spans="1:24" s="758" customFormat="1" ht="15" customHeight="1">
      <c r="D3" s="759"/>
      <c r="E3" s="941"/>
      <c r="F3" s="941"/>
      <c r="G3" s="941"/>
      <c r="H3" s="941"/>
      <c r="I3" s="762"/>
      <c r="J3" s="763"/>
      <c r="K3" s="764"/>
      <c r="L3" s="763"/>
      <c r="M3" s="763"/>
      <c r="N3" s="763"/>
      <c r="O3" s="763"/>
      <c r="P3" s="763"/>
      <c r="Q3" s="763"/>
      <c r="R3" s="763"/>
      <c r="S3" s="763"/>
      <c r="T3" s="763"/>
      <c r="U3" s="763"/>
      <c r="V3" s="763"/>
      <c r="W3" s="761"/>
    </row>
    <row r="4" spans="1:24" s="766" customFormat="1" ht="15" customHeight="1">
      <c r="A4" s="765"/>
      <c r="B4" s="765"/>
      <c r="C4" s="765"/>
      <c r="E4" s="1217" t="s">
        <v>1620</v>
      </c>
      <c r="F4" s="1217" t="s">
        <v>137</v>
      </c>
      <c r="G4" s="1217"/>
      <c r="H4" s="1217"/>
      <c r="I4" s="767" t="s">
        <v>2092</v>
      </c>
      <c r="J4" s="767"/>
      <c r="K4" s="767"/>
      <c r="L4" s="767"/>
      <c r="M4" s="931" t="s">
        <v>2093</v>
      </c>
      <c r="N4" s="931"/>
      <c r="O4" s="931"/>
      <c r="P4" s="931"/>
      <c r="Q4" s="931"/>
      <c r="R4" s="931"/>
      <c r="S4" s="931" t="s">
        <v>2094</v>
      </c>
      <c r="T4" s="931"/>
      <c r="U4" s="931"/>
      <c r="V4" s="931"/>
      <c r="W4" s="768"/>
    </row>
    <row r="5" spans="1:24" s="766" customFormat="1" ht="15" customHeight="1">
      <c r="A5" s="765"/>
      <c r="B5" s="765"/>
      <c r="C5" s="765"/>
      <c r="E5" s="1217"/>
      <c r="F5" s="1217"/>
      <c r="G5" s="1217"/>
      <c r="H5" s="1217"/>
      <c r="I5" s="1213" t="s">
        <v>58</v>
      </c>
      <c r="J5" s="1214" t="s">
        <v>138</v>
      </c>
      <c r="K5" s="1215" t="s">
        <v>2095</v>
      </c>
      <c r="L5" s="1216" t="s">
        <v>2096</v>
      </c>
      <c r="M5" s="932" t="s">
        <v>2097</v>
      </c>
      <c r="N5" s="932"/>
      <c r="O5" s="932"/>
      <c r="P5" s="932" t="s">
        <v>2098</v>
      </c>
      <c r="Q5" s="932"/>
      <c r="R5" s="932"/>
      <c r="S5" s="1213" t="s">
        <v>58</v>
      </c>
      <c r="T5" s="1214" t="s">
        <v>138</v>
      </c>
      <c r="U5" s="1215" t="s">
        <v>2095</v>
      </c>
      <c r="V5" s="1216" t="s">
        <v>2096</v>
      </c>
      <c r="W5" s="768"/>
    </row>
    <row r="6" spans="1:24" s="766" customFormat="1" ht="15" customHeight="1">
      <c r="A6" s="765"/>
      <c r="B6" s="765"/>
      <c r="C6" s="765"/>
      <c r="E6" s="1217"/>
      <c r="F6" s="1217"/>
      <c r="G6" s="1217"/>
      <c r="H6" s="1217"/>
      <c r="I6" s="1213"/>
      <c r="J6" s="1214"/>
      <c r="K6" s="1215"/>
      <c r="L6" s="1216"/>
      <c r="M6" s="933" t="s">
        <v>58</v>
      </c>
      <c r="N6" s="933" t="s">
        <v>2095</v>
      </c>
      <c r="O6" s="933" t="s">
        <v>2096</v>
      </c>
      <c r="P6" s="933" t="s">
        <v>58</v>
      </c>
      <c r="Q6" s="933" t="s">
        <v>2095</v>
      </c>
      <c r="R6" s="933" t="s">
        <v>2096</v>
      </c>
      <c r="S6" s="1213"/>
      <c r="T6" s="1214"/>
      <c r="U6" s="1215"/>
      <c r="V6" s="1216"/>
      <c r="W6" s="768"/>
    </row>
    <row r="7" spans="1:24" ht="15" customHeight="1">
      <c r="D7" s="769"/>
      <c r="E7" s="770"/>
      <c r="F7" s="771"/>
      <c r="G7" s="772"/>
      <c r="H7" s="773"/>
      <c r="I7" s="774"/>
      <c r="J7" s="770"/>
      <c r="K7" s="775"/>
      <c r="L7" s="776"/>
      <c r="M7" s="777"/>
      <c r="N7" s="777"/>
      <c r="O7" s="777"/>
      <c r="P7" s="777"/>
      <c r="Q7" s="777"/>
      <c r="R7" s="777"/>
      <c r="S7" s="777"/>
      <c r="T7" s="777"/>
      <c r="U7" s="777"/>
      <c r="V7" s="777"/>
    </row>
    <row r="8" spans="1:24" ht="15" customHeight="1">
      <c r="D8" s="780" t="s">
        <v>2099</v>
      </c>
      <c r="E8" s="781" t="s">
        <v>3</v>
      </c>
      <c r="F8" s="782" t="s">
        <v>2100</v>
      </c>
      <c r="G8" s="783"/>
      <c r="H8" s="784"/>
      <c r="I8" s="785"/>
      <c r="J8" s="786"/>
      <c r="K8" s="787"/>
      <c r="L8" s="788">
        <f>SUM(L9:L16)</f>
        <v>38030593.980000004</v>
      </c>
      <c r="M8" s="789"/>
      <c r="N8" s="789"/>
      <c r="O8" s="788">
        <f>SUM(O9:O16)</f>
        <v>0</v>
      </c>
      <c r="P8" s="789"/>
      <c r="Q8" s="789"/>
      <c r="R8" s="788">
        <f>SUM(R9:R16)</f>
        <v>0</v>
      </c>
      <c r="S8" s="789"/>
      <c r="T8" s="789"/>
      <c r="U8" s="789"/>
      <c r="V8" s="788">
        <f>SUM(V9:V16)</f>
        <v>38030593.980000004</v>
      </c>
      <c r="X8" s="790"/>
    </row>
    <row r="9" spans="1:24" ht="15" customHeight="1">
      <c r="E9" s="792">
        <v>1</v>
      </c>
      <c r="F9" s="793" t="s">
        <v>2101</v>
      </c>
      <c r="G9" s="794"/>
      <c r="H9" s="795"/>
      <c r="I9" s="796">
        <v>342.54</v>
      </c>
      <c r="J9" s="792" t="s">
        <v>2102</v>
      </c>
      <c r="K9" s="797">
        <v>16012.5</v>
      </c>
      <c r="L9" s="798">
        <f t="shared" ref="L9:L15" si="0">I9*K9</f>
        <v>5484921.75</v>
      </c>
      <c r="M9" s="799"/>
      <c r="N9" s="799"/>
      <c r="O9" s="799"/>
      <c r="P9" s="799"/>
      <c r="Q9" s="799"/>
      <c r="R9" s="799"/>
      <c r="S9" s="799">
        <f t="shared" ref="S9:S15" si="1">IF(AND(M9="",P9=""),I9,I9+M9-P9)</f>
        <v>342.54</v>
      </c>
      <c r="T9" s="799" t="str">
        <f>J9</f>
        <v>m²</v>
      </c>
      <c r="U9" s="799">
        <f>K9</f>
        <v>16012.5</v>
      </c>
      <c r="V9" s="799">
        <f>S9*U9</f>
        <v>5484921.75</v>
      </c>
    </row>
    <row r="10" spans="1:24" ht="15" customHeight="1">
      <c r="E10" s="792">
        <v>2</v>
      </c>
      <c r="F10" s="793" t="s">
        <v>2103</v>
      </c>
      <c r="G10" s="794"/>
      <c r="H10" s="795"/>
      <c r="I10" s="796">
        <v>1</v>
      </c>
      <c r="J10" s="792" t="s">
        <v>2104</v>
      </c>
      <c r="K10" s="800">
        <v>300000</v>
      </c>
      <c r="L10" s="798">
        <f t="shared" si="0"/>
        <v>300000</v>
      </c>
      <c r="M10" s="799"/>
      <c r="N10" s="799"/>
      <c r="O10" s="799"/>
      <c r="P10" s="799"/>
      <c r="Q10" s="799"/>
      <c r="R10" s="799"/>
      <c r="S10" s="799">
        <f t="shared" si="1"/>
        <v>1</v>
      </c>
      <c r="T10" s="799" t="str">
        <f t="shared" ref="T10:U15" si="2">J10</f>
        <v>ls</v>
      </c>
      <c r="U10" s="799">
        <f t="shared" si="2"/>
        <v>300000</v>
      </c>
      <c r="V10" s="799">
        <f t="shared" ref="V10:V15" si="3">S10*U10</f>
        <v>300000</v>
      </c>
    </row>
    <row r="11" spans="1:24" ht="15" customHeight="1">
      <c r="E11" s="792">
        <v>3</v>
      </c>
      <c r="F11" s="793" t="s">
        <v>2105</v>
      </c>
      <c r="G11" s="794"/>
      <c r="H11" s="795"/>
      <c r="I11" s="796">
        <v>54.400000000000006</v>
      </c>
      <c r="J11" s="792" t="s">
        <v>2102</v>
      </c>
      <c r="K11" s="797">
        <v>323127</v>
      </c>
      <c r="L11" s="798">
        <f t="shared" si="0"/>
        <v>17578108.800000001</v>
      </c>
      <c r="M11" s="799"/>
      <c r="N11" s="799"/>
      <c r="O11" s="799"/>
      <c r="P11" s="799"/>
      <c r="Q11" s="799"/>
      <c r="R11" s="799"/>
      <c r="S11" s="799">
        <f t="shared" si="1"/>
        <v>54.400000000000006</v>
      </c>
      <c r="T11" s="799" t="str">
        <f t="shared" si="2"/>
        <v>m²</v>
      </c>
      <c r="U11" s="799">
        <f t="shared" si="2"/>
        <v>323127</v>
      </c>
      <c r="V11" s="799">
        <f t="shared" si="3"/>
        <v>17578108.800000001</v>
      </c>
    </row>
    <row r="12" spans="1:24" ht="15" customHeight="1">
      <c r="E12" s="792">
        <v>4</v>
      </c>
      <c r="F12" s="793" t="s">
        <v>2106</v>
      </c>
      <c r="G12" s="794"/>
      <c r="H12" s="795"/>
      <c r="I12" s="796">
        <v>4</v>
      </c>
      <c r="J12" s="792" t="s">
        <v>2102</v>
      </c>
      <c r="K12" s="797">
        <v>1068700.5</v>
      </c>
      <c r="L12" s="798">
        <f t="shared" si="0"/>
        <v>4274802</v>
      </c>
      <c r="M12" s="799"/>
      <c r="N12" s="799"/>
      <c r="O12" s="799"/>
      <c r="P12" s="799"/>
      <c r="Q12" s="799"/>
      <c r="R12" s="799"/>
      <c r="S12" s="799">
        <f t="shared" si="1"/>
        <v>4</v>
      </c>
      <c r="T12" s="799" t="str">
        <f t="shared" si="2"/>
        <v>m²</v>
      </c>
      <c r="U12" s="799">
        <f t="shared" si="2"/>
        <v>1068700.5</v>
      </c>
      <c r="V12" s="799">
        <f t="shared" si="3"/>
        <v>4274802</v>
      </c>
    </row>
    <row r="13" spans="1:24" ht="15" customHeight="1">
      <c r="E13" s="792">
        <v>5</v>
      </c>
      <c r="F13" s="793" t="s">
        <v>2107</v>
      </c>
      <c r="G13" s="794"/>
      <c r="H13" s="795"/>
      <c r="I13" s="796">
        <v>1</v>
      </c>
      <c r="J13" s="792" t="s">
        <v>2104</v>
      </c>
      <c r="K13" s="797">
        <v>1500000</v>
      </c>
      <c r="L13" s="798">
        <f t="shared" si="0"/>
        <v>1500000</v>
      </c>
      <c r="M13" s="799"/>
      <c r="N13" s="799"/>
      <c r="O13" s="799"/>
      <c r="P13" s="799"/>
      <c r="Q13" s="799"/>
      <c r="R13" s="799"/>
      <c r="S13" s="799">
        <f t="shared" si="1"/>
        <v>1</v>
      </c>
      <c r="T13" s="799" t="str">
        <f t="shared" si="2"/>
        <v>ls</v>
      </c>
      <c r="U13" s="799">
        <f t="shared" si="2"/>
        <v>1500000</v>
      </c>
      <c r="V13" s="799">
        <f t="shared" si="3"/>
        <v>1500000</v>
      </c>
    </row>
    <row r="14" spans="1:24" ht="15" customHeight="1">
      <c r="E14" s="792">
        <v>6</v>
      </c>
      <c r="F14" s="793" t="s">
        <v>2108</v>
      </c>
      <c r="G14" s="794"/>
      <c r="H14" s="795"/>
      <c r="I14" s="796">
        <v>4</v>
      </c>
      <c r="J14" s="792" t="s">
        <v>2102</v>
      </c>
      <c r="K14" s="797">
        <v>1068700.5</v>
      </c>
      <c r="L14" s="798">
        <f t="shared" si="0"/>
        <v>4274802</v>
      </c>
      <c r="M14" s="799"/>
      <c r="N14" s="799"/>
      <c r="O14" s="799"/>
      <c r="P14" s="799"/>
      <c r="Q14" s="799"/>
      <c r="R14" s="799"/>
      <c r="S14" s="799">
        <f t="shared" si="1"/>
        <v>4</v>
      </c>
      <c r="T14" s="799" t="str">
        <f t="shared" si="2"/>
        <v>m²</v>
      </c>
      <c r="U14" s="799">
        <f t="shared" si="2"/>
        <v>1068700.5</v>
      </c>
      <c r="V14" s="799">
        <f t="shared" si="3"/>
        <v>4274802</v>
      </c>
    </row>
    <row r="15" spans="1:24" ht="15" customHeight="1">
      <c r="E15" s="792">
        <v>7</v>
      </c>
      <c r="F15" s="793" t="s">
        <v>2109</v>
      </c>
      <c r="G15" s="794"/>
      <c r="H15" s="795"/>
      <c r="I15" s="796">
        <v>74.2</v>
      </c>
      <c r="J15" s="792" t="s">
        <v>2110</v>
      </c>
      <c r="K15" s="797">
        <v>62236.65</v>
      </c>
      <c r="L15" s="798">
        <f t="shared" si="0"/>
        <v>4617959.4300000006</v>
      </c>
      <c r="M15" s="799"/>
      <c r="N15" s="799"/>
      <c r="O15" s="799"/>
      <c r="P15" s="799"/>
      <c r="Q15" s="799"/>
      <c r="R15" s="799"/>
      <c r="S15" s="799">
        <f t="shared" si="1"/>
        <v>74.2</v>
      </c>
      <c r="T15" s="799" t="str">
        <f t="shared" si="2"/>
        <v>m'</v>
      </c>
      <c r="U15" s="799">
        <f t="shared" si="2"/>
        <v>62236.65</v>
      </c>
      <c r="V15" s="799">
        <f t="shared" si="3"/>
        <v>4617959.4300000006</v>
      </c>
    </row>
    <row r="16" spans="1:24" ht="15" customHeight="1">
      <c r="E16" s="792"/>
      <c r="F16" s="793"/>
      <c r="G16" s="794"/>
      <c r="H16" s="795"/>
      <c r="I16" s="796" t="s">
        <v>2111</v>
      </c>
      <c r="J16" s="792" t="s">
        <v>2111</v>
      </c>
      <c r="K16" s="801"/>
      <c r="L16" s="802"/>
      <c r="M16" s="803"/>
      <c r="N16" s="803"/>
      <c r="O16" s="803"/>
      <c r="P16" s="803"/>
      <c r="Q16" s="803"/>
      <c r="R16" s="803"/>
      <c r="S16" s="803"/>
      <c r="T16" s="803"/>
      <c r="U16" s="803"/>
      <c r="V16" s="802"/>
    </row>
    <row r="17" spans="4:22" ht="15" customHeight="1">
      <c r="D17" s="780" t="s">
        <v>2099</v>
      </c>
      <c r="E17" s="781" t="s">
        <v>11</v>
      </c>
      <c r="F17" s="804" t="s">
        <v>2112</v>
      </c>
      <c r="G17" s="783"/>
      <c r="H17" s="784"/>
      <c r="I17" s="805"/>
      <c r="J17" s="786" t="s">
        <v>2111</v>
      </c>
      <c r="K17" s="787"/>
      <c r="L17" s="788">
        <f>SUM(L18:L24)</f>
        <v>53921179.273499995</v>
      </c>
      <c r="M17" s="789"/>
      <c r="N17" s="789"/>
      <c r="O17" s="788">
        <f>SUM(O18:O24)</f>
        <v>0</v>
      </c>
      <c r="P17" s="789"/>
      <c r="Q17" s="789"/>
      <c r="R17" s="788">
        <f>SUM(R18:R24)</f>
        <v>0</v>
      </c>
      <c r="S17" s="789"/>
      <c r="T17" s="789"/>
      <c r="U17" s="789"/>
      <c r="V17" s="788">
        <f>SUM(V18:V24)</f>
        <v>53921179.273499995</v>
      </c>
    </row>
    <row r="18" spans="4:22" ht="15" customHeight="1">
      <c r="E18" s="792">
        <v>1</v>
      </c>
      <c r="F18" s="793" t="s">
        <v>2113</v>
      </c>
      <c r="G18" s="794"/>
      <c r="H18" s="795"/>
      <c r="I18" s="796">
        <v>196.20572999999999</v>
      </c>
      <c r="J18" s="792" t="s">
        <v>2114</v>
      </c>
      <c r="K18" s="797">
        <v>74156.25</v>
      </c>
      <c r="L18" s="798">
        <f t="shared" ref="L18:L23" si="4">I18*K18</f>
        <v>14549881.165312499</v>
      </c>
      <c r="M18" s="799"/>
      <c r="N18" s="799"/>
      <c r="O18" s="799"/>
      <c r="P18" s="799"/>
      <c r="Q18" s="799"/>
      <c r="R18" s="799"/>
      <c r="S18" s="799">
        <f t="shared" ref="S18:S23" si="5">IF(AND(M18="",P18=""),I18,I18+M18-P18)</f>
        <v>196.20572999999999</v>
      </c>
      <c r="T18" s="799" t="str">
        <f t="shared" ref="T18:T23" si="6">J18</f>
        <v>m³</v>
      </c>
      <c r="U18" s="799">
        <f t="shared" ref="U18:U23" si="7">K18</f>
        <v>74156.25</v>
      </c>
      <c r="V18" s="799">
        <f t="shared" ref="V18:V23" si="8">S18*U18</f>
        <v>14549881.165312499</v>
      </c>
    </row>
    <row r="19" spans="4:22" ht="15" customHeight="1">
      <c r="E19" s="792">
        <v>2</v>
      </c>
      <c r="F19" s="806" t="s">
        <v>2115</v>
      </c>
      <c r="G19" s="794"/>
      <c r="H19" s="795"/>
      <c r="I19" s="796">
        <v>65.401910000000001</v>
      </c>
      <c r="J19" s="792" t="s">
        <v>2114</v>
      </c>
      <c r="K19" s="797">
        <v>53812.5</v>
      </c>
      <c r="L19" s="798">
        <f t="shared" si="4"/>
        <v>3519440.2818749999</v>
      </c>
      <c r="M19" s="799"/>
      <c r="N19" s="799"/>
      <c r="O19" s="799"/>
      <c r="P19" s="799"/>
      <c r="Q19" s="799"/>
      <c r="R19" s="799"/>
      <c r="S19" s="799">
        <f t="shared" si="5"/>
        <v>65.401910000000001</v>
      </c>
      <c r="T19" s="799" t="str">
        <f t="shared" si="6"/>
        <v>m³</v>
      </c>
      <c r="U19" s="799">
        <f t="shared" si="7"/>
        <v>53812.5</v>
      </c>
      <c r="V19" s="799">
        <f t="shared" si="8"/>
        <v>3519440.2818749999</v>
      </c>
    </row>
    <row r="20" spans="4:22" ht="15" customHeight="1">
      <c r="E20" s="792">
        <v>3</v>
      </c>
      <c r="F20" s="806" t="s">
        <v>2116</v>
      </c>
      <c r="G20" s="794"/>
      <c r="H20" s="795"/>
      <c r="I20" s="796">
        <v>102.762</v>
      </c>
      <c r="J20" s="792" t="s">
        <v>2114</v>
      </c>
      <c r="K20" s="797">
        <v>213890.25</v>
      </c>
      <c r="L20" s="798">
        <f t="shared" si="4"/>
        <v>21979789.870499998</v>
      </c>
      <c r="M20" s="799"/>
      <c r="N20" s="799"/>
      <c r="O20" s="799"/>
      <c r="P20" s="799"/>
      <c r="Q20" s="799"/>
      <c r="R20" s="799"/>
      <c r="S20" s="799">
        <f t="shared" si="5"/>
        <v>102.762</v>
      </c>
      <c r="T20" s="799" t="str">
        <f t="shared" si="6"/>
        <v>m³</v>
      </c>
      <c r="U20" s="799">
        <f t="shared" si="7"/>
        <v>213890.25</v>
      </c>
      <c r="V20" s="799">
        <f t="shared" si="8"/>
        <v>21979789.870499998</v>
      </c>
    </row>
    <row r="21" spans="4:22" ht="15" customHeight="1">
      <c r="E21" s="792">
        <v>4</v>
      </c>
      <c r="F21" s="806" t="s">
        <v>2117</v>
      </c>
      <c r="G21" s="794"/>
      <c r="H21" s="795"/>
      <c r="I21" s="796">
        <v>41.453249999999997</v>
      </c>
      <c r="J21" s="792" t="s">
        <v>2114</v>
      </c>
      <c r="K21" s="797">
        <v>213890.25</v>
      </c>
      <c r="L21" s="798">
        <f t="shared" si="4"/>
        <v>8866446.0058124997</v>
      </c>
      <c r="M21" s="799"/>
      <c r="N21" s="799"/>
      <c r="O21" s="799"/>
      <c r="P21" s="799"/>
      <c r="Q21" s="799"/>
      <c r="R21" s="799"/>
      <c r="S21" s="799">
        <f t="shared" si="5"/>
        <v>41.453249999999997</v>
      </c>
      <c r="T21" s="799" t="str">
        <f t="shared" si="6"/>
        <v>m³</v>
      </c>
      <c r="U21" s="799">
        <f t="shared" si="7"/>
        <v>213890.25</v>
      </c>
      <c r="V21" s="799">
        <f t="shared" si="8"/>
        <v>8866446.0058124997</v>
      </c>
    </row>
    <row r="22" spans="4:22" ht="15" customHeight="1">
      <c r="E22" s="792">
        <v>5</v>
      </c>
      <c r="F22" s="806" t="s">
        <v>2118</v>
      </c>
      <c r="G22" s="794"/>
      <c r="H22" s="795"/>
      <c r="I22" s="796">
        <v>18.3</v>
      </c>
      <c r="J22" s="792" t="s">
        <v>2114</v>
      </c>
      <c r="K22" s="797">
        <v>218662.5</v>
      </c>
      <c r="L22" s="798">
        <f t="shared" si="4"/>
        <v>4001523.75</v>
      </c>
      <c r="M22" s="799"/>
      <c r="N22" s="799"/>
      <c r="O22" s="799"/>
      <c r="P22" s="799"/>
      <c r="Q22" s="799"/>
      <c r="R22" s="799"/>
      <c r="S22" s="799">
        <f t="shared" si="5"/>
        <v>18.3</v>
      </c>
      <c r="T22" s="799" t="str">
        <f t="shared" si="6"/>
        <v>m³</v>
      </c>
      <c r="U22" s="799">
        <f t="shared" si="7"/>
        <v>218662.5</v>
      </c>
      <c r="V22" s="799">
        <f t="shared" si="8"/>
        <v>4001523.75</v>
      </c>
    </row>
    <row r="23" spans="4:22" ht="15" customHeight="1">
      <c r="E23" s="792">
        <v>6</v>
      </c>
      <c r="F23" s="806" t="s">
        <v>2119</v>
      </c>
      <c r="G23" s="794"/>
      <c r="H23" s="795"/>
      <c r="I23" s="796">
        <v>4.5920000000000005</v>
      </c>
      <c r="J23" s="792" t="s">
        <v>2114</v>
      </c>
      <c r="K23" s="797">
        <v>218662.5</v>
      </c>
      <c r="L23" s="798">
        <f t="shared" si="4"/>
        <v>1004098.2000000001</v>
      </c>
      <c r="M23" s="799"/>
      <c r="N23" s="799"/>
      <c r="O23" s="799"/>
      <c r="P23" s="799"/>
      <c r="Q23" s="799"/>
      <c r="R23" s="799"/>
      <c r="S23" s="799">
        <f t="shared" si="5"/>
        <v>4.5920000000000005</v>
      </c>
      <c r="T23" s="799" t="str">
        <f t="shared" si="6"/>
        <v>m³</v>
      </c>
      <c r="U23" s="799">
        <f t="shared" si="7"/>
        <v>218662.5</v>
      </c>
      <c r="V23" s="799">
        <f t="shared" si="8"/>
        <v>1004098.2000000001</v>
      </c>
    </row>
    <row r="24" spans="4:22" ht="15" customHeight="1">
      <c r="E24" s="792"/>
      <c r="F24" s="806"/>
      <c r="G24" s="794"/>
      <c r="H24" s="795"/>
      <c r="I24" s="796"/>
      <c r="J24" s="792"/>
      <c r="K24" s="801"/>
      <c r="L24" s="802"/>
      <c r="M24" s="803"/>
      <c r="N24" s="803"/>
      <c r="O24" s="803"/>
      <c r="P24" s="803"/>
      <c r="Q24" s="803"/>
      <c r="R24" s="803"/>
      <c r="S24" s="803"/>
      <c r="T24" s="803"/>
      <c r="U24" s="803"/>
      <c r="V24" s="803"/>
    </row>
    <row r="25" spans="4:22" ht="15" customHeight="1">
      <c r="D25" s="780" t="s">
        <v>2099</v>
      </c>
      <c r="E25" s="781" t="s">
        <v>16</v>
      </c>
      <c r="F25" s="804" t="s">
        <v>2120</v>
      </c>
      <c r="G25" s="783"/>
      <c r="H25" s="784"/>
      <c r="I25" s="805"/>
      <c r="J25" s="786" t="s">
        <v>2111</v>
      </c>
      <c r="K25" s="787"/>
      <c r="L25" s="788">
        <f>SUM(L26:L43)</f>
        <v>119368155.01851286</v>
      </c>
      <c r="M25" s="789"/>
      <c r="N25" s="789"/>
      <c r="O25" s="788">
        <f>SUM(O26:O43)</f>
        <v>0</v>
      </c>
      <c r="P25" s="789"/>
      <c r="Q25" s="789"/>
      <c r="R25" s="788">
        <f>SUM(R26:R43)</f>
        <v>0</v>
      </c>
      <c r="S25" s="789"/>
      <c r="T25" s="789"/>
      <c r="U25" s="789"/>
      <c r="V25" s="788">
        <f>SUM(V26:V43)</f>
        <v>119368155.01851286</v>
      </c>
    </row>
    <row r="26" spans="4:22" ht="15" customHeight="1">
      <c r="E26" s="792">
        <v>1</v>
      </c>
      <c r="F26" s="793" t="s">
        <v>2121</v>
      </c>
      <c r="G26" s="794"/>
      <c r="H26" s="795"/>
      <c r="I26" s="796">
        <v>2.0608</v>
      </c>
      <c r="J26" s="792" t="s">
        <v>2114</v>
      </c>
      <c r="K26" s="797">
        <v>218662.5</v>
      </c>
      <c r="L26" s="798">
        <f t="shared" ref="L26:L42" si="9">I26*K26</f>
        <v>450619.68</v>
      </c>
      <c r="M26" s="799"/>
      <c r="N26" s="799"/>
      <c r="O26" s="799"/>
      <c r="P26" s="799"/>
      <c r="Q26" s="799"/>
      <c r="R26" s="799"/>
      <c r="S26" s="799">
        <f t="shared" ref="S26:S42" si="10">IF(AND(M26="",P26=""),I26,I26+M26-P26)</f>
        <v>2.0608</v>
      </c>
      <c r="T26" s="799" t="str">
        <f t="shared" ref="T26:U41" si="11">J26</f>
        <v>m³</v>
      </c>
      <c r="U26" s="799">
        <f t="shared" si="11"/>
        <v>218662.5</v>
      </c>
      <c r="V26" s="799">
        <f t="shared" ref="V26:V42" si="12">S26*U26</f>
        <v>450619.68</v>
      </c>
    </row>
    <row r="27" spans="4:22" ht="15" customHeight="1">
      <c r="E27" s="792">
        <v>2</v>
      </c>
      <c r="F27" s="793" t="s">
        <v>2122</v>
      </c>
      <c r="G27" s="794"/>
      <c r="H27" s="795"/>
      <c r="I27" s="796">
        <v>1.1341999999999999</v>
      </c>
      <c r="J27" s="792" t="s">
        <v>2114</v>
      </c>
      <c r="K27" s="797">
        <v>995778</v>
      </c>
      <c r="L27" s="798">
        <f t="shared" si="9"/>
        <v>1129411.4075999998</v>
      </c>
      <c r="M27" s="799"/>
      <c r="N27" s="799"/>
      <c r="O27" s="799"/>
      <c r="P27" s="799"/>
      <c r="Q27" s="799"/>
      <c r="R27" s="799"/>
      <c r="S27" s="799">
        <f t="shared" si="10"/>
        <v>1.1341999999999999</v>
      </c>
      <c r="T27" s="799" t="str">
        <f t="shared" si="11"/>
        <v>m³</v>
      </c>
      <c r="U27" s="799">
        <f t="shared" si="11"/>
        <v>995778</v>
      </c>
      <c r="V27" s="799">
        <f t="shared" si="12"/>
        <v>1129411.4075999998</v>
      </c>
    </row>
    <row r="28" spans="4:22" ht="15" customHeight="1">
      <c r="E28" s="807" t="s">
        <v>2123</v>
      </c>
      <c r="F28" s="793" t="s">
        <v>2124</v>
      </c>
      <c r="G28" s="794"/>
      <c r="H28" s="795"/>
      <c r="I28" s="796" t="s">
        <v>2111</v>
      </c>
      <c r="J28" s="792" t="s">
        <v>2111</v>
      </c>
      <c r="K28" s="800"/>
      <c r="L28" s="798"/>
      <c r="M28" s="799"/>
      <c r="N28" s="799"/>
      <c r="O28" s="799"/>
      <c r="P28" s="799"/>
      <c r="Q28" s="799"/>
      <c r="R28" s="799"/>
      <c r="S28" s="799"/>
      <c r="T28" s="799"/>
      <c r="U28" s="799"/>
      <c r="V28" s="799"/>
    </row>
    <row r="29" spans="4:22" ht="15" customHeight="1">
      <c r="E29" s="808">
        <v>1</v>
      </c>
      <c r="F29" s="809" t="s">
        <v>2125</v>
      </c>
      <c r="G29" s="794"/>
      <c r="H29" s="795"/>
      <c r="I29" s="796">
        <v>3.456</v>
      </c>
      <c r="J29" s="792" t="s">
        <v>2114</v>
      </c>
      <c r="K29" s="797">
        <v>1250434.8888888888</v>
      </c>
      <c r="L29" s="798">
        <f t="shared" si="9"/>
        <v>4321502.9759999998</v>
      </c>
      <c r="M29" s="799"/>
      <c r="N29" s="799"/>
      <c r="O29" s="799"/>
      <c r="P29" s="799"/>
      <c r="Q29" s="799"/>
      <c r="R29" s="799"/>
      <c r="S29" s="799">
        <f t="shared" si="10"/>
        <v>3.456</v>
      </c>
      <c r="T29" s="799" t="str">
        <f t="shared" si="11"/>
        <v>m³</v>
      </c>
      <c r="U29" s="799">
        <f t="shared" si="11"/>
        <v>1250434.8888888888</v>
      </c>
      <c r="V29" s="799">
        <f t="shared" si="12"/>
        <v>4321502.9759999998</v>
      </c>
    </row>
    <row r="30" spans="4:22" ht="15" customHeight="1">
      <c r="E30" s="808">
        <v>2</v>
      </c>
      <c r="F30" s="809" t="s">
        <v>31</v>
      </c>
      <c r="G30" s="794"/>
      <c r="H30" s="795"/>
      <c r="I30" s="796">
        <v>256.13939332799998</v>
      </c>
      <c r="J30" s="792" t="s">
        <v>38</v>
      </c>
      <c r="K30" s="797">
        <v>17112.0075</v>
      </c>
      <c r="L30" s="798">
        <f t="shared" si="9"/>
        <v>4383059.2196741858</v>
      </c>
      <c r="M30" s="799"/>
      <c r="N30" s="799"/>
      <c r="O30" s="799"/>
      <c r="P30" s="799"/>
      <c r="Q30" s="799"/>
      <c r="R30" s="799"/>
      <c r="S30" s="799">
        <f t="shared" si="10"/>
        <v>256.13939332799998</v>
      </c>
      <c r="T30" s="799" t="str">
        <f t="shared" si="11"/>
        <v>kg</v>
      </c>
      <c r="U30" s="799">
        <f t="shared" si="11"/>
        <v>17112.0075</v>
      </c>
      <c r="V30" s="799">
        <f t="shared" si="12"/>
        <v>4383059.2196741858</v>
      </c>
    </row>
    <row r="31" spans="4:22" ht="15" customHeight="1">
      <c r="E31" s="808">
        <v>3</v>
      </c>
      <c r="F31" s="809" t="s">
        <v>156</v>
      </c>
      <c r="G31" s="794"/>
      <c r="H31" s="795"/>
      <c r="I31" s="796">
        <v>11.52</v>
      </c>
      <c r="J31" s="792" t="s">
        <v>2102</v>
      </c>
      <c r="K31" s="797">
        <v>177366</v>
      </c>
      <c r="L31" s="798">
        <f t="shared" si="9"/>
        <v>2043256.3199999998</v>
      </c>
      <c r="M31" s="799"/>
      <c r="N31" s="799"/>
      <c r="O31" s="799"/>
      <c r="P31" s="799"/>
      <c r="Q31" s="799"/>
      <c r="R31" s="799"/>
      <c r="S31" s="799">
        <f t="shared" si="10"/>
        <v>11.52</v>
      </c>
      <c r="T31" s="799" t="str">
        <f t="shared" si="11"/>
        <v>m²</v>
      </c>
      <c r="U31" s="799">
        <f t="shared" si="11"/>
        <v>177366</v>
      </c>
      <c r="V31" s="799">
        <f t="shared" si="12"/>
        <v>2043256.3199999998</v>
      </c>
    </row>
    <row r="32" spans="4:22" ht="15" customHeight="1">
      <c r="E32" s="807" t="s">
        <v>2126</v>
      </c>
      <c r="F32" s="793" t="s">
        <v>2127</v>
      </c>
      <c r="G32" s="794"/>
      <c r="H32" s="795"/>
      <c r="I32" s="796" t="s">
        <v>2111</v>
      </c>
      <c r="J32" s="792" t="s">
        <v>2111</v>
      </c>
      <c r="K32" s="800"/>
      <c r="L32" s="798"/>
      <c r="M32" s="799"/>
      <c r="N32" s="799"/>
      <c r="O32" s="799"/>
      <c r="P32" s="799"/>
      <c r="Q32" s="799"/>
      <c r="R32" s="799"/>
      <c r="S32" s="799"/>
      <c r="T32" s="799"/>
      <c r="U32" s="799"/>
      <c r="V32" s="799"/>
    </row>
    <row r="33" spans="4:22" ht="15" customHeight="1">
      <c r="E33" s="808">
        <v>1</v>
      </c>
      <c r="F33" s="809" t="s">
        <v>2125</v>
      </c>
      <c r="G33" s="794"/>
      <c r="H33" s="795"/>
      <c r="I33" s="796">
        <v>1.1232</v>
      </c>
      <c r="J33" s="792" t="s">
        <v>2114</v>
      </c>
      <c r="K33" s="797">
        <v>1250434.8888888888</v>
      </c>
      <c r="L33" s="798">
        <f>I33*K33</f>
        <v>1404488.4671999998</v>
      </c>
      <c r="M33" s="799"/>
      <c r="N33" s="799"/>
      <c r="O33" s="799"/>
      <c r="P33" s="799"/>
      <c r="Q33" s="799"/>
      <c r="R33" s="799"/>
      <c r="S33" s="799">
        <f t="shared" si="10"/>
        <v>1.1232</v>
      </c>
      <c r="T33" s="799" t="str">
        <f t="shared" si="11"/>
        <v>m³</v>
      </c>
      <c r="U33" s="799">
        <f t="shared" si="11"/>
        <v>1250434.8888888888</v>
      </c>
      <c r="V33" s="799">
        <f t="shared" si="12"/>
        <v>1404488.4671999998</v>
      </c>
    </row>
    <row r="34" spans="4:22" ht="15" customHeight="1">
      <c r="E34" s="808">
        <v>2</v>
      </c>
      <c r="F34" s="809" t="s">
        <v>31</v>
      </c>
      <c r="G34" s="794"/>
      <c r="H34" s="795"/>
      <c r="I34" s="796">
        <v>128.06969666399999</v>
      </c>
      <c r="J34" s="792" t="s">
        <v>38</v>
      </c>
      <c r="K34" s="797">
        <v>17112.0075</v>
      </c>
      <c r="L34" s="798">
        <f>I34*K34</f>
        <v>2191529.6098370929</v>
      </c>
      <c r="M34" s="799"/>
      <c r="N34" s="799"/>
      <c r="O34" s="799"/>
      <c r="P34" s="799"/>
      <c r="Q34" s="799"/>
      <c r="R34" s="799"/>
      <c r="S34" s="799">
        <f t="shared" si="10"/>
        <v>128.06969666399999</v>
      </c>
      <c r="T34" s="799" t="str">
        <f t="shared" si="11"/>
        <v>kg</v>
      </c>
      <c r="U34" s="799">
        <f t="shared" si="11"/>
        <v>17112.0075</v>
      </c>
      <c r="V34" s="799">
        <f t="shared" si="12"/>
        <v>2191529.6098370929</v>
      </c>
    </row>
    <row r="35" spans="4:22" ht="15" customHeight="1">
      <c r="E35" s="808">
        <v>3</v>
      </c>
      <c r="F35" s="809" t="s">
        <v>156</v>
      </c>
      <c r="G35" s="794"/>
      <c r="H35" s="795"/>
      <c r="I35" s="796">
        <v>4.7519999999999998</v>
      </c>
      <c r="J35" s="792" t="s">
        <v>2102</v>
      </c>
      <c r="K35" s="797">
        <v>177366</v>
      </c>
      <c r="L35" s="798">
        <f>I35*K35</f>
        <v>842843.23199999996</v>
      </c>
      <c r="M35" s="799"/>
      <c r="N35" s="799"/>
      <c r="O35" s="799"/>
      <c r="P35" s="799"/>
      <c r="Q35" s="799"/>
      <c r="R35" s="799"/>
      <c r="S35" s="799">
        <f t="shared" si="10"/>
        <v>4.7519999999999998</v>
      </c>
      <c r="T35" s="799" t="str">
        <f t="shared" si="11"/>
        <v>m²</v>
      </c>
      <c r="U35" s="799">
        <f t="shared" si="11"/>
        <v>177366</v>
      </c>
      <c r="V35" s="799">
        <f t="shared" si="12"/>
        <v>842843.23199999996</v>
      </c>
    </row>
    <row r="36" spans="4:22" ht="15" customHeight="1">
      <c r="E36" s="807" t="s">
        <v>2128</v>
      </c>
      <c r="F36" s="793" t="s">
        <v>2129</v>
      </c>
      <c r="G36" s="794"/>
      <c r="H36" s="795"/>
      <c r="I36" s="796" t="s">
        <v>2111</v>
      </c>
      <c r="J36" s="792" t="s">
        <v>2111</v>
      </c>
      <c r="K36" s="800"/>
      <c r="L36" s="798"/>
      <c r="M36" s="799"/>
      <c r="N36" s="799"/>
      <c r="O36" s="799"/>
      <c r="P36" s="799"/>
      <c r="Q36" s="799"/>
      <c r="R36" s="799"/>
      <c r="S36" s="799"/>
      <c r="T36" s="799"/>
      <c r="U36" s="799"/>
      <c r="V36" s="799"/>
    </row>
    <row r="37" spans="4:22" ht="15" customHeight="1">
      <c r="E37" s="808">
        <v>1</v>
      </c>
      <c r="F37" s="809" t="s">
        <v>2125</v>
      </c>
      <c r="G37" s="794"/>
      <c r="H37" s="795"/>
      <c r="I37" s="796">
        <v>1.62</v>
      </c>
      <c r="J37" s="792" t="s">
        <v>2114</v>
      </c>
      <c r="K37" s="797">
        <v>1250434.8888888888</v>
      </c>
      <c r="L37" s="798">
        <f t="shared" si="9"/>
        <v>2025704.52</v>
      </c>
      <c r="M37" s="799"/>
      <c r="N37" s="799"/>
      <c r="O37" s="799"/>
      <c r="P37" s="799"/>
      <c r="Q37" s="799"/>
      <c r="R37" s="799"/>
      <c r="S37" s="799">
        <f t="shared" si="10"/>
        <v>1.62</v>
      </c>
      <c r="T37" s="799" t="str">
        <f t="shared" si="11"/>
        <v>m³</v>
      </c>
      <c r="U37" s="799">
        <f t="shared" si="11"/>
        <v>1250434.8888888888</v>
      </c>
      <c r="V37" s="799">
        <f t="shared" si="12"/>
        <v>2025704.52</v>
      </c>
    </row>
    <row r="38" spans="4:22" ht="15" customHeight="1">
      <c r="E38" s="808">
        <v>2</v>
      </c>
      <c r="F38" s="809" t="s">
        <v>31</v>
      </c>
      <c r="G38" s="794"/>
      <c r="H38" s="795"/>
      <c r="I38" s="796">
        <v>208.27024655999998</v>
      </c>
      <c r="J38" s="792" t="s">
        <v>38</v>
      </c>
      <c r="K38" s="797">
        <v>17112.0075</v>
      </c>
      <c r="L38" s="798">
        <f t="shared" si="9"/>
        <v>3563922.0211615688</v>
      </c>
      <c r="M38" s="799"/>
      <c r="N38" s="799"/>
      <c r="O38" s="799"/>
      <c r="P38" s="799"/>
      <c r="Q38" s="799"/>
      <c r="R38" s="799"/>
      <c r="S38" s="799">
        <f t="shared" si="10"/>
        <v>208.27024655999998</v>
      </c>
      <c r="T38" s="799" t="str">
        <f t="shared" si="11"/>
        <v>kg</v>
      </c>
      <c r="U38" s="799">
        <f t="shared" si="11"/>
        <v>17112.0075</v>
      </c>
      <c r="V38" s="799">
        <f t="shared" si="12"/>
        <v>3563922.0211615688</v>
      </c>
    </row>
    <row r="39" spans="4:22" ht="15" customHeight="1">
      <c r="E39" s="808">
        <v>3</v>
      </c>
      <c r="F39" s="809" t="s">
        <v>156</v>
      </c>
      <c r="G39" s="794"/>
      <c r="H39" s="795"/>
      <c r="I39" s="796">
        <v>21.599999999999998</v>
      </c>
      <c r="J39" s="792" t="s">
        <v>2102</v>
      </c>
      <c r="K39" s="797">
        <v>177366</v>
      </c>
      <c r="L39" s="798">
        <f t="shared" si="9"/>
        <v>3831105.5999999996</v>
      </c>
      <c r="M39" s="799"/>
      <c r="N39" s="799"/>
      <c r="O39" s="799"/>
      <c r="P39" s="799"/>
      <c r="Q39" s="799"/>
      <c r="R39" s="799"/>
      <c r="S39" s="799">
        <f t="shared" si="10"/>
        <v>21.599999999999998</v>
      </c>
      <c r="T39" s="799" t="str">
        <f t="shared" si="11"/>
        <v>m²</v>
      </c>
      <c r="U39" s="799">
        <f t="shared" si="11"/>
        <v>177366</v>
      </c>
      <c r="V39" s="799">
        <f t="shared" si="12"/>
        <v>3831105.5999999996</v>
      </c>
    </row>
    <row r="40" spans="4:22" ht="15" customHeight="1">
      <c r="E40" s="792">
        <v>6</v>
      </c>
      <c r="F40" s="793" t="s">
        <v>2130</v>
      </c>
      <c r="G40" s="794"/>
      <c r="H40" s="795"/>
      <c r="I40" s="796">
        <v>9.359490000000001</v>
      </c>
      <c r="J40" s="792" t="s">
        <v>2114</v>
      </c>
      <c r="K40" s="797">
        <v>218662.5</v>
      </c>
      <c r="L40" s="798">
        <f t="shared" si="9"/>
        <v>2046569.4821250001</v>
      </c>
      <c r="M40" s="799"/>
      <c r="N40" s="799"/>
      <c r="O40" s="799"/>
      <c r="P40" s="799"/>
      <c r="Q40" s="799"/>
      <c r="R40" s="799"/>
      <c r="S40" s="799">
        <f t="shared" si="10"/>
        <v>9.359490000000001</v>
      </c>
      <c r="T40" s="799" t="str">
        <f t="shared" si="11"/>
        <v>m³</v>
      </c>
      <c r="U40" s="799">
        <f t="shared" si="11"/>
        <v>218662.5</v>
      </c>
      <c r="V40" s="799">
        <f t="shared" si="12"/>
        <v>2046569.4821250001</v>
      </c>
    </row>
    <row r="41" spans="4:22" ht="15" customHeight="1">
      <c r="E41" s="792">
        <v>7</v>
      </c>
      <c r="F41" s="793" t="s">
        <v>2131</v>
      </c>
      <c r="G41" s="794"/>
      <c r="H41" s="795"/>
      <c r="I41" s="796">
        <v>37.437960000000004</v>
      </c>
      <c r="J41" s="792" t="s">
        <v>2114</v>
      </c>
      <c r="K41" s="797">
        <v>570480.75</v>
      </c>
      <c r="L41" s="798">
        <f t="shared" si="9"/>
        <v>21357635.499270003</v>
      </c>
      <c r="M41" s="799"/>
      <c r="N41" s="799"/>
      <c r="O41" s="799"/>
      <c r="P41" s="799"/>
      <c r="Q41" s="799"/>
      <c r="R41" s="799"/>
      <c r="S41" s="799">
        <f t="shared" si="10"/>
        <v>37.437960000000004</v>
      </c>
      <c r="T41" s="799" t="str">
        <f t="shared" si="11"/>
        <v>m³</v>
      </c>
      <c r="U41" s="799">
        <f t="shared" si="11"/>
        <v>570480.75</v>
      </c>
      <c r="V41" s="799">
        <f t="shared" si="12"/>
        <v>21357635.499270003</v>
      </c>
    </row>
    <row r="42" spans="4:22" ht="15" customHeight="1">
      <c r="E42" s="792">
        <v>8</v>
      </c>
      <c r="F42" s="793" t="s">
        <v>2132</v>
      </c>
      <c r="G42" s="794"/>
      <c r="H42" s="795"/>
      <c r="I42" s="796">
        <v>72.432780000000008</v>
      </c>
      <c r="J42" s="792" t="s">
        <v>2114</v>
      </c>
      <c r="K42" s="797">
        <v>963327.75</v>
      </c>
      <c r="L42" s="798">
        <f t="shared" si="9"/>
        <v>69776506.983645007</v>
      </c>
      <c r="M42" s="799"/>
      <c r="N42" s="799"/>
      <c r="O42" s="799"/>
      <c r="P42" s="799"/>
      <c r="Q42" s="799"/>
      <c r="R42" s="799"/>
      <c r="S42" s="799">
        <f t="shared" si="10"/>
        <v>72.432780000000008</v>
      </c>
      <c r="T42" s="799" t="str">
        <f>J42</f>
        <v>m³</v>
      </c>
      <c r="U42" s="799">
        <f>K42</f>
        <v>963327.75</v>
      </c>
      <c r="V42" s="799">
        <f t="shared" si="12"/>
        <v>69776506.983645007</v>
      </c>
    </row>
    <row r="43" spans="4:22" ht="15" customHeight="1">
      <c r="E43" s="792"/>
      <c r="F43" s="793"/>
      <c r="G43" s="794"/>
      <c r="H43" s="795"/>
      <c r="I43" s="796"/>
      <c r="J43" s="792"/>
      <c r="K43" s="801"/>
      <c r="L43" s="802"/>
      <c r="M43" s="803"/>
      <c r="N43" s="803"/>
      <c r="O43" s="803"/>
      <c r="P43" s="803"/>
      <c r="Q43" s="803"/>
      <c r="R43" s="803"/>
      <c r="S43" s="803"/>
      <c r="T43" s="803"/>
      <c r="U43" s="803"/>
      <c r="V43" s="803"/>
    </row>
    <row r="44" spans="4:22" ht="15" customHeight="1">
      <c r="D44" s="780" t="s">
        <v>2099</v>
      </c>
      <c r="E44" s="781" t="s">
        <v>27</v>
      </c>
      <c r="F44" s="804" t="s">
        <v>2133</v>
      </c>
      <c r="G44" s="783"/>
      <c r="H44" s="784"/>
      <c r="I44" s="805"/>
      <c r="J44" s="786" t="s">
        <v>2111</v>
      </c>
      <c r="K44" s="787"/>
      <c r="L44" s="788">
        <f>SUM(L45:L122)</f>
        <v>517493127.83533651</v>
      </c>
      <c r="M44" s="789"/>
      <c r="N44" s="789"/>
      <c r="O44" s="788">
        <f>SUM(O45:O122)</f>
        <v>3052749.7916999999</v>
      </c>
      <c r="P44" s="789"/>
      <c r="Q44" s="789"/>
      <c r="R44" s="788">
        <f>SUM(R45:R122)</f>
        <v>0</v>
      </c>
      <c r="S44" s="789"/>
      <c r="T44" s="789"/>
      <c r="U44" s="789"/>
      <c r="V44" s="788">
        <f>SUM(V45:V122)</f>
        <v>520545877.62703651</v>
      </c>
    </row>
    <row r="45" spans="4:22" ht="15" customHeight="1">
      <c r="E45" s="792"/>
      <c r="F45" s="810" t="s">
        <v>2134</v>
      </c>
      <c r="G45" s="794"/>
      <c r="H45" s="795"/>
      <c r="I45" s="796"/>
      <c r="J45" s="792" t="s">
        <v>2111</v>
      </c>
      <c r="K45" s="800"/>
      <c r="L45" s="798"/>
      <c r="M45" s="799"/>
      <c r="N45" s="799"/>
      <c r="O45" s="799"/>
      <c r="P45" s="799"/>
      <c r="Q45" s="799"/>
      <c r="R45" s="799"/>
      <c r="S45" s="799"/>
      <c r="T45" s="799"/>
      <c r="U45" s="799"/>
      <c r="V45" s="799"/>
    </row>
    <row r="46" spans="4:22" ht="15" customHeight="1">
      <c r="E46" s="807" t="s">
        <v>2135</v>
      </c>
      <c r="F46" s="793" t="s">
        <v>2136</v>
      </c>
      <c r="G46" s="794"/>
      <c r="H46" s="795"/>
      <c r="I46" s="796" t="s">
        <v>2111</v>
      </c>
      <c r="J46" s="792" t="s">
        <v>2111</v>
      </c>
      <c r="K46" s="800"/>
      <c r="L46" s="798"/>
      <c r="M46" s="799"/>
      <c r="N46" s="799"/>
      <c r="O46" s="799"/>
      <c r="P46" s="799"/>
      <c r="Q46" s="799"/>
      <c r="R46" s="799"/>
      <c r="S46" s="799"/>
      <c r="T46" s="799"/>
      <c r="U46" s="799"/>
      <c r="V46" s="799"/>
    </row>
    <row r="47" spans="4:22" ht="15" customHeight="1">
      <c r="E47" s="808">
        <v>1</v>
      </c>
      <c r="F47" s="809" t="s">
        <v>2125</v>
      </c>
      <c r="G47" s="794"/>
      <c r="H47" s="795"/>
      <c r="I47" s="796">
        <v>7.0747499999999999</v>
      </c>
      <c r="J47" s="792" t="s">
        <v>2114</v>
      </c>
      <c r="K47" s="797">
        <v>1250434.8888888888</v>
      </c>
      <c r="L47" s="798">
        <f>IF(I47="","",I47*K47)</f>
        <v>8846514.2301666662</v>
      </c>
      <c r="M47" s="799"/>
      <c r="N47" s="799"/>
      <c r="O47" s="799"/>
      <c r="P47" s="799"/>
      <c r="Q47" s="799"/>
      <c r="R47" s="799"/>
      <c r="S47" s="799">
        <f t="shared" ref="S47:S109" si="13">IF(AND(M47="",P47=""),I47,I47+M47-P47)</f>
        <v>7.0747499999999999</v>
      </c>
      <c r="T47" s="799" t="str">
        <f t="shared" ref="T47:U62" si="14">J47</f>
        <v>m³</v>
      </c>
      <c r="U47" s="799">
        <f t="shared" si="14"/>
        <v>1250434.8888888888</v>
      </c>
      <c r="V47" s="799">
        <f t="shared" ref="V47:V109" si="15">S47*U47</f>
        <v>8846514.2301666662</v>
      </c>
    </row>
    <row r="48" spans="4:22" ht="15" customHeight="1">
      <c r="E48" s="808">
        <v>2</v>
      </c>
      <c r="F48" s="809" t="s">
        <v>31</v>
      </c>
      <c r="G48" s="794"/>
      <c r="H48" s="795"/>
      <c r="I48" s="796">
        <v>1402.764750940833</v>
      </c>
      <c r="J48" s="792" t="s">
        <v>38</v>
      </c>
      <c r="K48" s="797">
        <v>17112.0075</v>
      </c>
      <c r="L48" s="798">
        <f t="shared" ref="L48:L111" si="16">IF(I48="","",I48*K48)</f>
        <v>24004120.938835166</v>
      </c>
      <c r="M48" s="799"/>
      <c r="N48" s="799"/>
      <c r="O48" s="799"/>
      <c r="P48" s="799"/>
      <c r="Q48" s="799"/>
      <c r="R48" s="799"/>
      <c r="S48" s="799">
        <f t="shared" si="13"/>
        <v>1402.764750940833</v>
      </c>
      <c r="T48" s="799" t="str">
        <f t="shared" si="14"/>
        <v>kg</v>
      </c>
      <c r="U48" s="799">
        <f t="shared" si="14"/>
        <v>17112.0075</v>
      </c>
      <c r="V48" s="799">
        <f t="shared" si="15"/>
        <v>24004120.938835166</v>
      </c>
    </row>
    <row r="49" spans="5:22" ht="15" customHeight="1">
      <c r="E49" s="808">
        <v>3</v>
      </c>
      <c r="F49" s="809" t="s">
        <v>156</v>
      </c>
      <c r="G49" s="794"/>
      <c r="H49" s="795"/>
      <c r="I49" s="796">
        <v>56.597999999999999</v>
      </c>
      <c r="J49" s="792" t="s">
        <v>2102</v>
      </c>
      <c r="K49" s="797">
        <v>187078.5</v>
      </c>
      <c r="L49" s="798">
        <f t="shared" si="16"/>
        <v>10588268.943</v>
      </c>
      <c r="M49" s="799"/>
      <c r="N49" s="799"/>
      <c r="O49" s="799"/>
      <c r="P49" s="799"/>
      <c r="Q49" s="799"/>
      <c r="R49" s="799"/>
      <c r="S49" s="799">
        <f t="shared" si="13"/>
        <v>56.597999999999999</v>
      </c>
      <c r="T49" s="799" t="str">
        <f t="shared" si="14"/>
        <v>m²</v>
      </c>
      <c r="U49" s="799">
        <f t="shared" si="14"/>
        <v>187078.5</v>
      </c>
      <c r="V49" s="799">
        <f t="shared" si="15"/>
        <v>10588268.943</v>
      </c>
    </row>
    <row r="50" spans="5:22" ht="15" customHeight="1">
      <c r="E50" s="807" t="s">
        <v>2137</v>
      </c>
      <c r="F50" s="793" t="s">
        <v>2138</v>
      </c>
      <c r="G50" s="794"/>
      <c r="H50" s="795"/>
      <c r="I50" s="796" t="s">
        <v>2111</v>
      </c>
      <c r="J50" s="792" t="s">
        <v>2111</v>
      </c>
      <c r="K50" s="800"/>
      <c r="L50" s="798" t="str">
        <f t="shared" si="16"/>
        <v/>
      </c>
      <c r="M50" s="799"/>
      <c r="N50" s="799"/>
      <c r="O50" s="799"/>
      <c r="P50" s="799"/>
      <c r="Q50" s="799"/>
      <c r="R50" s="799"/>
      <c r="S50" s="799"/>
      <c r="T50" s="799"/>
      <c r="U50" s="799"/>
      <c r="V50" s="799"/>
    </row>
    <row r="51" spans="5:22" ht="15" customHeight="1">
      <c r="E51" s="808">
        <v>1</v>
      </c>
      <c r="F51" s="809" t="s">
        <v>2125</v>
      </c>
      <c r="G51" s="794"/>
      <c r="H51" s="795"/>
      <c r="I51" s="796">
        <v>0.69434999999999991</v>
      </c>
      <c r="J51" s="792" t="s">
        <v>2114</v>
      </c>
      <c r="K51" s="797">
        <v>1250434.8888888888</v>
      </c>
      <c r="L51" s="798">
        <f t="shared" si="16"/>
        <v>868239.4650999998</v>
      </c>
      <c r="M51" s="799"/>
      <c r="N51" s="799"/>
      <c r="O51" s="799"/>
      <c r="P51" s="799"/>
      <c r="Q51" s="799"/>
      <c r="R51" s="799"/>
      <c r="S51" s="799">
        <f t="shared" si="13"/>
        <v>0.69434999999999991</v>
      </c>
      <c r="T51" s="799" t="str">
        <f t="shared" si="14"/>
        <v>m³</v>
      </c>
      <c r="U51" s="799">
        <f t="shared" si="14"/>
        <v>1250434.8888888888</v>
      </c>
      <c r="V51" s="799">
        <f t="shared" si="15"/>
        <v>868239.4650999998</v>
      </c>
    </row>
    <row r="52" spans="5:22" ht="15" customHeight="1">
      <c r="E52" s="808">
        <v>2</v>
      </c>
      <c r="F52" s="809" t="s">
        <v>31</v>
      </c>
      <c r="G52" s="794"/>
      <c r="H52" s="795"/>
      <c r="I52" s="796">
        <v>202.15753694183329</v>
      </c>
      <c r="J52" s="792" t="s">
        <v>38</v>
      </c>
      <c r="K52" s="797">
        <v>17112.0075</v>
      </c>
      <c r="L52" s="798">
        <f t="shared" si="16"/>
        <v>3459321.2883301782</v>
      </c>
      <c r="M52" s="799"/>
      <c r="N52" s="799"/>
      <c r="O52" s="799"/>
      <c r="P52" s="799"/>
      <c r="Q52" s="799"/>
      <c r="R52" s="799"/>
      <c r="S52" s="799">
        <f t="shared" si="13"/>
        <v>202.15753694183329</v>
      </c>
      <c r="T52" s="799" t="str">
        <f t="shared" si="14"/>
        <v>kg</v>
      </c>
      <c r="U52" s="799">
        <f t="shared" si="14"/>
        <v>17112.0075</v>
      </c>
      <c r="V52" s="799">
        <f t="shared" si="15"/>
        <v>3459321.2883301782</v>
      </c>
    </row>
    <row r="53" spans="5:22" ht="15" customHeight="1">
      <c r="E53" s="808">
        <v>3</v>
      </c>
      <c r="F53" s="809" t="s">
        <v>156</v>
      </c>
      <c r="G53" s="794"/>
      <c r="H53" s="795"/>
      <c r="I53" s="796">
        <v>9.2579999999999991</v>
      </c>
      <c r="J53" s="792" t="s">
        <v>2102</v>
      </c>
      <c r="K53" s="797">
        <v>187078.5</v>
      </c>
      <c r="L53" s="798">
        <f t="shared" si="16"/>
        <v>1731972.7529999998</v>
      </c>
      <c r="M53" s="799"/>
      <c r="N53" s="799"/>
      <c r="O53" s="799"/>
      <c r="P53" s="799"/>
      <c r="Q53" s="799"/>
      <c r="R53" s="799"/>
      <c r="S53" s="799">
        <f t="shared" si="13"/>
        <v>9.2579999999999991</v>
      </c>
      <c r="T53" s="799" t="str">
        <f t="shared" si="14"/>
        <v>m²</v>
      </c>
      <c r="U53" s="799">
        <f t="shared" si="14"/>
        <v>187078.5</v>
      </c>
      <c r="V53" s="799">
        <f t="shared" si="15"/>
        <v>1731972.7529999998</v>
      </c>
    </row>
    <row r="54" spans="5:22" ht="15" customHeight="1">
      <c r="E54" s="807" t="s">
        <v>2123</v>
      </c>
      <c r="F54" s="793" t="s">
        <v>2139</v>
      </c>
      <c r="G54" s="794"/>
      <c r="H54" s="795"/>
      <c r="I54" s="796" t="s">
        <v>2111</v>
      </c>
      <c r="J54" s="792" t="s">
        <v>2111</v>
      </c>
      <c r="K54" s="800"/>
      <c r="L54" s="798" t="str">
        <f t="shared" si="16"/>
        <v/>
      </c>
      <c r="M54" s="799"/>
      <c r="N54" s="799"/>
      <c r="O54" s="799"/>
      <c r="P54" s="799"/>
      <c r="Q54" s="799"/>
      <c r="R54" s="799"/>
      <c r="S54" s="799"/>
      <c r="T54" s="799"/>
      <c r="U54" s="799"/>
      <c r="V54" s="799"/>
    </row>
    <row r="55" spans="5:22" ht="15" customHeight="1">
      <c r="E55" s="808">
        <v>1</v>
      </c>
      <c r="F55" s="809" t="s">
        <v>2140</v>
      </c>
      <c r="G55" s="794"/>
      <c r="H55" s="795"/>
      <c r="I55" s="796">
        <v>4.4766000000000004</v>
      </c>
      <c r="J55" s="792" t="s">
        <v>2114</v>
      </c>
      <c r="K55" s="797">
        <v>1167765.6666666667</v>
      </c>
      <c r="L55" s="798">
        <f t="shared" si="16"/>
        <v>5227619.783400001</v>
      </c>
      <c r="M55" s="799"/>
      <c r="N55" s="799"/>
      <c r="O55" s="799"/>
      <c r="P55" s="799"/>
      <c r="Q55" s="799"/>
      <c r="R55" s="799"/>
      <c r="S55" s="799">
        <f t="shared" si="13"/>
        <v>4.4766000000000004</v>
      </c>
      <c r="T55" s="799" t="str">
        <f t="shared" si="14"/>
        <v>m³</v>
      </c>
      <c r="U55" s="799">
        <f t="shared" si="14"/>
        <v>1167765.6666666667</v>
      </c>
      <c r="V55" s="799">
        <f t="shared" si="15"/>
        <v>5227619.783400001</v>
      </c>
    </row>
    <row r="56" spans="5:22" ht="15" customHeight="1">
      <c r="E56" s="808">
        <v>2</v>
      </c>
      <c r="F56" s="809" t="s">
        <v>31</v>
      </c>
      <c r="G56" s="794"/>
      <c r="H56" s="795"/>
      <c r="I56" s="796">
        <v>620.13166930800003</v>
      </c>
      <c r="J56" s="792" t="s">
        <v>38</v>
      </c>
      <c r="K56" s="797">
        <v>17112.0075</v>
      </c>
      <c r="L56" s="798">
        <f t="shared" si="16"/>
        <v>10611697.776186015</v>
      </c>
      <c r="M56" s="799"/>
      <c r="N56" s="799"/>
      <c r="O56" s="799"/>
      <c r="P56" s="799"/>
      <c r="Q56" s="799"/>
      <c r="R56" s="799"/>
      <c r="S56" s="799">
        <f t="shared" si="13"/>
        <v>620.13166930800003</v>
      </c>
      <c r="T56" s="799" t="str">
        <f t="shared" si="14"/>
        <v>kg</v>
      </c>
      <c r="U56" s="799">
        <f t="shared" si="14"/>
        <v>17112.0075</v>
      </c>
      <c r="V56" s="799">
        <f t="shared" si="15"/>
        <v>10611697.776186015</v>
      </c>
    </row>
    <row r="57" spans="5:22" ht="15" customHeight="1">
      <c r="E57" s="808">
        <v>3</v>
      </c>
      <c r="F57" s="809" t="s">
        <v>156</v>
      </c>
      <c r="G57" s="794"/>
      <c r="H57" s="795"/>
      <c r="I57" s="796">
        <v>59.688000000000002</v>
      </c>
      <c r="J57" s="792" t="s">
        <v>2102</v>
      </c>
      <c r="K57" s="797">
        <v>187078.5</v>
      </c>
      <c r="L57" s="798">
        <f t="shared" si="16"/>
        <v>11166341.508000001</v>
      </c>
      <c r="M57" s="799"/>
      <c r="N57" s="799"/>
      <c r="O57" s="799"/>
      <c r="P57" s="799"/>
      <c r="Q57" s="799"/>
      <c r="R57" s="799"/>
      <c r="S57" s="799">
        <f t="shared" si="13"/>
        <v>59.688000000000002</v>
      </c>
      <c r="T57" s="799" t="str">
        <f t="shared" si="14"/>
        <v>m²</v>
      </c>
      <c r="U57" s="799">
        <f t="shared" si="14"/>
        <v>187078.5</v>
      </c>
      <c r="V57" s="799">
        <f t="shared" si="15"/>
        <v>11166341.508000001</v>
      </c>
    </row>
    <row r="58" spans="5:22" ht="15" customHeight="1">
      <c r="E58" s="807" t="s">
        <v>2126</v>
      </c>
      <c r="F58" s="793" t="s">
        <v>2141</v>
      </c>
      <c r="G58" s="794"/>
      <c r="H58" s="795"/>
      <c r="I58" s="796"/>
      <c r="J58" s="792"/>
      <c r="K58" s="797"/>
      <c r="L58" s="798" t="str">
        <f t="shared" si="16"/>
        <v/>
      </c>
      <c r="M58" s="799"/>
      <c r="N58" s="799"/>
      <c r="O58" s="799"/>
      <c r="P58" s="799"/>
      <c r="Q58" s="799"/>
      <c r="R58" s="799"/>
      <c r="S58" s="799"/>
      <c r="T58" s="799"/>
      <c r="U58" s="799"/>
      <c r="V58" s="799"/>
    </row>
    <row r="59" spans="5:22" ht="15" customHeight="1">
      <c r="E59" s="808">
        <v>1</v>
      </c>
      <c r="F59" s="809" t="s">
        <v>2140</v>
      </c>
      <c r="G59" s="794"/>
      <c r="H59" s="795"/>
      <c r="I59" s="796">
        <v>12.208566999999999</v>
      </c>
      <c r="J59" s="792" t="s">
        <v>2114</v>
      </c>
      <c r="K59" s="797">
        <v>1167765.6666666667</v>
      </c>
      <c r="L59" s="798">
        <f t="shared" si="16"/>
        <v>14256745.381799666</v>
      </c>
      <c r="M59" s="799"/>
      <c r="N59" s="799"/>
      <c r="O59" s="799"/>
      <c r="P59" s="799"/>
      <c r="Q59" s="799"/>
      <c r="R59" s="799"/>
      <c r="S59" s="799">
        <f t="shared" si="13"/>
        <v>12.208566999999999</v>
      </c>
      <c r="T59" s="799" t="str">
        <f t="shared" si="14"/>
        <v>m³</v>
      </c>
      <c r="U59" s="799">
        <f t="shared" si="14"/>
        <v>1167765.6666666667</v>
      </c>
      <c r="V59" s="799">
        <f t="shared" si="15"/>
        <v>14256745.381799666</v>
      </c>
    </row>
    <row r="60" spans="5:22" ht="15" customHeight="1">
      <c r="E60" s="807" t="s">
        <v>2128</v>
      </c>
      <c r="F60" s="793" t="s">
        <v>2142</v>
      </c>
      <c r="G60" s="794"/>
      <c r="H60" s="795"/>
      <c r="I60" s="796" t="s">
        <v>2111</v>
      </c>
      <c r="J60" s="792" t="s">
        <v>2111</v>
      </c>
      <c r="K60" s="797"/>
      <c r="L60" s="798" t="str">
        <f t="shared" si="16"/>
        <v/>
      </c>
      <c r="M60" s="799"/>
      <c r="N60" s="799"/>
      <c r="O60" s="799"/>
      <c r="P60" s="799"/>
      <c r="Q60" s="799"/>
      <c r="R60" s="799"/>
      <c r="S60" s="799"/>
      <c r="T60" s="799"/>
      <c r="U60" s="799"/>
      <c r="V60" s="799"/>
    </row>
    <row r="61" spans="5:22" ht="15" customHeight="1">
      <c r="E61" s="808">
        <v>1</v>
      </c>
      <c r="F61" s="809" t="s">
        <v>2140</v>
      </c>
      <c r="G61" s="794"/>
      <c r="H61" s="795"/>
      <c r="I61" s="796">
        <v>2.5953749999999998</v>
      </c>
      <c r="J61" s="792" t="s">
        <v>2114</v>
      </c>
      <c r="K61" s="797">
        <v>1167765.6666666667</v>
      </c>
      <c r="L61" s="798">
        <f t="shared" si="16"/>
        <v>3030789.8171250001</v>
      </c>
      <c r="M61" s="799"/>
      <c r="N61" s="799"/>
      <c r="O61" s="799"/>
      <c r="P61" s="799"/>
      <c r="Q61" s="799"/>
      <c r="R61" s="799"/>
      <c r="S61" s="799">
        <f t="shared" si="13"/>
        <v>2.5953749999999998</v>
      </c>
      <c r="T61" s="799" t="str">
        <f t="shared" si="14"/>
        <v>m³</v>
      </c>
      <c r="U61" s="799">
        <f t="shared" si="14"/>
        <v>1167765.6666666667</v>
      </c>
      <c r="V61" s="799">
        <f t="shared" si="15"/>
        <v>3030789.8171250001</v>
      </c>
    </row>
    <row r="62" spans="5:22" ht="15" customHeight="1">
      <c r="E62" s="808">
        <v>2</v>
      </c>
      <c r="F62" s="809" t="s">
        <v>31</v>
      </c>
      <c r="G62" s="794"/>
      <c r="H62" s="795"/>
      <c r="I62" s="796">
        <v>337.21089099</v>
      </c>
      <c r="J62" s="792" t="s">
        <v>38</v>
      </c>
      <c r="K62" s="797">
        <v>17112.0075</v>
      </c>
      <c r="L62" s="798">
        <f t="shared" si="16"/>
        <v>5770355.2957025627</v>
      </c>
      <c r="M62" s="799"/>
      <c r="N62" s="799"/>
      <c r="O62" s="799"/>
      <c r="P62" s="799"/>
      <c r="Q62" s="799"/>
      <c r="R62" s="799"/>
      <c r="S62" s="799">
        <f t="shared" si="13"/>
        <v>337.21089099</v>
      </c>
      <c r="T62" s="799" t="str">
        <f t="shared" si="14"/>
        <v>kg</v>
      </c>
      <c r="U62" s="799">
        <f t="shared" si="14"/>
        <v>17112.0075</v>
      </c>
      <c r="V62" s="799">
        <f t="shared" si="15"/>
        <v>5770355.2957025627</v>
      </c>
    </row>
    <row r="63" spans="5:22" ht="15" customHeight="1">
      <c r="E63" s="808">
        <v>3</v>
      </c>
      <c r="F63" s="809" t="s">
        <v>156</v>
      </c>
      <c r="G63" s="794"/>
      <c r="H63" s="795"/>
      <c r="I63" s="796">
        <v>34.604999999999997</v>
      </c>
      <c r="J63" s="792" t="s">
        <v>2102</v>
      </c>
      <c r="K63" s="797">
        <v>187078.5</v>
      </c>
      <c r="L63" s="798">
        <f t="shared" si="16"/>
        <v>6473851.4924999997</v>
      </c>
      <c r="M63" s="799"/>
      <c r="N63" s="799"/>
      <c r="O63" s="799"/>
      <c r="P63" s="799"/>
      <c r="Q63" s="799"/>
      <c r="R63" s="799"/>
      <c r="S63" s="799">
        <f t="shared" si="13"/>
        <v>34.604999999999997</v>
      </c>
      <c r="T63" s="799" t="str">
        <f t="shared" ref="T63:U121" si="17">J63</f>
        <v>m²</v>
      </c>
      <c r="U63" s="799">
        <f t="shared" si="17"/>
        <v>187078.5</v>
      </c>
      <c r="V63" s="799">
        <f t="shared" si="15"/>
        <v>6473851.4924999997</v>
      </c>
    </row>
    <row r="64" spans="5:22" ht="15" customHeight="1">
      <c r="E64" s="807" t="s">
        <v>2143</v>
      </c>
      <c r="F64" s="793" t="s">
        <v>2144</v>
      </c>
      <c r="G64" s="794"/>
      <c r="H64" s="795"/>
      <c r="I64" s="796" t="s">
        <v>2111</v>
      </c>
      <c r="J64" s="792" t="s">
        <v>2111</v>
      </c>
      <c r="K64" s="800"/>
      <c r="L64" s="798" t="str">
        <f t="shared" si="16"/>
        <v/>
      </c>
      <c r="M64" s="799"/>
      <c r="N64" s="799"/>
      <c r="O64" s="799"/>
      <c r="P64" s="799"/>
      <c r="Q64" s="799"/>
      <c r="R64" s="799"/>
      <c r="S64" s="799"/>
      <c r="T64" s="799"/>
      <c r="U64" s="799"/>
      <c r="V64" s="799"/>
    </row>
    <row r="65" spans="5:22" ht="15" customHeight="1">
      <c r="E65" s="808">
        <v>1</v>
      </c>
      <c r="F65" s="809" t="s">
        <v>2125</v>
      </c>
      <c r="G65" s="794"/>
      <c r="H65" s="795"/>
      <c r="I65" s="796">
        <v>4.32</v>
      </c>
      <c r="J65" s="792" t="s">
        <v>2114</v>
      </c>
      <c r="K65" s="797">
        <v>1250434.8888888888</v>
      </c>
      <c r="L65" s="798">
        <f t="shared" si="16"/>
        <v>5401878.7199999997</v>
      </c>
      <c r="M65" s="799"/>
      <c r="N65" s="799"/>
      <c r="O65" s="799"/>
      <c r="P65" s="799"/>
      <c r="Q65" s="799"/>
      <c r="R65" s="799"/>
      <c r="S65" s="799">
        <f t="shared" si="13"/>
        <v>4.32</v>
      </c>
      <c r="T65" s="799" t="str">
        <f t="shared" si="17"/>
        <v>m³</v>
      </c>
      <c r="U65" s="799">
        <f t="shared" si="17"/>
        <v>1250434.8888888888</v>
      </c>
      <c r="V65" s="799">
        <f t="shared" si="15"/>
        <v>5401878.7199999997</v>
      </c>
    </row>
    <row r="66" spans="5:22" ht="15" customHeight="1">
      <c r="E66" s="808">
        <v>2</v>
      </c>
      <c r="F66" s="809" t="s">
        <v>31</v>
      </c>
      <c r="G66" s="794"/>
      <c r="H66" s="795"/>
      <c r="I66" s="796">
        <v>546.55312255999991</v>
      </c>
      <c r="J66" s="792" t="s">
        <v>38</v>
      </c>
      <c r="K66" s="797">
        <v>17112.0075</v>
      </c>
      <c r="L66" s="798">
        <f t="shared" si="16"/>
        <v>9352621.1323951371</v>
      </c>
      <c r="M66" s="799"/>
      <c r="N66" s="799"/>
      <c r="O66" s="799"/>
      <c r="P66" s="799"/>
      <c r="Q66" s="799"/>
      <c r="R66" s="799"/>
      <c r="S66" s="799">
        <f t="shared" si="13"/>
        <v>546.55312255999991</v>
      </c>
      <c r="T66" s="799" t="str">
        <f t="shared" si="17"/>
        <v>kg</v>
      </c>
      <c r="U66" s="799">
        <f t="shared" si="17"/>
        <v>17112.0075</v>
      </c>
      <c r="V66" s="799">
        <f t="shared" si="15"/>
        <v>9352621.1323951371</v>
      </c>
    </row>
    <row r="67" spans="5:22" ht="15" customHeight="1">
      <c r="E67" s="808">
        <v>3</v>
      </c>
      <c r="F67" s="809" t="s">
        <v>156</v>
      </c>
      <c r="G67" s="794"/>
      <c r="H67" s="795"/>
      <c r="I67" s="796">
        <v>57.599999999999994</v>
      </c>
      <c r="J67" s="792" t="s">
        <v>2102</v>
      </c>
      <c r="K67" s="797">
        <v>305481.75</v>
      </c>
      <c r="L67" s="798">
        <f t="shared" si="16"/>
        <v>17595748.799999997</v>
      </c>
      <c r="M67" s="799"/>
      <c r="N67" s="799"/>
      <c r="O67" s="799"/>
      <c r="P67" s="799"/>
      <c r="Q67" s="799"/>
      <c r="R67" s="799"/>
      <c r="S67" s="799">
        <f t="shared" si="13"/>
        <v>57.599999999999994</v>
      </c>
      <c r="T67" s="799" t="str">
        <f t="shared" si="17"/>
        <v>m²</v>
      </c>
      <c r="U67" s="799">
        <f t="shared" si="17"/>
        <v>305481.75</v>
      </c>
      <c r="V67" s="799">
        <f t="shared" si="15"/>
        <v>17595748.799999997</v>
      </c>
    </row>
    <row r="68" spans="5:22" ht="15" customHeight="1">
      <c r="E68" s="807" t="s">
        <v>2145</v>
      </c>
      <c r="F68" s="793" t="s">
        <v>2146</v>
      </c>
      <c r="G68" s="794"/>
      <c r="H68" s="795"/>
      <c r="I68" s="796" t="s">
        <v>2111</v>
      </c>
      <c r="J68" s="792" t="s">
        <v>2111</v>
      </c>
      <c r="K68" s="800"/>
      <c r="L68" s="798" t="str">
        <f t="shared" si="16"/>
        <v/>
      </c>
      <c r="M68" s="799"/>
      <c r="N68" s="799"/>
      <c r="O68" s="799"/>
      <c r="P68" s="799"/>
      <c r="Q68" s="799"/>
      <c r="R68" s="799"/>
      <c r="S68" s="799"/>
      <c r="T68" s="799"/>
      <c r="U68" s="799"/>
      <c r="V68" s="799"/>
    </row>
    <row r="69" spans="5:22" ht="15" customHeight="1">
      <c r="E69" s="808">
        <v>1</v>
      </c>
      <c r="F69" s="809" t="s">
        <v>2140</v>
      </c>
      <c r="G69" s="794"/>
      <c r="H69" s="795"/>
      <c r="I69" s="796">
        <v>5.6114999999999995</v>
      </c>
      <c r="J69" s="792" t="s">
        <v>2114</v>
      </c>
      <c r="K69" s="797">
        <v>1167765.6666666667</v>
      </c>
      <c r="L69" s="798">
        <f t="shared" si="16"/>
        <v>6552917.0384999998</v>
      </c>
      <c r="M69" s="799"/>
      <c r="N69" s="799"/>
      <c r="O69" s="799"/>
      <c r="P69" s="799"/>
      <c r="Q69" s="799"/>
      <c r="R69" s="799"/>
      <c r="S69" s="799">
        <f t="shared" si="13"/>
        <v>5.6114999999999995</v>
      </c>
      <c r="T69" s="799" t="str">
        <f t="shared" si="17"/>
        <v>m³</v>
      </c>
      <c r="U69" s="799">
        <f t="shared" si="17"/>
        <v>1167765.6666666667</v>
      </c>
      <c r="V69" s="799">
        <f t="shared" si="15"/>
        <v>6552917.0384999998</v>
      </c>
    </row>
    <row r="70" spans="5:22" ht="15" customHeight="1">
      <c r="E70" s="808">
        <v>2</v>
      </c>
      <c r="F70" s="809" t="s">
        <v>31</v>
      </c>
      <c r="G70" s="794"/>
      <c r="H70" s="795"/>
      <c r="I70" s="796">
        <v>1003.5657947400001</v>
      </c>
      <c r="J70" s="792" t="s">
        <v>38</v>
      </c>
      <c r="K70" s="797">
        <v>17112.0075</v>
      </c>
      <c r="L70" s="798">
        <f t="shared" si="16"/>
        <v>17173025.406334341</v>
      </c>
      <c r="M70" s="799"/>
      <c r="N70" s="799"/>
      <c r="O70" s="799"/>
      <c r="P70" s="799"/>
      <c r="Q70" s="799"/>
      <c r="R70" s="799"/>
      <c r="S70" s="799">
        <f t="shared" si="13"/>
        <v>1003.5657947400001</v>
      </c>
      <c r="T70" s="799" t="str">
        <f t="shared" si="17"/>
        <v>kg</v>
      </c>
      <c r="U70" s="799">
        <f t="shared" si="17"/>
        <v>17112.0075</v>
      </c>
      <c r="V70" s="799">
        <f t="shared" si="15"/>
        <v>17173025.406334341</v>
      </c>
    </row>
    <row r="71" spans="5:22" ht="15" customHeight="1">
      <c r="E71" s="808">
        <v>3</v>
      </c>
      <c r="F71" s="809" t="s">
        <v>156</v>
      </c>
      <c r="G71" s="794"/>
      <c r="H71" s="795"/>
      <c r="I71" s="796">
        <v>74.819999999999993</v>
      </c>
      <c r="J71" s="792" t="s">
        <v>2102</v>
      </c>
      <c r="K71" s="797">
        <v>305481.75</v>
      </c>
      <c r="L71" s="798">
        <f t="shared" si="16"/>
        <v>22856144.534999996</v>
      </c>
      <c r="M71" s="799"/>
      <c r="N71" s="799"/>
      <c r="O71" s="799"/>
      <c r="P71" s="799"/>
      <c r="Q71" s="799"/>
      <c r="R71" s="799"/>
      <c r="S71" s="799">
        <f t="shared" si="13"/>
        <v>74.819999999999993</v>
      </c>
      <c r="T71" s="799" t="str">
        <f t="shared" si="17"/>
        <v>m²</v>
      </c>
      <c r="U71" s="799">
        <f t="shared" si="17"/>
        <v>305481.75</v>
      </c>
      <c r="V71" s="799">
        <f t="shared" si="15"/>
        <v>22856144.534999996</v>
      </c>
    </row>
    <row r="72" spans="5:22" ht="15" customHeight="1">
      <c r="E72" s="807" t="s">
        <v>2147</v>
      </c>
      <c r="F72" s="809" t="s">
        <v>2148</v>
      </c>
      <c r="G72" s="794"/>
      <c r="H72" s="795"/>
      <c r="I72" s="796"/>
      <c r="J72" s="792"/>
      <c r="K72" s="797"/>
      <c r="L72" s="798" t="str">
        <f t="shared" si="16"/>
        <v/>
      </c>
      <c r="M72" s="799"/>
      <c r="N72" s="799"/>
      <c r="O72" s="799"/>
      <c r="P72" s="799"/>
      <c r="Q72" s="799"/>
      <c r="R72" s="799"/>
      <c r="S72" s="799"/>
      <c r="T72" s="799"/>
      <c r="U72" s="799"/>
      <c r="V72" s="799"/>
    </row>
    <row r="73" spans="5:22" ht="15" customHeight="1">
      <c r="E73" s="808">
        <v>1</v>
      </c>
      <c r="F73" s="809" t="s">
        <v>2125</v>
      </c>
      <c r="G73" s="794"/>
      <c r="H73" s="795"/>
      <c r="I73" s="796">
        <v>0.75</v>
      </c>
      <c r="J73" s="792" t="s">
        <v>2114</v>
      </c>
      <c r="K73" s="797">
        <v>1250434.8888888888</v>
      </c>
      <c r="L73" s="798">
        <f t="shared" si="16"/>
        <v>937826.16666666651</v>
      </c>
      <c r="M73" s="799"/>
      <c r="N73" s="799"/>
      <c r="O73" s="799"/>
      <c r="P73" s="799"/>
      <c r="Q73" s="799"/>
      <c r="R73" s="799"/>
      <c r="S73" s="799">
        <f t="shared" si="13"/>
        <v>0.75</v>
      </c>
      <c r="T73" s="799" t="str">
        <f t="shared" si="17"/>
        <v>m³</v>
      </c>
      <c r="U73" s="799">
        <f t="shared" si="17"/>
        <v>1250434.8888888888</v>
      </c>
      <c r="V73" s="799">
        <f t="shared" si="15"/>
        <v>937826.16666666651</v>
      </c>
    </row>
    <row r="74" spans="5:22" ht="15" customHeight="1">
      <c r="E74" s="808">
        <v>2</v>
      </c>
      <c r="F74" s="809" t="s">
        <v>31</v>
      </c>
      <c r="G74" s="794"/>
      <c r="H74" s="795"/>
      <c r="I74" s="796">
        <v>135.87843413333334</v>
      </c>
      <c r="J74" s="792" t="s">
        <v>38</v>
      </c>
      <c r="K74" s="797">
        <v>17112.0075</v>
      </c>
      <c r="L74" s="798">
        <f t="shared" si="16"/>
        <v>2325152.7839778559</v>
      </c>
      <c r="M74" s="799"/>
      <c r="N74" s="799"/>
      <c r="O74" s="799"/>
      <c r="P74" s="799"/>
      <c r="Q74" s="799"/>
      <c r="R74" s="799"/>
      <c r="S74" s="799">
        <f t="shared" si="13"/>
        <v>135.87843413333334</v>
      </c>
      <c r="T74" s="799" t="str">
        <f t="shared" si="17"/>
        <v>kg</v>
      </c>
      <c r="U74" s="799">
        <f t="shared" si="17"/>
        <v>17112.0075</v>
      </c>
      <c r="V74" s="799">
        <f t="shared" si="15"/>
        <v>2325152.7839778559</v>
      </c>
    </row>
    <row r="75" spans="5:22" ht="15" customHeight="1">
      <c r="E75" s="808">
        <v>3</v>
      </c>
      <c r="F75" s="809" t="s">
        <v>156</v>
      </c>
      <c r="G75" s="794"/>
      <c r="H75" s="795"/>
      <c r="I75" s="796">
        <v>16</v>
      </c>
      <c r="J75" s="792" t="s">
        <v>2102</v>
      </c>
      <c r="K75" s="797">
        <v>305481.75</v>
      </c>
      <c r="L75" s="798">
        <f t="shared" si="16"/>
        <v>4887708</v>
      </c>
      <c r="M75" s="799"/>
      <c r="N75" s="799"/>
      <c r="O75" s="799"/>
      <c r="P75" s="799"/>
      <c r="Q75" s="799"/>
      <c r="R75" s="799"/>
      <c r="S75" s="799">
        <f t="shared" si="13"/>
        <v>16</v>
      </c>
      <c r="T75" s="799" t="str">
        <f t="shared" si="17"/>
        <v>m²</v>
      </c>
      <c r="U75" s="799">
        <f t="shared" si="17"/>
        <v>305481.75</v>
      </c>
      <c r="V75" s="799">
        <f t="shared" si="15"/>
        <v>4887708</v>
      </c>
    </row>
    <row r="76" spans="5:22" ht="15" customHeight="1">
      <c r="E76" s="807" t="s">
        <v>2149</v>
      </c>
      <c r="F76" s="793" t="s">
        <v>2150</v>
      </c>
      <c r="G76" s="794"/>
      <c r="H76" s="795"/>
      <c r="I76" s="796" t="s">
        <v>2111</v>
      </c>
      <c r="J76" s="792" t="s">
        <v>2111</v>
      </c>
      <c r="K76" s="800"/>
      <c r="L76" s="798" t="str">
        <f t="shared" si="16"/>
        <v/>
      </c>
      <c r="M76" s="799"/>
      <c r="N76" s="799"/>
      <c r="O76" s="799"/>
      <c r="P76" s="799"/>
      <c r="Q76" s="799"/>
      <c r="R76" s="799"/>
      <c r="S76" s="799"/>
      <c r="T76" s="799"/>
      <c r="U76" s="799"/>
      <c r="V76" s="799"/>
    </row>
    <row r="77" spans="5:22" ht="15" customHeight="1">
      <c r="E77" s="808">
        <v>1</v>
      </c>
      <c r="F77" s="809" t="s">
        <v>2125</v>
      </c>
      <c r="G77" s="794"/>
      <c r="H77" s="795"/>
      <c r="I77" s="796">
        <v>1.0079999999999998</v>
      </c>
      <c r="J77" s="792" t="s">
        <v>2114</v>
      </c>
      <c r="K77" s="797">
        <v>1250434.8888888888</v>
      </c>
      <c r="L77" s="798">
        <f t="shared" si="16"/>
        <v>1260438.3679999996</v>
      </c>
      <c r="M77" s="799"/>
      <c r="N77" s="799"/>
      <c r="O77" s="799"/>
      <c r="P77" s="799"/>
      <c r="Q77" s="799"/>
      <c r="R77" s="799"/>
      <c r="S77" s="799">
        <f t="shared" si="13"/>
        <v>1.0079999999999998</v>
      </c>
      <c r="T77" s="799" t="str">
        <f t="shared" si="17"/>
        <v>m³</v>
      </c>
      <c r="U77" s="799">
        <f t="shared" si="17"/>
        <v>1250434.8888888888</v>
      </c>
      <c r="V77" s="799">
        <f t="shared" si="15"/>
        <v>1260438.3679999996</v>
      </c>
    </row>
    <row r="78" spans="5:22" ht="15" customHeight="1">
      <c r="E78" s="808">
        <v>2</v>
      </c>
      <c r="F78" s="809" t="s">
        <v>31</v>
      </c>
      <c r="G78" s="794"/>
      <c r="H78" s="795"/>
      <c r="I78" s="796">
        <v>110.47016277</v>
      </c>
      <c r="J78" s="792" t="s">
        <v>38</v>
      </c>
      <c r="K78" s="797">
        <v>17112.0075</v>
      </c>
      <c r="L78" s="798">
        <f t="shared" si="16"/>
        <v>1890366.2538464607</v>
      </c>
      <c r="M78" s="799"/>
      <c r="N78" s="799"/>
      <c r="O78" s="799"/>
      <c r="P78" s="799"/>
      <c r="Q78" s="799"/>
      <c r="R78" s="799"/>
      <c r="S78" s="799">
        <f t="shared" si="13"/>
        <v>110.47016277</v>
      </c>
      <c r="T78" s="799" t="str">
        <f t="shared" si="17"/>
        <v>kg</v>
      </c>
      <c r="U78" s="799">
        <f t="shared" si="17"/>
        <v>17112.0075</v>
      </c>
      <c r="V78" s="799">
        <f t="shared" si="15"/>
        <v>1890366.2538464607</v>
      </c>
    </row>
    <row r="79" spans="5:22" ht="15" customHeight="1">
      <c r="E79" s="808">
        <v>3</v>
      </c>
      <c r="F79" s="809" t="s">
        <v>156</v>
      </c>
      <c r="G79" s="794"/>
      <c r="H79" s="795"/>
      <c r="I79" s="796">
        <v>13.440000000000001</v>
      </c>
      <c r="J79" s="792" t="s">
        <v>2102</v>
      </c>
      <c r="K79" s="797">
        <v>305481.75</v>
      </c>
      <c r="L79" s="798">
        <f t="shared" si="16"/>
        <v>4105674.72</v>
      </c>
      <c r="M79" s="799"/>
      <c r="N79" s="799"/>
      <c r="O79" s="799"/>
      <c r="P79" s="799"/>
      <c r="Q79" s="799"/>
      <c r="R79" s="799"/>
      <c r="S79" s="799">
        <f t="shared" si="13"/>
        <v>13.440000000000001</v>
      </c>
      <c r="T79" s="799" t="str">
        <f t="shared" si="17"/>
        <v>m²</v>
      </c>
      <c r="U79" s="799">
        <f t="shared" si="17"/>
        <v>305481.75</v>
      </c>
      <c r="V79" s="799">
        <f t="shared" si="15"/>
        <v>4105674.72</v>
      </c>
    </row>
    <row r="80" spans="5:22" ht="15" customHeight="1">
      <c r="E80" s="807" t="s">
        <v>2151</v>
      </c>
      <c r="F80" s="793" t="s">
        <v>2152</v>
      </c>
      <c r="G80" s="794"/>
      <c r="H80" s="795"/>
      <c r="I80" s="796" t="s">
        <v>2111</v>
      </c>
      <c r="J80" s="792" t="s">
        <v>2111</v>
      </c>
      <c r="K80" s="800"/>
      <c r="L80" s="798" t="str">
        <f t="shared" si="16"/>
        <v/>
      </c>
      <c r="M80" s="799"/>
      <c r="N80" s="799"/>
      <c r="O80" s="799"/>
      <c r="P80" s="799"/>
      <c r="Q80" s="799"/>
      <c r="R80" s="799"/>
      <c r="S80" s="799"/>
      <c r="T80" s="799"/>
      <c r="U80" s="799"/>
      <c r="V80" s="799"/>
    </row>
    <row r="81" spans="5:22" ht="15" customHeight="1">
      <c r="E81" s="808">
        <v>1</v>
      </c>
      <c r="F81" s="809" t="s">
        <v>2125</v>
      </c>
      <c r="G81" s="794"/>
      <c r="H81" s="795"/>
      <c r="I81" s="796">
        <v>1.8900000000000001</v>
      </c>
      <c r="J81" s="792" t="s">
        <v>2114</v>
      </c>
      <c r="K81" s="797">
        <v>1250434.8888888888</v>
      </c>
      <c r="L81" s="798">
        <f t="shared" si="16"/>
        <v>2363321.94</v>
      </c>
      <c r="M81" s="799"/>
      <c r="N81" s="799"/>
      <c r="O81" s="799"/>
      <c r="P81" s="799"/>
      <c r="Q81" s="799"/>
      <c r="R81" s="799"/>
      <c r="S81" s="799">
        <f t="shared" si="13"/>
        <v>1.8900000000000001</v>
      </c>
      <c r="T81" s="799" t="str">
        <f t="shared" si="17"/>
        <v>m³</v>
      </c>
      <c r="U81" s="799">
        <f t="shared" si="17"/>
        <v>1250434.8888888888</v>
      </c>
      <c r="V81" s="799">
        <f t="shared" si="15"/>
        <v>2363321.94</v>
      </c>
    </row>
    <row r="82" spans="5:22" ht="15" customHeight="1">
      <c r="E82" s="808">
        <v>2</v>
      </c>
      <c r="F82" s="809" t="s">
        <v>31</v>
      </c>
      <c r="G82" s="794"/>
      <c r="H82" s="795"/>
      <c r="I82" s="796">
        <v>204.65859291666672</v>
      </c>
      <c r="J82" s="792" t="s">
        <v>38</v>
      </c>
      <c r="K82" s="797">
        <v>17112.0075</v>
      </c>
      <c r="L82" s="798">
        <f t="shared" si="16"/>
        <v>3502119.3769294475</v>
      </c>
      <c r="M82" s="799"/>
      <c r="N82" s="799"/>
      <c r="O82" s="799"/>
      <c r="P82" s="799"/>
      <c r="Q82" s="799"/>
      <c r="R82" s="799"/>
      <c r="S82" s="799">
        <f t="shared" si="13"/>
        <v>204.65859291666672</v>
      </c>
      <c r="T82" s="799" t="str">
        <f t="shared" si="17"/>
        <v>kg</v>
      </c>
      <c r="U82" s="799">
        <f t="shared" si="17"/>
        <v>17112.0075</v>
      </c>
      <c r="V82" s="799">
        <f t="shared" si="15"/>
        <v>3502119.3769294475</v>
      </c>
    </row>
    <row r="83" spans="5:22" ht="15" customHeight="1">
      <c r="E83" s="808">
        <v>3</v>
      </c>
      <c r="F83" s="809" t="s">
        <v>156</v>
      </c>
      <c r="G83" s="794"/>
      <c r="H83" s="795"/>
      <c r="I83" s="796">
        <v>15.150000000000002</v>
      </c>
      <c r="J83" s="792" t="s">
        <v>2102</v>
      </c>
      <c r="K83" s="797">
        <v>285531.75</v>
      </c>
      <c r="L83" s="798">
        <f t="shared" si="16"/>
        <v>4325806.0125000002</v>
      </c>
      <c r="M83" s="799"/>
      <c r="N83" s="799"/>
      <c r="O83" s="799"/>
      <c r="P83" s="799"/>
      <c r="Q83" s="799"/>
      <c r="R83" s="799"/>
      <c r="S83" s="799">
        <f t="shared" si="13"/>
        <v>15.150000000000002</v>
      </c>
      <c r="T83" s="799" t="str">
        <f t="shared" si="17"/>
        <v>m²</v>
      </c>
      <c r="U83" s="799">
        <f t="shared" si="17"/>
        <v>285531.75</v>
      </c>
      <c r="V83" s="799">
        <f t="shared" si="15"/>
        <v>4325806.0125000002</v>
      </c>
    </row>
    <row r="84" spans="5:22" ht="15" customHeight="1">
      <c r="E84" s="807" t="s">
        <v>2153</v>
      </c>
      <c r="F84" s="793" t="s">
        <v>2154</v>
      </c>
      <c r="G84" s="794"/>
      <c r="H84" s="795"/>
      <c r="I84" s="796" t="s">
        <v>2111</v>
      </c>
      <c r="J84" s="792" t="s">
        <v>2111</v>
      </c>
      <c r="K84" s="800"/>
      <c r="L84" s="798" t="str">
        <f t="shared" si="16"/>
        <v/>
      </c>
      <c r="M84" s="799"/>
      <c r="N84" s="799"/>
      <c r="O84" s="799"/>
      <c r="P84" s="799"/>
      <c r="Q84" s="799"/>
      <c r="R84" s="799"/>
      <c r="S84" s="799"/>
      <c r="T84" s="799"/>
      <c r="U84" s="799"/>
      <c r="V84" s="799"/>
    </row>
    <row r="85" spans="5:22" ht="15" customHeight="1">
      <c r="E85" s="808">
        <v>1</v>
      </c>
      <c r="F85" s="809" t="s">
        <v>2125</v>
      </c>
      <c r="G85" s="794"/>
      <c r="H85" s="795"/>
      <c r="I85" s="796">
        <v>12.334999999999999</v>
      </c>
      <c r="J85" s="792" t="s">
        <v>2114</v>
      </c>
      <c r="K85" s="797">
        <v>1250434.8888888888</v>
      </c>
      <c r="L85" s="798">
        <f t="shared" si="16"/>
        <v>15424114.354444442</v>
      </c>
      <c r="M85" s="799"/>
      <c r="N85" s="799"/>
      <c r="O85" s="799"/>
      <c r="P85" s="799"/>
      <c r="Q85" s="799"/>
      <c r="R85" s="799"/>
      <c r="S85" s="799">
        <f t="shared" si="13"/>
        <v>12.334999999999999</v>
      </c>
      <c r="T85" s="799" t="str">
        <f t="shared" si="17"/>
        <v>m³</v>
      </c>
      <c r="U85" s="799">
        <f t="shared" si="17"/>
        <v>1250434.8888888888</v>
      </c>
      <c r="V85" s="799">
        <f t="shared" si="15"/>
        <v>15424114.354444442</v>
      </c>
    </row>
    <row r="86" spans="5:22" ht="15" customHeight="1">
      <c r="E86" s="808">
        <v>2</v>
      </c>
      <c r="F86" s="809" t="s">
        <v>31</v>
      </c>
      <c r="G86" s="794"/>
      <c r="H86" s="795"/>
      <c r="I86" s="796">
        <v>1732.6006405899996</v>
      </c>
      <c r="J86" s="792" t="s">
        <v>38</v>
      </c>
      <c r="K86" s="797">
        <v>17112.0075</v>
      </c>
      <c r="L86" s="798">
        <f t="shared" si="16"/>
        <v>29648275.156280875</v>
      </c>
      <c r="M86" s="799"/>
      <c r="N86" s="799"/>
      <c r="O86" s="799"/>
      <c r="P86" s="799"/>
      <c r="Q86" s="799"/>
      <c r="R86" s="799"/>
      <c r="S86" s="799">
        <f t="shared" si="13"/>
        <v>1732.6006405899996</v>
      </c>
      <c r="T86" s="799" t="str">
        <f t="shared" si="17"/>
        <v>kg</v>
      </c>
      <c r="U86" s="799">
        <f t="shared" si="17"/>
        <v>17112.0075</v>
      </c>
      <c r="V86" s="799">
        <f t="shared" si="15"/>
        <v>29648275.156280875</v>
      </c>
    </row>
    <row r="87" spans="5:22" ht="15" customHeight="1">
      <c r="E87" s="808">
        <v>3</v>
      </c>
      <c r="F87" s="809" t="s">
        <v>156</v>
      </c>
      <c r="G87" s="794"/>
      <c r="H87" s="795"/>
      <c r="I87" s="796">
        <v>98.679999999999993</v>
      </c>
      <c r="J87" s="792" t="s">
        <v>2102</v>
      </c>
      <c r="K87" s="797">
        <v>312096.75</v>
      </c>
      <c r="L87" s="798">
        <f t="shared" si="16"/>
        <v>30797707.289999999</v>
      </c>
      <c r="M87" s="799"/>
      <c r="N87" s="799"/>
      <c r="O87" s="799"/>
      <c r="P87" s="799"/>
      <c r="Q87" s="799"/>
      <c r="R87" s="799"/>
      <c r="S87" s="799">
        <f t="shared" si="13"/>
        <v>98.679999999999993</v>
      </c>
      <c r="T87" s="799" t="str">
        <f t="shared" si="17"/>
        <v>m²</v>
      </c>
      <c r="U87" s="799">
        <f t="shared" si="17"/>
        <v>312096.75</v>
      </c>
      <c r="V87" s="799">
        <f t="shared" si="15"/>
        <v>30797707.289999999</v>
      </c>
    </row>
    <row r="88" spans="5:22" ht="15" customHeight="1">
      <c r="E88" s="807" t="s">
        <v>2155</v>
      </c>
      <c r="F88" s="793" t="s">
        <v>2156</v>
      </c>
      <c r="G88" s="794"/>
      <c r="H88" s="795"/>
      <c r="I88" s="796" t="s">
        <v>2111</v>
      </c>
      <c r="J88" s="792" t="s">
        <v>2111</v>
      </c>
      <c r="K88" s="800"/>
      <c r="L88" s="798" t="str">
        <f t="shared" si="16"/>
        <v/>
      </c>
      <c r="M88" s="799"/>
      <c r="N88" s="799"/>
      <c r="O88" s="799"/>
      <c r="P88" s="799"/>
      <c r="Q88" s="799"/>
      <c r="R88" s="799"/>
      <c r="S88" s="799"/>
      <c r="T88" s="799"/>
      <c r="U88" s="799"/>
      <c r="V88" s="799"/>
    </row>
    <row r="89" spans="5:22" ht="15" customHeight="1">
      <c r="E89" s="808">
        <v>1</v>
      </c>
      <c r="F89" s="809" t="s">
        <v>2125</v>
      </c>
      <c r="G89" s="794"/>
      <c r="H89" s="795"/>
      <c r="I89" s="796">
        <v>4.6357499999999998</v>
      </c>
      <c r="J89" s="792" t="s">
        <v>2114</v>
      </c>
      <c r="K89" s="797">
        <v>1250434.8888888888</v>
      </c>
      <c r="L89" s="798">
        <f t="shared" si="16"/>
        <v>5796703.5361666661</v>
      </c>
      <c r="M89" s="799"/>
      <c r="N89" s="799"/>
      <c r="O89" s="799"/>
      <c r="P89" s="799"/>
      <c r="Q89" s="799"/>
      <c r="R89" s="799"/>
      <c r="S89" s="799">
        <f t="shared" si="13"/>
        <v>4.6357499999999998</v>
      </c>
      <c r="T89" s="799" t="str">
        <f t="shared" si="17"/>
        <v>m³</v>
      </c>
      <c r="U89" s="799">
        <f t="shared" si="17"/>
        <v>1250434.8888888888</v>
      </c>
      <c r="V89" s="799">
        <f t="shared" si="15"/>
        <v>5796703.5361666661</v>
      </c>
    </row>
    <row r="90" spans="5:22" ht="15" customHeight="1">
      <c r="E90" s="808">
        <v>2</v>
      </c>
      <c r="F90" s="809" t="s">
        <v>31</v>
      </c>
      <c r="G90" s="794"/>
      <c r="H90" s="795"/>
      <c r="I90" s="796">
        <v>941.66030778733307</v>
      </c>
      <c r="J90" s="792" t="s">
        <v>38</v>
      </c>
      <c r="K90" s="797">
        <v>17112.0075</v>
      </c>
      <c r="L90" s="798">
        <f t="shared" si="16"/>
        <v>16113698.249309152</v>
      </c>
      <c r="M90" s="799"/>
      <c r="N90" s="799"/>
      <c r="O90" s="799"/>
      <c r="P90" s="799"/>
      <c r="Q90" s="799"/>
      <c r="R90" s="799"/>
      <c r="S90" s="799">
        <f t="shared" si="13"/>
        <v>941.66030778733307</v>
      </c>
      <c r="T90" s="799" t="str">
        <f t="shared" si="17"/>
        <v>kg</v>
      </c>
      <c r="U90" s="799">
        <f t="shared" si="17"/>
        <v>17112.0075</v>
      </c>
      <c r="V90" s="799">
        <f t="shared" si="15"/>
        <v>16113698.249309152</v>
      </c>
    </row>
    <row r="91" spans="5:22" ht="15" customHeight="1">
      <c r="E91" s="808">
        <v>3</v>
      </c>
      <c r="F91" s="809" t="s">
        <v>156</v>
      </c>
      <c r="G91" s="794"/>
      <c r="H91" s="795"/>
      <c r="I91" s="796">
        <v>61.809999999999995</v>
      </c>
      <c r="J91" s="792" t="s">
        <v>2102</v>
      </c>
      <c r="K91" s="797">
        <v>312096.75</v>
      </c>
      <c r="L91" s="798">
        <f t="shared" si="16"/>
        <v>19290700.1175</v>
      </c>
      <c r="M91" s="799"/>
      <c r="N91" s="799"/>
      <c r="O91" s="799"/>
      <c r="P91" s="799"/>
      <c r="Q91" s="799"/>
      <c r="R91" s="799"/>
      <c r="S91" s="799">
        <f t="shared" si="13"/>
        <v>61.809999999999995</v>
      </c>
      <c r="T91" s="799" t="str">
        <f t="shared" si="17"/>
        <v>m²</v>
      </c>
      <c r="U91" s="799">
        <f t="shared" si="17"/>
        <v>312096.75</v>
      </c>
      <c r="V91" s="799">
        <f t="shared" si="15"/>
        <v>19290700.1175</v>
      </c>
    </row>
    <row r="92" spans="5:22" ht="15" customHeight="1">
      <c r="E92" s="807" t="s">
        <v>2157</v>
      </c>
      <c r="F92" s="793" t="s">
        <v>2158</v>
      </c>
      <c r="G92" s="794"/>
      <c r="H92" s="795"/>
      <c r="I92" s="796" t="s">
        <v>2111</v>
      </c>
      <c r="J92" s="792" t="s">
        <v>2111</v>
      </c>
      <c r="K92" s="800"/>
      <c r="L92" s="798" t="str">
        <f t="shared" si="16"/>
        <v/>
      </c>
      <c r="M92" s="799"/>
      <c r="N92" s="799"/>
      <c r="O92" s="799"/>
      <c r="P92" s="799"/>
      <c r="Q92" s="799"/>
      <c r="R92" s="799"/>
      <c r="S92" s="799"/>
      <c r="T92" s="799"/>
      <c r="U92" s="799"/>
      <c r="V92" s="799"/>
    </row>
    <row r="93" spans="5:22" ht="15" customHeight="1">
      <c r="E93" s="808">
        <v>1</v>
      </c>
      <c r="F93" s="809" t="s">
        <v>2125</v>
      </c>
      <c r="G93" s="794"/>
      <c r="H93" s="795"/>
      <c r="I93" s="796">
        <v>0.71737499999999998</v>
      </c>
      <c r="J93" s="792" t="s">
        <v>2114</v>
      </c>
      <c r="K93" s="797">
        <v>1250434.8888888888</v>
      </c>
      <c r="L93" s="798">
        <f t="shared" si="16"/>
        <v>897030.7284166665</v>
      </c>
      <c r="M93" s="799"/>
      <c r="N93" s="799"/>
      <c r="O93" s="799"/>
      <c r="P93" s="799"/>
      <c r="Q93" s="799"/>
      <c r="R93" s="799"/>
      <c r="S93" s="799">
        <f t="shared" si="13"/>
        <v>0.71737499999999998</v>
      </c>
      <c r="T93" s="799" t="str">
        <f t="shared" si="17"/>
        <v>m³</v>
      </c>
      <c r="U93" s="799">
        <f t="shared" si="17"/>
        <v>1250434.8888888888</v>
      </c>
      <c r="V93" s="799">
        <f t="shared" si="15"/>
        <v>897030.7284166665</v>
      </c>
    </row>
    <row r="94" spans="5:22" ht="15" customHeight="1">
      <c r="E94" s="808">
        <v>2</v>
      </c>
      <c r="F94" s="809" t="s">
        <v>31</v>
      </c>
      <c r="G94" s="794"/>
      <c r="H94" s="795"/>
      <c r="I94" s="796">
        <v>185.73852992933328</v>
      </c>
      <c r="J94" s="792" t="s">
        <v>38</v>
      </c>
      <c r="K94" s="797">
        <v>17112.0075</v>
      </c>
      <c r="L94" s="798">
        <f t="shared" si="16"/>
        <v>3178359.1171897254</v>
      </c>
      <c r="M94" s="799"/>
      <c r="N94" s="799"/>
      <c r="O94" s="799"/>
      <c r="P94" s="799"/>
      <c r="Q94" s="799"/>
      <c r="R94" s="799"/>
      <c r="S94" s="799">
        <f t="shared" si="13"/>
        <v>185.73852992933328</v>
      </c>
      <c r="T94" s="799" t="str">
        <f t="shared" si="17"/>
        <v>kg</v>
      </c>
      <c r="U94" s="799">
        <f t="shared" si="17"/>
        <v>17112.0075</v>
      </c>
      <c r="V94" s="799">
        <f t="shared" si="15"/>
        <v>3178359.1171897254</v>
      </c>
    </row>
    <row r="95" spans="5:22" ht="15" customHeight="1">
      <c r="E95" s="808">
        <v>3</v>
      </c>
      <c r="F95" s="809" t="s">
        <v>156</v>
      </c>
      <c r="G95" s="794"/>
      <c r="H95" s="795"/>
      <c r="I95" s="796">
        <v>9.5649999999999995</v>
      </c>
      <c r="J95" s="792" t="s">
        <v>2102</v>
      </c>
      <c r="K95" s="797">
        <v>312096.75</v>
      </c>
      <c r="L95" s="798">
        <f t="shared" si="16"/>
        <v>2985205.4137499998</v>
      </c>
      <c r="M95" s="799"/>
      <c r="N95" s="799"/>
      <c r="O95" s="799"/>
      <c r="P95" s="799"/>
      <c r="Q95" s="799"/>
      <c r="R95" s="799"/>
      <c r="S95" s="799">
        <f t="shared" si="13"/>
        <v>9.5649999999999995</v>
      </c>
      <c r="T95" s="799" t="str">
        <f t="shared" si="17"/>
        <v>m²</v>
      </c>
      <c r="U95" s="799">
        <f t="shared" si="17"/>
        <v>312096.75</v>
      </c>
      <c r="V95" s="799">
        <f t="shared" si="15"/>
        <v>2985205.4137499998</v>
      </c>
    </row>
    <row r="96" spans="5:22" ht="15" customHeight="1">
      <c r="E96" s="808" t="s">
        <v>2159</v>
      </c>
      <c r="F96" s="809" t="s">
        <v>2160</v>
      </c>
      <c r="G96" s="794"/>
      <c r="H96" s="795"/>
      <c r="I96" s="796"/>
      <c r="J96" s="792"/>
      <c r="K96" s="797"/>
      <c r="L96" s="798" t="str">
        <f t="shared" si="16"/>
        <v/>
      </c>
      <c r="M96" s="799"/>
      <c r="N96" s="799"/>
      <c r="O96" s="799"/>
      <c r="P96" s="799"/>
      <c r="Q96" s="799"/>
      <c r="R96" s="799"/>
      <c r="S96" s="799"/>
      <c r="T96" s="799"/>
      <c r="U96" s="799"/>
      <c r="V96" s="799"/>
    </row>
    <row r="97" spans="5:22" ht="15" customHeight="1">
      <c r="E97" s="808">
        <v>1</v>
      </c>
      <c r="F97" s="809" t="s">
        <v>2125</v>
      </c>
      <c r="G97" s="794"/>
      <c r="H97" s="795"/>
      <c r="I97" s="796">
        <v>0.27</v>
      </c>
      <c r="J97" s="792" t="s">
        <v>2114</v>
      </c>
      <c r="K97" s="797">
        <v>1250434.8888888888</v>
      </c>
      <c r="L97" s="798">
        <f t="shared" si="16"/>
        <v>337617.42</v>
      </c>
      <c r="M97" s="799">
        <v>0.54</v>
      </c>
      <c r="N97" s="799">
        <v>1250434.8888888888</v>
      </c>
      <c r="O97" s="798">
        <f>IF(M97="","",M97*N97)</f>
        <v>675234.84</v>
      </c>
      <c r="P97" s="799"/>
      <c r="Q97" s="799"/>
      <c r="R97" s="799"/>
      <c r="S97" s="799">
        <f t="shared" si="13"/>
        <v>0.81</v>
      </c>
      <c r="T97" s="799" t="str">
        <f t="shared" si="17"/>
        <v>m³</v>
      </c>
      <c r="U97" s="799">
        <f t="shared" si="17"/>
        <v>1250434.8888888888</v>
      </c>
      <c r="V97" s="799">
        <f t="shared" si="15"/>
        <v>1012852.26</v>
      </c>
    </row>
    <row r="98" spans="5:22" ht="15" customHeight="1">
      <c r="E98" s="808">
        <v>2</v>
      </c>
      <c r="F98" s="809" t="s">
        <v>31</v>
      </c>
      <c r="G98" s="794"/>
      <c r="H98" s="795"/>
      <c r="I98" s="796">
        <v>28.839330000000004</v>
      </c>
      <c r="J98" s="792" t="s">
        <v>38</v>
      </c>
      <c r="K98" s="797">
        <v>17112.0075</v>
      </c>
      <c r="L98" s="798">
        <f t="shared" si="16"/>
        <v>493498.83125497506</v>
      </c>
      <c r="M98" s="799">
        <v>47.56</v>
      </c>
      <c r="N98" s="799">
        <v>17112.0075</v>
      </c>
      <c r="O98" s="798">
        <f>IF(M98="","",M98*N98)</f>
        <v>813847.07669999998</v>
      </c>
      <c r="P98" s="799"/>
      <c r="Q98" s="799"/>
      <c r="R98" s="799"/>
      <c r="S98" s="799">
        <f t="shared" si="13"/>
        <v>76.399330000000006</v>
      </c>
      <c r="T98" s="799" t="str">
        <f t="shared" si="17"/>
        <v>kg</v>
      </c>
      <c r="U98" s="799">
        <f t="shared" si="17"/>
        <v>17112.0075</v>
      </c>
      <c r="V98" s="799">
        <f t="shared" si="15"/>
        <v>1307345.907954975</v>
      </c>
    </row>
    <row r="99" spans="5:22" ht="15" customHeight="1">
      <c r="E99" s="808">
        <v>3</v>
      </c>
      <c r="F99" s="809" t="s">
        <v>156</v>
      </c>
      <c r="G99" s="794"/>
      <c r="H99" s="795"/>
      <c r="I99" s="796">
        <v>2.25</v>
      </c>
      <c r="J99" s="792" t="s">
        <v>2102</v>
      </c>
      <c r="K99" s="797">
        <v>347481.75</v>
      </c>
      <c r="L99" s="798">
        <f t="shared" si="16"/>
        <v>781833.9375</v>
      </c>
      <c r="M99" s="799">
        <v>4.5</v>
      </c>
      <c r="N99" s="799">
        <v>347481.75</v>
      </c>
      <c r="O99" s="798">
        <f>IF(M99="","",M99*N99)</f>
        <v>1563667.875</v>
      </c>
      <c r="P99" s="799"/>
      <c r="Q99" s="799"/>
      <c r="R99" s="799"/>
      <c r="S99" s="799">
        <f t="shared" si="13"/>
        <v>6.75</v>
      </c>
      <c r="T99" s="799" t="str">
        <f t="shared" si="17"/>
        <v>m²</v>
      </c>
      <c r="U99" s="799">
        <f t="shared" si="17"/>
        <v>347481.75</v>
      </c>
      <c r="V99" s="799">
        <f t="shared" si="15"/>
        <v>2345501.8125</v>
      </c>
    </row>
    <row r="100" spans="5:22" ht="15" customHeight="1">
      <c r="E100" s="807" t="s">
        <v>2161</v>
      </c>
      <c r="F100" s="793" t="s">
        <v>2162</v>
      </c>
      <c r="G100" s="811"/>
      <c r="H100" s="812"/>
      <c r="I100" s="796" t="s">
        <v>2111</v>
      </c>
      <c r="J100" s="792"/>
      <c r="K100" s="797"/>
      <c r="L100" s="798" t="str">
        <f t="shared" si="16"/>
        <v/>
      </c>
      <c r="M100" s="799"/>
      <c r="N100" s="799"/>
      <c r="O100" s="799"/>
      <c r="P100" s="799"/>
      <c r="Q100" s="799"/>
      <c r="R100" s="799"/>
      <c r="S100" s="799"/>
      <c r="T100" s="799"/>
      <c r="U100" s="799"/>
      <c r="V100" s="799"/>
    </row>
    <row r="101" spans="5:22" ht="15" customHeight="1">
      <c r="E101" s="808">
        <v>1</v>
      </c>
      <c r="F101" s="809" t="s">
        <v>2125</v>
      </c>
      <c r="G101" s="811"/>
      <c r="H101" s="812"/>
      <c r="I101" s="796">
        <v>23.231999999999999</v>
      </c>
      <c r="J101" s="792" t="s">
        <v>2114</v>
      </c>
      <c r="K101" s="797">
        <v>1250434.8888888888</v>
      </c>
      <c r="L101" s="798">
        <f t="shared" si="16"/>
        <v>29050103.338666663</v>
      </c>
      <c r="M101" s="799"/>
      <c r="N101" s="799"/>
      <c r="O101" s="799"/>
      <c r="P101" s="799"/>
      <c r="Q101" s="799"/>
      <c r="R101" s="799"/>
      <c r="S101" s="799">
        <f t="shared" si="13"/>
        <v>23.231999999999999</v>
      </c>
      <c r="T101" s="799" t="str">
        <f t="shared" si="17"/>
        <v>m³</v>
      </c>
      <c r="U101" s="799">
        <f t="shared" si="17"/>
        <v>1250434.8888888888</v>
      </c>
      <c r="V101" s="799">
        <f t="shared" si="15"/>
        <v>29050103.338666663</v>
      </c>
    </row>
    <row r="102" spans="5:22" ht="15" customHeight="1">
      <c r="E102" s="808">
        <v>2</v>
      </c>
      <c r="F102" s="809" t="s">
        <v>2163</v>
      </c>
      <c r="G102" s="811"/>
      <c r="H102" s="812"/>
      <c r="I102" s="796">
        <v>2110.2399999999998</v>
      </c>
      <c r="J102" s="792" t="s">
        <v>38</v>
      </c>
      <c r="K102" s="797">
        <v>16097.445000000002</v>
      </c>
      <c r="L102" s="798">
        <f t="shared" si="16"/>
        <v>33969472.336800002</v>
      </c>
      <c r="M102" s="799"/>
      <c r="N102" s="799"/>
      <c r="O102" s="799"/>
      <c r="P102" s="799"/>
      <c r="Q102" s="799"/>
      <c r="R102" s="799"/>
      <c r="S102" s="799">
        <f t="shared" si="13"/>
        <v>2110.2399999999998</v>
      </c>
      <c r="T102" s="799" t="str">
        <f t="shared" si="17"/>
        <v>kg</v>
      </c>
      <c r="U102" s="799">
        <f t="shared" si="17"/>
        <v>16097.445000000002</v>
      </c>
      <c r="V102" s="799">
        <f t="shared" si="15"/>
        <v>33969472.336800002</v>
      </c>
    </row>
    <row r="103" spans="5:22" ht="15" customHeight="1">
      <c r="E103" s="808">
        <v>3</v>
      </c>
      <c r="F103" s="809" t="s">
        <v>2164</v>
      </c>
      <c r="G103" s="811"/>
      <c r="H103" s="812"/>
      <c r="I103" s="796">
        <v>200.34399999999999</v>
      </c>
      <c r="J103" s="792" t="s">
        <v>2102</v>
      </c>
      <c r="K103" s="797">
        <v>254176.65</v>
      </c>
      <c r="L103" s="798">
        <f t="shared" si="16"/>
        <v>50922766.7676</v>
      </c>
      <c r="M103" s="799"/>
      <c r="N103" s="799"/>
      <c r="O103" s="799"/>
      <c r="P103" s="799"/>
      <c r="Q103" s="799"/>
      <c r="R103" s="799"/>
      <c r="S103" s="799">
        <f t="shared" si="13"/>
        <v>200.34399999999999</v>
      </c>
      <c r="T103" s="799" t="str">
        <f t="shared" si="17"/>
        <v>m²</v>
      </c>
      <c r="U103" s="799">
        <f t="shared" si="17"/>
        <v>254176.65</v>
      </c>
      <c r="V103" s="799">
        <f t="shared" si="15"/>
        <v>50922766.7676</v>
      </c>
    </row>
    <row r="104" spans="5:22" ht="15" customHeight="1">
      <c r="E104" s="808"/>
      <c r="F104" s="793"/>
      <c r="G104" s="811"/>
      <c r="H104" s="812"/>
      <c r="I104" s="796"/>
      <c r="J104" s="792"/>
      <c r="K104" s="797"/>
      <c r="L104" s="798" t="str">
        <f t="shared" si="16"/>
        <v/>
      </c>
      <c r="M104" s="799"/>
      <c r="N104" s="799"/>
      <c r="O104" s="799"/>
      <c r="P104" s="799"/>
      <c r="Q104" s="799"/>
      <c r="R104" s="799"/>
      <c r="S104" s="799"/>
      <c r="T104" s="799"/>
      <c r="U104" s="799"/>
      <c r="V104" s="799"/>
    </row>
    <row r="105" spans="5:22" ht="15" customHeight="1">
      <c r="E105" s="808"/>
      <c r="F105" s="810" t="s">
        <v>2165</v>
      </c>
      <c r="G105" s="811"/>
      <c r="H105" s="812"/>
      <c r="I105" s="796"/>
      <c r="J105" s="792"/>
      <c r="K105" s="797"/>
      <c r="L105" s="798" t="str">
        <f t="shared" si="16"/>
        <v/>
      </c>
      <c r="M105" s="799"/>
      <c r="N105" s="799"/>
      <c r="O105" s="799"/>
      <c r="P105" s="799"/>
      <c r="Q105" s="799"/>
      <c r="R105" s="799"/>
      <c r="S105" s="799"/>
      <c r="T105" s="799"/>
      <c r="U105" s="799"/>
      <c r="V105" s="799"/>
    </row>
    <row r="106" spans="5:22" ht="15" customHeight="1">
      <c r="E106" s="807" t="s">
        <v>2135</v>
      </c>
      <c r="F106" s="793" t="s">
        <v>2144</v>
      </c>
      <c r="G106" s="794"/>
      <c r="H106" s="795"/>
      <c r="I106" s="796" t="s">
        <v>2111</v>
      </c>
      <c r="J106" s="792" t="s">
        <v>2111</v>
      </c>
      <c r="K106" s="800"/>
      <c r="L106" s="798" t="str">
        <f t="shared" si="16"/>
        <v/>
      </c>
      <c r="M106" s="799"/>
      <c r="N106" s="799"/>
      <c r="O106" s="799"/>
      <c r="P106" s="799"/>
      <c r="Q106" s="799"/>
      <c r="R106" s="799"/>
      <c r="S106" s="799"/>
      <c r="T106" s="799"/>
      <c r="U106" s="799"/>
      <c r="V106" s="799"/>
    </row>
    <row r="107" spans="5:22" ht="15" customHeight="1">
      <c r="E107" s="808">
        <v>1</v>
      </c>
      <c r="F107" s="809" t="s">
        <v>2125</v>
      </c>
      <c r="G107" s="794"/>
      <c r="H107" s="795"/>
      <c r="I107" s="796">
        <v>1.8900000000000001</v>
      </c>
      <c r="J107" s="792" t="s">
        <v>2114</v>
      </c>
      <c r="K107" s="797">
        <v>1167765.6666666667</v>
      </c>
      <c r="L107" s="798">
        <f t="shared" si="16"/>
        <v>2207077.1100000003</v>
      </c>
      <c r="M107" s="799"/>
      <c r="N107" s="799"/>
      <c r="O107" s="799"/>
      <c r="P107" s="799"/>
      <c r="Q107" s="799"/>
      <c r="R107" s="799"/>
      <c r="S107" s="799">
        <f t="shared" si="13"/>
        <v>1.8900000000000001</v>
      </c>
      <c r="T107" s="799" t="str">
        <f t="shared" si="17"/>
        <v>m³</v>
      </c>
      <c r="U107" s="799">
        <f t="shared" si="17"/>
        <v>1167765.6666666667</v>
      </c>
      <c r="V107" s="799">
        <f t="shared" si="15"/>
        <v>2207077.1100000003</v>
      </c>
    </row>
    <row r="108" spans="5:22" ht="15" customHeight="1">
      <c r="E108" s="808">
        <v>2</v>
      </c>
      <c r="F108" s="809" t="s">
        <v>31</v>
      </c>
      <c r="G108" s="794"/>
      <c r="H108" s="795"/>
      <c r="I108" s="796">
        <v>242.09853415999999</v>
      </c>
      <c r="J108" s="792" t="s">
        <v>38</v>
      </c>
      <c r="K108" s="797">
        <v>17112.0075</v>
      </c>
      <c r="L108" s="798">
        <f t="shared" si="16"/>
        <v>4142791.9322849261</v>
      </c>
      <c r="M108" s="799"/>
      <c r="N108" s="799"/>
      <c r="O108" s="799"/>
      <c r="P108" s="799"/>
      <c r="Q108" s="799"/>
      <c r="R108" s="799"/>
      <c r="S108" s="799">
        <f t="shared" si="13"/>
        <v>242.09853415999999</v>
      </c>
      <c r="T108" s="799" t="str">
        <f t="shared" si="17"/>
        <v>kg</v>
      </c>
      <c r="U108" s="799">
        <f t="shared" si="17"/>
        <v>17112.0075</v>
      </c>
      <c r="V108" s="799">
        <f t="shared" si="15"/>
        <v>4142791.9322849261</v>
      </c>
    </row>
    <row r="109" spans="5:22" ht="15" customHeight="1">
      <c r="E109" s="808">
        <v>3</v>
      </c>
      <c r="F109" s="809" t="s">
        <v>156</v>
      </c>
      <c r="G109" s="794"/>
      <c r="H109" s="795"/>
      <c r="I109" s="796">
        <v>25.200000000000003</v>
      </c>
      <c r="J109" s="792" t="s">
        <v>2102</v>
      </c>
      <c r="K109" s="797">
        <v>305481.75</v>
      </c>
      <c r="L109" s="798">
        <f t="shared" si="16"/>
        <v>7698140.1000000006</v>
      </c>
      <c r="M109" s="799"/>
      <c r="N109" s="799"/>
      <c r="O109" s="799"/>
      <c r="P109" s="799"/>
      <c r="Q109" s="799"/>
      <c r="R109" s="799"/>
      <c r="S109" s="799">
        <f t="shared" si="13"/>
        <v>25.200000000000003</v>
      </c>
      <c r="T109" s="799" t="str">
        <f t="shared" si="17"/>
        <v>m²</v>
      </c>
      <c r="U109" s="799">
        <f t="shared" si="17"/>
        <v>305481.75</v>
      </c>
      <c r="V109" s="799">
        <f t="shared" si="15"/>
        <v>7698140.1000000006</v>
      </c>
    </row>
    <row r="110" spans="5:22" ht="15" customHeight="1">
      <c r="E110" s="807" t="s">
        <v>2137</v>
      </c>
      <c r="F110" s="793" t="s">
        <v>2166</v>
      </c>
      <c r="G110" s="811"/>
      <c r="H110" s="812"/>
      <c r="I110" s="796" t="s">
        <v>2111</v>
      </c>
      <c r="J110" s="792" t="s">
        <v>2111</v>
      </c>
      <c r="K110" s="800"/>
      <c r="L110" s="798" t="str">
        <f t="shared" si="16"/>
        <v/>
      </c>
      <c r="M110" s="799"/>
      <c r="N110" s="799"/>
      <c r="O110" s="799"/>
      <c r="P110" s="799"/>
      <c r="Q110" s="799"/>
      <c r="R110" s="799"/>
      <c r="S110" s="799"/>
      <c r="T110" s="799"/>
      <c r="U110" s="799"/>
      <c r="V110" s="799"/>
    </row>
    <row r="111" spans="5:22" ht="15" customHeight="1">
      <c r="E111" s="808">
        <v>1</v>
      </c>
      <c r="F111" s="809" t="s">
        <v>2125</v>
      </c>
      <c r="G111" s="811"/>
      <c r="H111" s="812"/>
      <c r="I111" s="796">
        <v>3.4430399999999994</v>
      </c>
      <c r="J111" s="792" t="s">
        <v>2114</v>
      </c>
      <c r="K111" s="797">
        <v>1167765.6666666667</v>
      </c>
      <c r="L111" s="798">
        <f t="shared" si="16"/>
        <v>4020663.9009599998</v>
      </c>
      <c r="M111" s="799"/>
      <c r="N111" s="799"/>
      <c r="O111" s="799"/>
      <c r="P111" s="799"/>
      <c r="Q111" s="799"/>
      <c r="R111" s="799"/>
      <c r="S111" s="799">
        <f>IF(AND(M111="",P111=""),I111,I111+M111-P111)</f>
        <v>3.4430399999999994</v>
      </c>
      <c r="T111" s="799" t="str">
        <f t="shared" si="17"/>
        <v>m³</v>
      </c>
      <c r="U111" s="799">
        <f t="shared" si="17"/>
        <v>1167765.6666666667</v>
      </c>
      <c r="V111" s="799">
        <f>S111*U111</f>
        <v>4020663.9009599998</v>
      </c>
    </row>
    <row r="112" spans="5:22" ht="15" customHeight="1">
      <c r="E112" s="808">
        <v>2</v>
      </c>
      <c r="F112" s="809" t="s">
        <v>31</v>
      </c>
      <c r="G112" s="811"/>
      <c r="H112" s="812"/>
      <c r="I112" s="796">
        <v>34.44081525</v>
      </c>
      <c r="J112" s="792" t="s">
        <v>38</v>
      </c>
      <c r="K112" s="797">
        <v>17112.0075</v>
      </c>
      <c r="L112" s="798">
        <f t="shared" ref="L112:L121" si="18">IF(I112="","",I112*K112)</f>
        <v>589351.48886411439</v>
      </c>
      <c r="M112" s="799"/>
      <c r="N112" s="799"/>
      <c r="O112" s="799"/>
      <c r="P112" s="799"/>
      <c r="Q112" s="799"/>
      <c r="R112" s="799"/>
      <c r="S112" s="799">
        <f>IF(AND(M112="",P112=""),I112,I112+M112-P112)</f>
        <v>34.44081525</v>
      </c>
      <c r="T112" s="799" t="str">
        <f t="shared" si="17"/>
        <v>kg</v>
      </c>
      <c r="U112" s="799">
        <f t="shared" si="17"/>
        <v>17112.0075</v>
      </c>
      <c r="V112" s="799">
        <f>S112*U112</f>
        <v>589351.48886411439</v>
      </c>
    </row>
    <row r="113" spans="4:22" ht="15" customHeight="1">
      <c r="E113" s="808">
        <v>3</v>
      </c>
      <c r="F113" s="809" t="s">
        <v>156</v>
      </c>
      <c r="G113" s="811"/>
      <c r="H113" s="812"/>
      <c r="I113" s="796">
        <v>71.251799999999989</v>
      </c>
      <c r="J113" s="792" t="s">
        <v>2102</v>
      </c>
      <c r="K113" s="797">
        <v>312096.75</v>
      </c>
      <c r="L113" s="798">
        <f t="shared" si="18"/>
        <v>22237455.211649995</v>
      </c>
      <c r="M113" s="799"/>
      <c r="N113" s="799"/>
      <c r="O113" s="799"/>
      <c r="P113" s="799"/>
      <c r="Q113" s="799"/>
      <c r="R113" s="799"/>
      <c r="S113" s="799">
        <f>IF(AND(M113="",P113=""),I113,I113+M113-P113)</f>
        <v>71.251799999999989</v>
      </c>
      <c r="T113" s="799" t="str">
        <f t="shared" si="17"/>
        <v>m²</v>
      </c>
      <c r="U113" s="799">
        <f t="shared" si="17"/>
        <v>312096.75</v>
      </c>
      <c r="V113" s="799">
        <f>S113*U113</f>
        <v>22237455.211649995</v>
      </c>
    </row>
    <row r="114" spans="4:22" ht="15" customHeight="1">
      <c r="E114" s="807" t="s">
        <v>2123</v>
      </c>
      <c r="F114" s="793" t="s">
        <v>2167</v>
      </c>
      <c r="G114" s="811"/>
      <c r="H114" s="812"/>
      <c r="I114" s="796" t="s">
        <v>2111</v>
      </c>
      <c r="J114" s="792" t="s">
        <v>2111</v>
      </c>
      <c r="K114" s="800"/>
      <c r="L114" s="798" t="str">
        <f t="shared" si="18"/>
        <v/>
      </c>
      <c r="M114" s="799"/>
      <c r="N114" s="799"/>
      <c r="O114" s="799"/>
      <c r="P114" s="799"/>
      <c r="Q114" s="799"/>
      <c r="R114" s="799"/>
      <c r="S114" s="799"/>
      <c r="T114" s="799"/>
      <c r="U114" s="799"/>
      <c r="V114" s="799"/>
    </row>
    <row r="115" spans="4:22" ht="15" customHeight="1">
      <c r="E115" s="808">
        <v>1</v>
      </c>
      <c r="F115" s="809" t="s">
        <v>2140</v>
      </c>
      <c r="G115" s="811"/>
      <c r="H115" s="812"/>
      <c r="I115" s="796">
        <v>1.69875</v>
      </c>
      <c r="J115" s="792" t="s">
        <v>2114</v>
      </c>
      <c r="K115" s="797">
        <v>1167765.6666666667</v>
      </c>
      <c r="L115" s="798">
        <f t="shared" si="18"/>
        <v>1983741.92625</v>
      </c>
      <c r="M115" s="799"/>
      <c r="N115" s="799"/>
      <c r="O115" s="799"/>
      <c r="P115" s="799"/>
      <c r="Q115" s="799"/>
      <c r="R115" s="799"/>
      <c r="S115" s="799">
        <f>IF(AND(M115="",P115=""),I115,I115+M115-P115)</f>
        <v>1.69875</v>
      </c>
      <c r="T115" s="799" t="str">
        <f t="shared" si="17"/>
        <v>m³</v>
      </c>
      <c r="U115" s="799">
        <f t="shared" si="17"/>
        <v>1167765.6666666667</v>
      </c>
      <c r="V115" s="799">
        <f>S115*U115</f>
        <v>1983741.92625</v>
      </c>
    </row>
    <row r="116" spans="4:22" ht="15" customHeight="1">
      <c r="E116" s="808">
        <v>2</v>
      </c>
      <c r="F116" s="809" t="s">
        <v>31</v>
      </c>
      <c r="G116" s="811"/>
      <c r="H116" s="812"/>
      <c r="I116" s="796">
        <v>357.52117401000004</v>
      </c>
      <c r="J116" s="792" t="s">
        <v>38</v>
      </c>
      <c r="K116" s="797">
        <v>17112.0075</v>
      </c>
      <c r="L116" s="798">
        <f t="shared" si="18"/>
        <v>6117905.011067926</v>
      </c>
      <c r="M116" s="799"/>
      <c r="N116" s="799"/>
      <c r="O116" s="799"/>
      <c r="P116" s="799"/>
      <c r="Q116" s="799"/>
      <c r="R116" s="799"/>
      <c r="S116" s="799">
        <f>IF(AND(M116="",P116=""),I116,I116+M116-P116)</f>
        <v>357.52117401000004</v>
      </c>
      <c r="T116" s="799" t="str">
        <f t="shared" si="17"/>
        <v>kg</v>
      </c>
      <c r="U116" s="799">
        <f t="shared" si="17"/>
        <v>17112.0075</v>
      </c>
      <c r="V116" s="799">
        <f>S116*U116</f>
        <v>6117905.011067926</v>
      </c>
    </row>
    <row r="117" spans="4:22" ht="15" customHeight="1">
      <c r="E117" s="808">
        <v>3</v>
      </c>
      <c r="F117" s="809" t="s">
        <v>156</v>
      </c>
      <c r="G117" s="811"/>
      <c r="H117" s="812"/>
      <c r="I117" s="796">
        <v>22.65</v>
      </c>
      <c r="J117" s="792" t="s">
        <v>2102</v>
      </c>
      <c r="K117" s="797">
        <v>305481.75</v>
      </c>
      <c r="L117" s="798">
        <f t="shared" si="18"/>
        <v>6919161.6374999993</v>
      </c>
      <c r="M117" s="799"/>
      <c r="N117" s="799"/>
      <c r="O117" s="799"/>
      <c r="P117" s="799"/>
      <c r="Q117" s="799"/>
      <c r="R117" s="799"/>
      <c r="S117" s="799">
        <f>IF(AND(M117="",P117=""),I117,I117+M117-P117)</f>
        <v>22.65</v>
      </c>
      <c r="T117" s="799" t="str">
        <f t="shared" si="17"/>
        <v>m²</v>
      </c>
      <c r="U117" s="799">
        <f t="shared" si="17"/>
        <v>305481.75</v>
      </c>
      <c r="V117" s="799">
        <f>S117*U117</f>
        <v>6919161.6374999993</v>
      </c>
    </row>
    <row r="118" spans="4:22" ht="15" customHeight="1">
      <c r="E118" s="807" t="s">
        <v>2126</v>
      </c>
      <c r="F118" s="793" t="s">
        <v>2168</v>
      </c>
      <c r="G118" s="811"/>
      <c r="H118" s="812"/>
      <c r="I118" s="796"/>
      <c r="J118" s="792"/>
      <c r="K118" s="797"/>
      <c r="L118" s="798" t="str">
        <f t="shared" si="18"/>
        <v/>
      </c>
      <c r="M118" s="799"/>
      <c r="N118" s="799"/>
      <c r="O118" s="799"/>
      <c r="P118" s="799"/>
      <c r="Q118" s="799"/>
      <c r="R118" s="799"/>
      <c r="S118" s="799"/>
      <c r="T118" s="799"/>
      <c r="U118" s="799"/>
      <c r="V118" s="799"/>
    </row>
    <row r="119" spans="4:22" ht="15" customHeight="1">
      <c r="E119" s="808">
        <v>1</v>
      </c>
      <c r="F119" s="809" t="s">
        <v>2140</v>
      </c>
      <c r="G119" s="811"/>
      <c r="H119" s="812"/>
      <c r="I119" s="796">
        <v>1.5810749999999998</v>
      </c>
      <c r="J119" s="792" t="s">
        <v>2114</v>
      </c>
      <c r="K119" s="797">
        <v>1167765.6666666667</v>
      </c>
      <c r="L119" s="798">
        <f t="shared" si="18"/>
        <v>1846325.1014249998</v>
      </c>
      <c r="M119" s="799"/>
      <c r="N119" s="799"/>
      <c r="O119" s="799"/>
      <c r="P119" s="799"/>
      <c r="Q119" s="799"/>
      <c r="R119" s="799"/>
      <c r="S119" s="799">
        <f>IF(AND(M119="",P119=""),I119,I119+M119-P119)</f>
        <v>1.5810749999999998</v>
      </c>
      <c r="T119" s="799" t="str">
        <f t="shared" si="17"/>
        <v>m³</v>
      </c>
      <c r="U119" s="799">
        <f t="shared" si="17"/>
        <v>1167765.6666666667</v>
      </c>
      <c r="V119" s="799">
        <f>S119*U119</f>
        <v>1846325.1014249998</v>
      </c>
    </row>
    <row r="120" spans="4:22" ht="15" customHeight="1">
      <c r="E120" s="808">
        <v>2</v>
      </c>
      <c r="F120" s="809" t="s">
        <v>31</v>
      </c>
      <c r="G120" s="811"/>
      <c r="H120" s="812"/>
      <c r="I120" s="796">
        <v>323.34242692800001</v>
      </c>
      <c r="J120" s="792" t="s">
        <v>38</v>
      </c>
      <c r="K120" s="797">
        <v>17112.0075</v>
      </c>
      <c r="L120" s="798">
        <f t="shared" si="18"/>
        <v>5533038.0346601382</v>
      </c>
      <c r="M120" s="799"/>
      <c r="N120" s="799"/>
      <c r="O120" s="799"/>
      <c r="P120" s="799"/>
      <c r="Q120" s="799"/>
      <c r="R120" s="799"/>
      <c r="S120" s="799">
        <f>IF(AND(M120="",P120=""),I120,I120+M120-P120)</f>
        <v>323.34242692800001</v>
      </c>
      <c r="T120" s="799" t="str">
        <f t="shared" si="17"/>
        <v>kg</v>
      </c>
      <c r="U120" s="799">
        <f t="shared" si="17"/>
        <v>17112.0075</v>
      </c>
      <c r="V120" s="799">
        <f>S120*U120</f>
        <v>5533038.0346601382</v>
      </c>
    </row>
    <row r="121" spans="4:22" ht="15" customHeight="1">
      <c r="E121" s="808">
        <v>3</v>
      </c>
      <c r="F121" s="809" t="s">
        <v>156</v>
      </c>
      <c r="G121" s="811"/>
      <c r="H121" s="812"/>
      <c r="I121" s="796">
        <v>21.081</v>
      </c>
      <c r="J121" s="792" t="s">
        <v>2102</v>
      </c>
      <c r="K121" s="797">
        <v>187078.5</v>
      </c>
      <c r="L121" s="798">
        <f t="shared" si="18"/>
        <v>3943801.8585000001</v>
      </c>
      <c r="M121" s="799"/>
      <c r="N121" s="799"/>
      <c r="O121" s="799"/>
      <c r="P121" s="799"/>
      <c r="Q121" s="799"/>
      <c r="R121" s="799"/>
      <c r="S121" s="799">
        <f>IF(AND(M121="",P121=""),I121,I121+M121-P121)</f>
        <v>21.081</v>
      </c>
      <c r="T121" s="799" t="str">
        <f t="shared" si="17"/>
        <v>m²</v>
      </c>
      <c r="U121" s="799">
        <f t="shared" si="17"/>
        <v>187078.5</v>
      </c>
      <c r="V121" s="799">
        <f>S121*U121</f>
        <v>3943801.8585000001</v>
      </c>
    </row>
    <row r="122" spans="4:22" ht="15" customHeight="1">
      <c r="E122" s="808"/>
      <c r="F122" s="793"/>
      <c r="G122" s="811"/>
      <c r="H122" s="812"/>
      <c r="I122" s="796"/>
      <c r="J122" s="792"/>
      <c r="K122" s="801"/>
      <c r="L122" s="802"/>
      <c r="M122" s="803"/>
      <c r="N122" s="803"/>
      <c r="O122" s="803"/>
      <c r="P122" s="803"/>
      <c r="Q122" s="803"/>
      <c r="R122" s="803"/>
      <c r="S122" s="803"/>
      <c r="T122" s="803"/>
      <c r="U122" s="803"/>
      <c r="V122" s="803"/>
    </row>
    <row r="123" spans="4:22" ht="15" customHeight="1">
      <c r="D123" s="780" t="s">
        <v>2099</v>
      </c>
      <c r="E123" s="781" t="s">
        <v>50</v>
      </c>
      <c r="F123" s="804" t="s">
        <v>2169</v>
      </c>
      <c r="G123" s="813"/>
      <c r="H123" s="814"/>
      <c r="I123" s="785"/>
      <c r="J123" s="786" t="s">
        <v>2111</v>
      </c>
      <c r="K123" s="787"/>
      <c r="L123" s="788">
        <f>SUM(L124:L138)</f>
        <v>317887919.19349492</v>
      </c>
      <c r="M123" s="789"/>
      <c r="N123" s="789"/>
      <c r="O123" s="788">
        <f>SUM(O124:O138)</f>
        <v>4403546.6999999993</v>
      </c>
      <c r="P123" s="789"/>
      <c r="Q123" s="789"/>
      <c r="R123" s="788">
        <f>SUM(R124:R138)</f>
        <v>0</v>
      </c>
      <c r="S123" s="789"/>
      <c r="T123" s="789"/>
      <c r="U123" s="789"/>
      <c r="V123" s="788">
        <f>SUM(V124:V138)</f>
        <v>322291465.8934949</v>
      </c>
    </row>
    <row r="124" spans="4:22" ht="15" customHeight="1">
      <c r="E124" s="815"/>
      <c r="F124" s="810" t="s">
        <v>2170</v>
      </c>
      <c r="G124" s="811"/>
      <c r="H124" s="812"/>
      <c r="I124" s="796" t="s">
        <v>2111</v>
      </c>
      <c r="J124" s="792" t="s">
        <v>2111</v>
      </c>
      <c r="K124" s="800"/>
      <c r="L124" s="798" t="str">
        <f t="shared" ref="L124:L137" si="19">IF(I124="","",I124*K124)</f>
        <v/>
      </c>
      <c r="M124" s="799"/>
      <c r="N124" s="799"/>
      <c r="O124" s="799"/>
      <c r="P124" s="799"/>
      <c r="Q124" s="799"/>
      <c r="R124" s="799"/>
      <c r="S124" s="799"/>
      <c r="T124" s="799"/>
      <c r="U124" s="799"/>
      <c r="V124" s="799"/>
    </row>
    <row r="125" spans="4:22" ht="15" customHeight="1">
      <c r="E125" s="792">
        <v>1</v>
      </c>
      <c r="F125" s="793" t="s">
        <v>2171</v>
      </c>
      <c r="G125" s="811"/>
      <c r="H125" s="812"/>
      <c r="I125" s="796">
        <v>541.25850000000003</v>
      </c>
      <c r="J125" s="792" t="s">
        <v>2102</v>
      </c>
      <c r="K125" s="797">
        <v>179912.25</v>
      </c>
      <c r="L125" s="798">
        <f t="shared" si="19"/>
        <v>97379034.566624999</v>
      </c>
      <c r="M125" s="799"/>
      <c r="N125" s="799"/>
      <c r="O125" s="799"/>
      <c r="P125" s="799"/>
      <c r="Q125" s="799"/>
      <c r="R125" s="799"/>
      <c r="S125" s="799">
        <f t="shared" ref="S125:S137" si="20">IF(AND(M125="",P125=""),I125,I125+M125-P125)</f>
        <v>541.25850000000003</v>
      </c>
      <c r="T125" s="799" t="str">
        <f t="shared" ref="T125:U137" si="21">J125</f>
        <v>m²</v>
      </c>
      <c r="U125" s="799">
        <f t="shared" si="21"/>
        <v>179912.25</v>
      </c>
      <c r="V125" s="799">
        <f t="shared" ref="V125:V137" si="22">S125*U125</f>
        <v>97379034.566624999</v>
      </c>
    </row>
    <row r="126" spans="4:22" ht="15" customHeight="1">
      <c r="E126" s="792">
        <v>2</v>
      </c>
      <c r="F126" s="793" t="s">
        <v>2172</v>
      </c>
      <c r="G126" s="811"/>
      <c r="H126" s="812"/>
      <c r="I126" s="796">
        <v>139.42000000000002</v>
      </c>
      <c r="J126" s="792" t="s">
        <v>2102</v>
      </c>
      <c r="K126" s="797">
        <v>81138.75</v>
      </c>
      <c r="L126" s="798">
        <f t="shared" si="19"/>
        <v>11312364.525</v>
      </c>
      <c r="M126" s="799"/>
      <c r="N126" s="799"/>
      <c r="O126" s="799"/>
      <c r="P126" s="799"/>
      <c r="Q126" s="799"/>
      <c r="R126" s="799"/>
      <c r="S126" s="799">
        <f t="shared" si="20"/>
        <v>139.42000000000002</v>
      </c>
      <c r="T126" s="799" t="str">
        <f t="shared" si="21"/>
        <v>m²</v>
      </c>
      <c r="U126" s="799">
        <f t="shared" si="21"/>
        <v>81138.75</v>
      </c>
      <c r="V126" s="799">
        <f t="shared" si="22"/>
        <v>11312364.525</v>
      </c>
    </row>
    <row r="127" spans="4:22" ht="15" customHeight="1">
      <c r="E127" s="792">
        <v>3</v>
      </c>
      <c r="F127" s="793" t="s">
        <v>2173</v>
      </c>
      <c r="G127" s="811"/>
      <c r="H127" s="812"/>
      <c r="I127" s="796">
        <v>1422.877</v>
      </c>
      <c r="J127" s="792" t="s">
        <v>2102</v>
      </c>
      <c r="K127" s="797">
        <v>65845.709999999992</v>
      </c>
      <c r="L127" s="798">
        <f t="shared" si="19"/>
        <v>93690346.307669982</v>
      </c>
      <c r="M127" s="799"/>
      <c r="N127" s="799"/>
      <c r="O127" s="799"/>
      <c r="P127" s="799"/>
      <c r="Q127" s="799"/>
      <c r="R127" s="799"/>
      <c r="S127" s="799">
        <f t="shared" si="20"/>
        <v>1422.877</v>
      </c>
      <c r="T127" s="799" t="str">
        <f t="shared" si="21"/>
        <v>m²</v>
      </c>
      <c r="U127" s="799">
        <f t="shared" si="21"/>
        <v>65845.709999999992</v>
      </c>
      <c r="V127" s="799">
        <f t="shared" si="22"/>
        <v>93690346.307669982</v>
      </c>
    </row>
    <row r="128" spans="4:22" ht="15" customHeight="1">
      <c r="E128" s="792">
        <v>4</v>
      </c>
      <c r="F128" s="793" t="s">
        <v>2174</v>
      </c>
      <c r="G128" s="811"/>
      <c r="H128" s="812"/>
      <c r="I128" s="796">
        <v>1422.877</v>
      </c>
      <c r="J128" s="792" t="s">
        <v>2102</v>
      </c>
      <c r="K128" s="797">
        <v>39963</v>
      </c>
      <c r="L128" s="798">
        <f t="shared" si="19"/>
        <v>56862433.550999999</v>
      </c>
      <c r="M128" s="799"/>
      <c r="N128" s="799"/>
      <c r="O128" s="799"/>
      <c r="P128" s="799"/>
      <c r="Q128" s="799"/>
      <c r="R128" s="799"/>
      <c r="S128" s="799">
        <f t="shared" si="20"/>
        <v>1422.877</v>
      </c>
      <c r="T128" s="799" t="str">
        <f t="shared" si="21"/>
        <v>m²</v>
      </c>
      <c r="U128" s="799">
        <f t="shared" si="21"/>
        <v>39963</v>
      </c>
      <c r="V128" s="799">
        <f t="shared" si="22"/>
        <v>56862433.550999999</v>
      </c>
    </row>
    <row r="129" spans="4:22" ht="15" customHeight="1">
      <c r="E129" s="792"/>
      <c r="F129" s="810" t="s">
        <v>2175</v>
      </c>
      <c r="G129" s="811"/>
      <c r="H129" s="812"/>
      <c r="I129" s="796"/>
      <c r="J129" s="792"/>
      <c r="K129" s="797"/>
      <c r="L129" s="798"/>
      <c r="M129" s="799"/>
      <c r="N129" s="799"/>
      <c r="O129" s="799"/>
      <c r="P129" s="799"/>
      <c r="Q129" s="799"/>
      <c r="R129" s="799"/>
      <c r="S129" s="799"/>
      <c r="T129" s="799"/>
      <c r="U129" s="799"/>
      <c r="V129" s="799"/>
    </row>
    <row r="130" spans="4:22" ht="15" customHeight="1">
      <c r="E130" s="792">
        <v>1</v>
      </c>
      <c r="F130" s="793" t="s">
        <v>2171</v>
      </c>
      <c r="G130" s="811"/>
      <c r="H130" s="812"/>
      <c r="I130" s="796"/>
      <c r="J130" s="792"/>
      <c r="K130" s="797"/>
      <c r="L130" s="798"/>
      <c r="M130" s="799">
        <v>10</v>
      </c>
      <c r="N130" s="797">
        <v>179912.25</v>
      </c>
      <c r="O130" s="798">
        <f>IF(M130="","",M130*N130)</f>
        <v>1799122.5</v>
      </c>
      <c r="P130" s="799"/>
      <c r="Q130" s="799"/>
      <c r="R130" s="799"/>
      <c r="S130" s="799">
        <f t="shared" si="20"/>
        <v>10</v>
      </c>
      <c r="T130" s="799" t="s">
        <v>2102</v>
      </c>
      <c r="U130" s="799">
        <f>N130</f>
        <v>179912.25</v>
      </c>
      <c r="V130" s="799">
        <f t="shared" si="22"/>
        <v>1799122.5</v>
      </c>
    </row>
    <row r="131" spans="4:22" ht="15" customHeight="1">
      <c r="E131" s="792">
        <v>2</v>
      </c>
      <c r="F131" s="793" t="s">
        <v>2173</v>
      </c>
      <c r="G131" s="811"/>
      <c r="H131" s="812"/>
      <c r="I131" s="796"/>
      <c r="J131" s="792"/>
      <c r="K131" s="797"/>
      <c r="L131" s="798"/>
      <c r="M131" s="799">
        <v>20</v>
      </c>
      <c r="N131" s="797">
        <v>65845.709999999992</v>
      </c>
      <c r="O131" s="798">
        <f>IF(M131="","",M131*N131)</f>
        <v>1316914.1999999997</v>
      </c>
      <c r="P131" s="799"/>
      <c r="Q131" s="799"/>
      <c r="R131" s="799"/>
      <c r="S131" s="799">
        <f t="shared" si="20"/>
        <v>20</v>
      </c>
      <c r="T131" s="799" t="s">
        <v>2102</v>
      </c>
      <c r="U131" s="799">
        <f>N131</f>
        <v>65845.709999999992</v>
      </c>
      <c r="V131" s="799">
        <f t="shared" si="22"/>
        <v>1316914.1999999997</v>
      </c>
    </row>
    <row r="132" spans="4:22" ht="15" customHeight="1">
      <c r="E132" s="792">
        <v>3</v>
      </c>
      <c r="F132" s="793" t="s">
        <v>2174</v>
      </c>
      <c r="G132" s="811"/>
      <c r="H132" s="812"/>
      <c r="I132" s="796"/>
      <c r="J132" s="792"/>
      <c r="K132" s="797"/>
      <c r="L132" s="798"/>
      <c r="M132" s="799">
        <v>20</v>
      </c>
      <c r="N132" s="797">
        <v>39963</v>
      </c>
      <c r="O132" s="798">
        <f>IF(M132="","",M132*N132)</f>
        <v>799260</v>
      </c>
      <c r="P132" s="799"/>
      <c r="Q132" s="799"/>
      <c r="R132" s="799"/>
      <c r="S132" s="799">
        <f t="shared" si="20"/>
        <v>20</v>
      </c>
      <c r="T132" s="799" t="s">
        <v>2102</v>
      </c>
      <c r="U132" s="799">
        <f>N132</f>
        <v>39963</v>
      </c>
      <c r="V132" s="799">
        <f t="shared" si="22"/>
        <v>799260</v>
      </c>
    </row>
    <row r="133" spans="4:22" ht="15" customHeight="1">
      <c r="E133" s="792">
        <v>4</v>
      </c>
      <c r="F133" s="793" t="s">
        <v>2176</v>
      </c>
      <c r="G133" s="811"/>
      <c r="H133" s="812"/>
      <c r="I133" s="796"/>
      <c r="J133" s="792"/>
      <c r="K133" s="797"/>
      <c r="L133" s="798"/>
      <c r="M133" s="799">
        <v>20</v>
      </c>
      <c r="N133" s="800">
        <v>24412.5</v>
      </c>
      <c r="O133" s="798">
        <f>IF(M133="","",M133*N133)</f>
        <v>488250</v>
      </c>
      <c r="P133" s="799"/>
      <c r="Q133" s="799"/>
      <c r="R133" s="799"/>
      <c r="S133" s="799">
        <f t="shared" si="20"/>
        <v>20</v>
      </c>
      <c r="T133" s="799" t="s">
        <v>2102</v>
      </c>
      <c r="U133" s="799">
        <f>N133</f>
        <v>24412.5</v>
      </c>
      <c r="V133" s="799">
        <f t="shared" si="22"/>
        <v>488250</v>
      </c>
    </row>
    <row r="134" spans="4:22" ht="15" customHeight="1">
      <c r="E134" s="792"/>
      <c r="F134" s="810" t="s">
        <v>2177</v>
      </c>
      <c r="G134" s="811"/>
      <c r="H134" s="812"/>
      <c r="I134" s="796" t="s">
        <v>2111</v>
      </c>
      <c r="J134" s="792" t="s">
        <v>2111</v>
      </c>
      <c r="K134" s="800"/>
      <c r="L134" s="798" t="str">
        <f t="shared" si="19"/>
        <v/>
      </c>
      <c r="M134" s="799"/>
      <c r="N134" s="799"/>
      <c r="O134" s="799"/>
      <c r="P134" s="799"/>
      <c r="Q134" s="799"/>
      <c r="R134" s="799"/>
      <c r="S134" s="799"/>
      <c r="T134" s="799"/>
      <c r="U134" s="799"/>
      <c r="V134" s="799"/>
    </row>
    <row r="135" spans="4:22" ht="15" customHeight="1">
      <c r="E135" s="792">
        <v>1</v>
      </c>
      <c r="F135" s="793" t="s">
        <v>2171</v>
      </c>
      <c r="G135" s="811"/>
      <c r="H135" s="812"/>
      <c r="I135" s="796">
        <v>178.17</v>
      </c>
      <c r="J135" s="792" t="s">
        <v>2102</v>
      </c>
      <c r="K135" s="797">
        <v>179912.25</v>
      </c>
      <c r="L135" s="798">
        <f t="shared" si="19"/>
        <v>32054965.5825</v>
      </c>
      <c r="M135" s="799"/>
      <c r="N135" s="799"/>
      <c r="O135" s="799"/>
      <c r="P135" s="799"/>
      <c r="Q135" s="799"/>
      <c r="R135" s="799"/>
      <c r="S135" s="799">
        <f t="shared" si="20"/>
        <v>178.17</v>
      </c>
      <c r="T135" s="799" t="str">
        <f t="shared" si="21"/>
        <v>m²</v>
      </c>
      <c r="U135" s="799">
        <f t="shared" si="21"/>
        <v>179912.25</v>
      </c>
      <c r="V135" s="799">
        <f t="shared" si="22"/>
        <v>32054965.5825</v>
      </c>
    </row>
    <row r="136" spans="4:22" ht="15" customHeight="1">
      <c r="E136" s="792">
        <v>2</v>
      </c>
      <c r="F136" s="793" t="s">
        <v>2173</v>
      </c>
      <c r="G136" s="811"/>
      <c r="H136" s="812"/>
      <c r="I136" s="796">
        <v>178.17</v>
      </c>
      <c r="J136" s="792" t="s">
        <v>2102</v>
      </c>
      <c r="K136" s="797">
        <v>65845.709999999992</v>
      </c>
      <c r="L136" s="798">
        <f t="shared" si="19"/>
        <v>11731730.150699997</v>
      </c>
      <c r="M136" s="799"/>
      <c r="N136" s="799"/>
      <c r="O136" s="799"/>
      <c r="P136" s="799"/>
      <c r="Q136" s="799"/>
      <c r="R136" s="799"/>
      <c r="S136" s="799">
        <f t="shared" si="20"/>
        <v>178.17</v>
      </c>
      <c r="T136" s="799" t="str">
        <f t="shared" si="21"/>
        <v>m²</v>
      </c>
      <c r="U136" s="799">
        <f t="shared" si="21"/>
        <v>65845.709999999992</v>
      </c>
      <c r="V136" s="799">
        <f t="shared" si="22"/>
        <v>11731730.150699997</v>
      </c>
    </row>
    <row r="137" spans="4:22" ht="15" customHeight="1">
      <c r="E137" s="792">
        <v>3</v>
      </c>
      <c r="F137" s="793" t="s">
        <v>2174</v>
      </c>
      <c r="G137" s="811"/>
      <c r="H137" s="812"/>
      <c r="I137" s="796">
        <v>371.77</v>
      </c>
      <c r="J137" s="792" t="s">
        <v>2102</v>
      </c>
      <c r="K137" s="797">
        <v>39963</v>
      </c>
      <c r="L137" s="798">
        <f t="shared" si="19"/>
        <v>14857044.51</v>
      </c>
      <c r="M137" s="799"/>
      <c r="N137" s="799"/>
      <c r="O137" s="799"/>
      <c r="P137" s="799"/>
      <c r="Q137" s="799"/>
      <c r="R137" s="799"/>
      <c r="S137" s="799">
        <f t="shared" si="20"/>
        <v>371.77</v>
      </c>
      <c r="T137" s="799" t="str">
        <f t="shared" si="21"/>
        <v>m²</v>
      </c>
      <c r="U137" s="799">
        <f t="shared" si="21"/>
        <v>39963</v>
      </c>
      <c r="V137" s="799">
        <f t="shared" si="22"/>
        <v>14857044.51</v>
      </c>
    </row>
    <row r="138" spans="4:22" ht="15" customHeight="1">
      <c r="E138" s="792"/>
      <c r="F138" s="793"/>
      <c r="G138" s="811"/>
      <c r="H138" s="812"/>
      <c r="I138" s="796"/>
      <c r="J138" s="792"/>
      <c r="K138" s="801"/>
      <c r="L138" s="802"/>
      <c r="M138" s="803"/>
      <c r="N138" s="803"/>
      <c r="O138" s="803"/>
      <c r="P138" s="803"/>
      <c r="Q138" s="803"/>
      <c r="R138" s="803"/>
      <c r="S138" s="803"/>
      <c r="T138" s="803"/>
      <c r="U138" s="803"/>
      <c r="V138" s="803"/>
    </row>
    <row r="139" spans="4:22" ht="15" customHeight="1">
      <c r="D139" s="780" t="s">
        <v>2099</v>
      </c>
      <c r="E139" s="781" t="s">
        <v>55</v>
      </c>
      <c r="F139" s="804" t="s">
        <v>2178</v>
      </c>
      <c r="G139" s="813"/>
      <c r="H139" s="814"/>
      <c r="I139" s="805" t="s">
        <v>2111</v>
      </c>
      <c r="J139" s="786" t="s">
        <v>2111</v>
      </c>
      <c r="K139" s="787"/>
      <c r="L139" s="788">
        <f>SUM(L140:L143)</f>
        <v>69511095.52274999</v>
      </c>
      <c r="M139" s="789"/>
      <c r="N139" s="789"/>
      <c r="O139" s="788">
        <f>SUM(O140:O143)</f>
        <v>0</v>
      </c>
      <c r="P139" s="789"/>
      <c r="Q139" s="789"/>
      <c r="R139" s="788">
        <f>SUM(R140:R143)</f>
        <v>0</v>
      </c>
      <c r="S139" s="789"/>
      <c r="T139" s="789"/>
      <c r="U139" s="789"/>
      <c r="V139" s="788">
        <f>SUM(V140:V143)</f>
        <v>69511095.52274999</v>
      </c>
    </row>
    <row r="140" spans="4:22" ht="15" customHeight="1">
      <c r="E140" s="792">
        <v>1</v>
      </c>
      <c r="F140" s="793" t="s">
        <v>2179</v>
      </c>
      <c r="G140" s="811"/>
      <c r="H140" s="812"/>
      <c r="I140" s="796">
        <v>225</v>
      </c>
      <c r="J140" s="792" t="s">
        <v>2102</v>
      </c>
      <c r="K140" s="797">
        <v>290528.4375</v>
      </c>
      <c r="L140" s="798">
        <f>IF(I140="","",I140*K140)</f>
        <v>65368898.4375</v>
      </c>
      <c r="M140" s="799"/>
      <c r="N140" s="799"/>
      <c r="O140" s="799"/>
      <c r="P140" s="799"/>
      <c r="Q140" s="799"/>
      <c r="R140" s="799"/>
      <c r="S140" s="799">
        <f>IF(AND(M140="",P140=""),I140,I140+M140-P140)</f>
        <v>225</v>
      </c>
      <c r="T140" s="799" t="str">
        <f t="shared" ref="T140:U142" si="23">J140</f>
        <v>m²</v>
      </c>
      <c r="U140" s="799">
        <f t="shared" si="23"/>
        <v>290528.4375</v>
      </c>
      <c r="V140" s="799">
        <f>S140*U140</f>
        <v>65368898.4375</v>
      </c>
    </row>
    <row r="141" spans="4:22" ht="15" customHeight="1">
      <c r="E141" s="792">
        <v>2</v>
      </c>
      <c r="F141" s="793" t="s">
        <v>2180</v>
      </c>
      <c r="G141" s="811"/>
      <c r="H141" s="812"/>
      <c r="I141" s="796">
        <v>16.82</v>
      </c>
      <c r="J141" s="792" t="s">
        <v>2181</v>
      </c>
      <c r="K141" s="797">
        <v>85743</v>
      </c>
      <c r="L141" s="798">
        <f>IF(I141="","",I141*K141)</f>
        <v>1442197.26</v>
      </c>
      <c r="M141" s="799"/>
      <c r="N141" s="799"/>
      <c r="O141" s="799"/>
      <c r="P141" s="799"/>
      <c r="Q141" s="799"/>
      <c r="R141" s="799"/>
      <c r="S141" s="799">
        <f>IF(AND(M141="",P141=""),I141,I141+M141-P141)</f>
        <v>16.82</v>
      </c>
      <c r="T141" s="799" t="str">
        <f t="shared" si="23"/>
        <v>m¹</v>
      </c>
      <c r="U141" s="799">
        <f t="shared" si="23"/>
        <v>85743</v>
      </c>
      <c r="V141" s="799">
        <f>S141*U141</f>
        <v>1442197.26</v>
      </c>
    </row>
    <row r="142" spans="4:22" ht="15" customHeight="1">
      <c r="E142" s="792">
        <v>3</v>
      </c>
      <c r="F142" s="793" t="s">
        <v>2182</v>
      </c>
      <c r="G142" s="811"/>
      <c r="H142" s="812"/>
      <c r="I142" s="796">
        <v>66.41</v>
      </c>
      <c r="J142" s="792" t="s">
        <v>2181</v>
      </c>
      <c r="K142" s="797">
        <v>40656.525000000001</v>
      </c>
      <c r="L142" s="798">
        <f>IF(I142="","",I142*K142)</f>
        <v>2699999.8252499998</v>
      </c>
      <c r="M142" s="799"/>
      <c r="N142" s="799"/>
      <c r="O142" s="799"/>
      <c r="P142" s="799"/>
      <c r="Q142" s="799"/>
      <c r="R142" s="799"/>
      <c r="S142" s="799">
        <f>IF(AND(M142="",P142=""),I142,I142+M142-P142)</f>
        <v>66.41</v>
      </c>
      <c r="T142" s="799" t="str">
        <f t="shared" si="23"/>
        <v>m¹</v>
      </c>
      <c r="U142" s="799">
        <f t="shared" si="23"/>
        <v>40656.525000000001</v>
      </c>
      <c r="V142" s="799">
        <f>S142*U142</f>
        <v>2699999.8252499998</v>
      </c>
    </row>
    <row r="143" spans="4:22" ht="15" customHeight="1">
      <c r="E143" s="792"/>
      <c r="F143" s="793"/>
      <c r="G143" s="811"/>
      <c r="H143" s="812"/>
      <c r="I143" s="796"/>
      <c r="J143" s="792"/>
      <c r="K143" s="801"/>
      <c r="L143" s="802"/>
      <c r="M143" s="803"/>
      <c r="N143" s="803"/>
      <c r="O143" s="803"/>
      <c r="P143" s="803"/>
      <c r="Q143" s="803"/>
      <c r="R143" s="803"/>
      <c r="S143" s="803"/>
      <c r="T143" s="803"/>
      <c r="U143" s="803"/>
      <c r="V143" s="803"/>
    </row>
    <row r="144" spans="4:22" ht="15" customHeight="1">
      <c r="D144" s="780" t="s">
        <v>2099</v>
      </c>
      <c r="E144" s="781" t="s">
        <v>62</v>
      </c>
      <c r="F144" s="804" t="s">
        <v>2183</v>
      </c>
      <c r="G144" s="813"/>
      <c r="H144" s="814"/>
      <c r="I144" s="805" t="s">
        <v>2111</v>
      </c>
      <c r="J144" s="786" t="s">
        <v>2111</v>
      </c>
      <c r="K144" s="787"/>
      <c r="L144" s="788">
        <f>SUM(L145:L151)</f>
        <v>44027046.014700003</v>
      </c>
      <c r="M144" s="789"/>
      <c r="N144" s="789"/>
      <c r="O144" s="788">
        <f>SUM(O145:O151)</f>
        <v>153229.16070000001</v>
      </c>
      <c r="P144" s="789"/>
      <c r="Q144" s="789"/>
      <c r="R144" s="788">
        <f>SUM(R145:R151)</f>
        <v>0</v>
      </c>
      <c r="S144" s="789"/>
      <c r="T144" s="789"/>
      <c r="U144" s="789"/>
      <c r="V144" s="788">
        <f>SUM(V145:V151)</f>
        <v>44180275.175400004</v>
      </c>
    </row>
    <row r="145" spans="4:22" ht="15" customHeight="1">
      <c r="E145" s="792"/>
      <c r="F145" s="810" t="s">
        <v>2184</v>
      </c>
      <c r="G145" s="811"/>
      <c r="H145" s="812"/>
      <c r="I145" s="796" t="s">
        <v>2111</v>
      </c>
      <c r="J145" s="792" t="s">
        <v>2111</v>
      </c>
      <c r="K145" s="800"/>
      <c r="L145" s="798" t="str">
        <f>IF(I145="","",I145*K145)</f>
        <v/>
      </c>
      <c r="M145" s="799"/>
      <c r="N145" s="799"/>
      <c r="O145" s="799"/>
      <c r="P145" s="799"/>
      <c r="Q145" s="799"/>
      <c r="R145" s="799"/>
      <c r="S145" s="799"/>
      <c r="T145" s="799"/>
      <c r="U145" s="799"/>
      <c r="V145" s="799"/>
    </row>
    <row r="146" spans="4:22" ht="15" customHeight="1">
      <c r="E146" s="792">
        <v>1</v>
      </c>
      <c r="F146" s="793" t="s">
        <v>2185</v>
      </c>
      <c r="G146" s="811"/>
      <c r="H146" s="812"/>
      <c r="I146" s="796">
        <v>87.04</v>
      </c>
      <c r="J146" s="792" t="s">
        <v>2102</v>
      </c>
      <c r="K146" s="797">
        <v>92250.9</v>
      </c>
      <c r="L146" s="798">
        <f>IF(I146="","",I146*K146)</f>
        <v>8029518.3360000001</v>
      </c>
      <c r="M146" s="799"/>
      <c r="N146" s="799"/>
      <c r="O146" s="799"/>
      <c r="P146" s="799"/>
      <c r="Q146" s="799"/>
      <c r="R146" s="799"/>
      <c r="S146" s="799">
        <f>IF(AND(M146="",P146=""),I146,I146+M146-P146)</f>
        <v>87.04</v>
      </c>
      <c r="T146" s="799" t="str">
        <f t="shared" ref="T146:U149" si="24">J146</f>
        <v>m²</v>
      </c>
      <c r="U146" s="799">
        <f t="shared" si="24"/>
        <v>92250.9</v>
      </c>
      <c r="V146" s="799">
        <f>S146*U146</f>
        <v>8029518.3360000001</v>
      </c>
    </row>
    <row r="147" spans="4:22" ht="15" customHeight="1">
      <c r="E147" s="792">
        <v>2</v>
      </c>
      <c r="F147" s="793" t="s">
        <v>2186</v>
      </c>
      <c r="G147" s="811"/>
      <c r="H147" s="812"/>
      <c r="I147" s="796">
        <v>50.67</v>
      </c>
      <c r="J147" s="792" t="s">
        <v>2102</v>
      </c>
      <c r="K147" s="797">
        <v>92250.9</v>
      </c>
      <c r="L147" s="798">
        <f>IF(I147="","",I147*K147)</f>
        <v>4674353.1030000001</v>
      </c>
      <c r="M147" s="799"/>
      <c r="N147" s="799"/>
      <c r="O147" s="799"/>
      <c r="P147" s="799"/>
      <c r="Q147" s="799"/>
      <c r="R147" s="799"/>
      <c r="S147" s="799">
        <f>IF(AND(M147="",P147=""),I147,I147+M147-P147)</f>
        <v>50.67</v>
      </c>
      <c r="T147" s="799" t="str">
        <f t="shared" si="24"/>
        <v>m²</v>
      </c>
      <c r="U147" s="799">
        <f t="shared" si="24"/>
        <v>92250.9</v>
      </c>
      <c r="V147" s="799">
        <f>S147*U147</f>
        <v>4674353.1030000001</v>
      </c>
    </row>
    <row r="148" spans="4:22" ht="15" customHeight="1">
      <c r="E148" s="792">
        <v>3</v>
      </c>
      <c r="F148" s="793" t="s">
        <v>2187</v>
      </c>
      <c r="G148" s="811"/>
      <c r="H148" s="812"/>
      <c r="I148" s="796">
        <v>22.910000000000004</v>
      </c>
      <c r="J148" s="792" t="s">
        <v>2102</v>
      </c>
      <c r="K148" s="797">
        <v>154892.85</v>
      </c>
      <c r="L148" s="798">
        <f>IF(I148="","",I148*K148)</f>
        <v>3548595.1935000005</v>
      </c>
      <c r="M148" s="799"/>
      <c r="N148" s="799"/>
      <c r="O148" s="799"/>
      <c r="P148" s="799"/>
      <c r="Q148" s="799"/>
      <c r="R148" s="799"/>
      <c r="S148" s="799">
        <f>IF(AND(M148="",P148=""),I148,I148+M148-P148)</f>
        <v>22.910000000000004</v>
      </c>
      <c r="T148" s="799" t="str">
        <f t="shared" si="24"/>
        <v>m²</v>
      </c>
      <c r="U148" s="799">
        <f t="shared" si="24"/>
        <v>154892.85</v>
      </c>
      <c r="V148" s="799">
        <f>S148*U148</f>
        <v>3548595.1935000005</v>
      </c>
    </row>
    <row r="149" spans="4:22" ht="15" customHeight="1">
      <c r="E149" s="792">
        <v>4</v>
      </c>
      <c r="F149" s="793" t="s">
        <v>2188</v>
      </c>
      <c r="G149" s="811"/>
      <c r="H149" s="812"/>
      <c r="I149" s="796">
        <v>131.596</v>
      </c>
      <c r="J149" s="792" t="s">
        <v>2102</v>
      </c>
      <c r="K149" s="797">
        <v>211059.45</v>
      </c>
      <c r="L149" s="798">
        <f>IF(I149="","",I149*K149)</f>
        <v>27774579.382200003</v>
      </c>
      <c r="M149" s="799"/>
      <c r="N149" s="799"/>
      <c r="O149" s="799"/>
      <c r="P149" s="799"/>
      <c r="Q149" s="799"/>
      <c r="R149" s="799"/>
      <c r="S149" s="799">
        <f>IF(AND(M149="",P149=""),I149,I149+M149-P149)</f>
        <v>131.596</v>
      </c>
      <c r="T149" s="799" t="str">
        <f t="shared" si="24"/>
        <v>m²</v>
      </c>
      <c r="U149" s="799">
        <f t="shared" si="24"/>
        <v>211059.45</v>
      </c>
      <c r="V149" s="799">
        <f>S149*U149</f>
        <v>27774579.382200003</v>
      </c>
    </row>
    <row r="150" spans="4:22" ht="15" customHeight="1">
      <c r="E150" s="792">
        <v>5</v>
      </c>
      <c r="F150" s="793" t="s">
        <v>2189</v>
      </c>
      <c r="G150" s="811"/>
      <c r="H150" s="812"/>
      <c r="I150" s="796"/>
      <c r="J150" s="792"/>
      <c r="K150" s="797"/>
      <c r="L150" s="798"/>
      <c r="M150" s="799">
        <f>0.6*1.21</f>
        <v>0.72599999999999998</v>
      </c>
      <c r="N150" s="799">
        <v>211059.45</v>
      </c>
      <c r="O150" s="798">
        <f>IF(M150="","",M150*N150)</f>
        <v>153229.16070000001</v>
      </c>
      <c r="P150" s="799"/>
      <c r="Q150" s="799"/>
      <c r="R150" s="799"/>
      <c r="S150" s="799">
        <f>IF(AND(M150="",P150=""),I150,I150+M150-P150)</f>
        <v>0.72599999999999998</v>
      </c>
      <c r="T150" s="799" t="s">
        <v>2102</v>
      </c>
      <c r="U150" s="799">
        <f>N150</f>
        <v>211059.45</v>
      </c>
      <c r="V150" s="799">
        <f>S150*U150</f>
        <v>153229.16070000001</v>
      </c>
    </row>
    <row r="151" spans="4:22" ht="15" customHeight="1">
      <c r="E151" s="792"/>
      <c r="F151" s="793"/>
      <c r="G151" s="811"/>
      <c r="H151" s="812"/>
      <c r="I151" s="796"/>
      <c r="J151" s="792"/>
      <c r="K151" s="801"/>
      <c r="L151" s="802"/>
      <c r="M151" s="803"/>
      <c r="N151" s="803"/>
      <c r="O151" s="803"/>
      <c r="P151" s="803"/>
      <c r="Q151" s="803"/>
      <c r="R151" s="803"/>
      <c r="S151" s="803"/>
      <c r="T151" s="803"/>
      <c r="U151" s="803"/>
      <c r="V151" s="803"/>
    </row>
    <row r="152" spans="4:22" ht="15" customHeight="1">
      <c r="D152" s="780" t="s">
        <v>2099</v>
      </c>
      <c r="E152" s="781" t="s">
        <v>94</v>
      </c>
      <c r="F152" s="804" t="s">
        <v>1856</v>
      </c>
      <c r="G152" s="813"/>
      <c r="H152" s="814"/>
      <c r="I152" s="805" t="s">
        <v>2111</v>
      </c>
      <c r="J152" s="786" t="s">
        <v>2111</v>
      </c>
      <c r="K152" s="787"/>
      <c r="L152" s="788">
        <f>SUM(L153:L158)</f>
        <v>35787107.386800006</v>
      </c>
      <c r="M152" s="789"/>
      <c r="N152" s="789"/>
      <c r="O152" s="788">
        <f>SUM(O153:O158)</f>
        <v>8011085.4525000006</v>
      </c>
      <c r="P152" s="789"/>
      <c r="Q152" s="789"/>
      <c r="R152" s="788">
        <f>SUM(R153:R158)</f>
        <v>2658314.1374999997</v>
      </c>
      <c r="S152" s="789"/>
      <c r="T152" s="789"/>
      <c r="U152" s="789"/>
      <c r="V152" s="788">
        <f>SUM(V153:V158)</f>
        <v>41139878.701800004</v>
      </c>
    </row>
    <row r="153" spans="4:22" ht="15" customHeight="1">
      <c r="E153" s="792"/>
      <c r="F153" s="810" t="s">
        <v>2190</v>
      </c>
      <c r="G153" s="811"/>
      <c r="H153" s="812"/>
      <c r="I153" s="796" t="s">
        <v>2111</v>
      </c>
      <c r="J153" s="792" t="s">
        <v>2111</v>
      </c>
      <c r="K153" s="800"/>
      <c r="L153" s="798" t="str">
        <f>IF(I153="","",I153*K153)</f>
        <v/>
      </c>
      <c r="M153" s="799"/>
      <c r="N153" s="799"/>
      <c r="O153" s="799"/>
      <c r="P153" s="799"/>
      <c r="Q153" s="799"/>
      <c r="R153" s="799"/>
      <c r="S153" s="799"/>
      <c r="T153" s="799"/>
      <c r="U153" s="799"/>
      <c r="V153" s="799"/>
    </row>
    <row r="154" spans="4:22" ht="15" customHeight="1">
      <c r="E154" s="792">
        <v>1</v>
      </c>
      <c r="F154" s="793" t="s">
        <v>2191</v>
      </c>
      <c r="G154" s="811"/>
      <c r="H154" s="812"/>
      <c r="I154" s="796">
        <v>210.46</v>
      </c>
      <c r="J154" s="792" t="s">
        <v>2102</v>
      </c>
      <c r="K154" s="797">
        <v>115762.5</v>
      </c>
      <c r="L154" s="798">
        <f>IF(I154="","",I154*K154)</f>
        <v>24363375.75</v>
      </c>
      <c r="M154" s="799"/>
      <c r="N154" s="799"/>
      <c r="O154" s="799"/>
      <c r="P154" s="799"/>
      <c r="Q154" s="799"/>
      <c r="R154" s="799"/>
      <c r="S154" s="799">
        <f>IF(AND(M154="",P154=""),I154,I154+M154-P154)</f>
        <v>210.46</v>
      </c>
      <c r="T154" s="799" t="str">
        <f t="shared" ref="T154:U156" si="25">J154</f>
        <v>m²</v>
      </c>
      <c r="U154" s="799">
        <f t="shared" si="25"/>
        <v>115762.5</v>
      </c>
      <c r="V154" s="799">
        <f>S154*U154</f>
        <v>24363375.75</v>
      </c>
    </row>
    <row r="155" spans="4:22" ht="15" customHeight="1">
      <c r="E155" s="792">
        <v>2</v>
      </c>
      <c r="F155" s="793" t="s">
        <v>2192</v>
      </c>
      <c r="G155" s="811"/>
      <c r="H155" s="812"/>
      <c r="I155" s="796">
        <v>160.71</v>
      </c>
      <c r="J155" s="792" t="s">
        <v>2102</v>
      </c>
      <c r="K155" s="797">
        <v>54541.83</v>
      </c>
      <c r="L155" s="798">
        <f>IF(I155="","",I155*K155)</f>
        <v>8765417.4993000012</v>
      </c>
      <c r="M155" s="799">
        <f>49.75+27</f>
        <v>76.75</v>
      </c>
      <c r="N155" s="799">
        <f>K155</f>
        <v>54541.83</v>
      </c>
      <c r="O155" s="798">
        <f>IF(M155="","",M155*N155)</f>
        <v>4186085.4525000001</v>
      </c>
      <c r="P155" s="799"/>
      <c r="Q155" s="799"/>
      <c r="R155" s="799"/>
      <c r="S155" s="799">
        <f>IF(AND(M155="",P155=""),I155,I155+M155-P155)</f>
        <v>237.46</v>
      </c>
      <c r="T155" s="799" t="str">
        <f t="shared" si="25"/>
        <v>m²</v>
      </c>
      <c r="U155" s="799">
        <f t="shared" si="25"/>
        <v>54541.83</v>
      </c>
      <c r="V155" s="799">
        <f>S155*U155</f>
        <v>12951502.9518</v>
      </c>
    </row>
    <row r="156" spans="4:22" ht="15" customHeight="1">
      <c r="E156" s="792">
        <v>3</v>
      </c>
      <c r="F156" s="793" t="s">
        <v>2193</v>
      </c>
      <c r="G156" s="811"/>
      <c r="H156" s="812"/>
      <c r="I156" s="796">
        <v>49.75</v>
      </c>
      <c r="J156" s="792" t="s">
        <v>2102</v>
      </c>
      <c r="K156" s="797">
        <v>53433.45</v>
      </c>
      <c r="L156" s="798">
        <f>IF(I156="","",I156*K156)</f>
        <v>2658314.1374999997</v>
      </c>
      <c r="M156" s="799"/>
      <c r="N156" s="799"/>
      <c r="O156" s="799"/>
      <c r="P156" s="799">
        <v>49.75</v>
      </c>
      <c r="Q156" s="799">
        <f>K156</f>
        <v>53433.45</v>
      </c>
      <c r="R156" s="798">
        <f>IF(P156="","",P156*Q156)</f>
        <v>2658314.1374999997</v>
      </c>
      <c r="S156" s="799">
        <f>IF(AND(M156="",P156=""),I156,I156+M156-P156)</f>
        <v>0</v>
      </c>
      <c r="T156" s="799" t="str">
        <f t="shared" si="25"/>
        <v>m²</v>
      </c>
      <c r="U156" s="799">
        <f t="shared" si="25"/>
        <v>53433.45</v>
      </c>
      <c r="V156" s="799">
        <f>S156*U156</f>
        <v>0</v>
      </c>
    </row>
    <row r="157" spans="4:22" ht="15" customHeight="1">
      <c r="E157" s="792">
        <v>4</v>
      </c>
      <c r="F157" s="793" t="s">
        <v>2194</v>
      </c>
      <c r="G157" s="811"/>
      <c r="H157" s="812"/>
      <c r="I157" s="796"/>
      <c r="J157" s="792"/>
      <c r="K157" s="797"/>
      <c r="L157" s="798"/>
      <c r="M157" s="799">
        <f>204+51</f>
        <v>255</v>
      </c>
      <c r="N157" s="799">
        <v>15000</v>
      </c>
      <c r="O157" s="798">
        <f>IF(M157="","",M157*N157)</f>
        <v>3825000</v>
      </c>
      <c r="P157" s="799"/>
      <c r="Q157" s="799"/>
      <c r="R157" s="799"/>
      <c r="S157" s="799">
        <f>IF(AND(M157="",P157=""),I157,I157+M157-P157)</f>
        <v>255</v>
      </c>
      <c r="T157" s="799" t="s">
        <v>33</v>
      </c>
      <c r="U157" s="799">
        <f>N157</f>
        <v>15000</v>
      </c>
      <c r="V157" s="799">
        <f>S157*U157</f>
        <v>3825000</v>
      </c>
    </row>
    <row r="158" spans="4:22" ht="15" customHeight="1">
      <c r="E158" s="792"/>
      <c r="F158" s="793"/>
      <c r="G158" s="811"/>
      <c r="H158" s="812"/>
      <c r="I158" s="796"/>
      <c r="J158" s="792"/>
      <c r="K158" s="801"/>
      <c r="L158" s="802"/>
      <c r="M158" s="803"/>
      <c r="N158" s="803"/>
      <c r="O158" s="803"/>
      <c r="P158" s="803"/>
      <c r="Q158" s="803"/>
      <c r="R158" s="803"/>
      <c r="S158" s="803"/>
      <c r="T158" s="803"/>
      <c r="U158" s="803"/>
      <c r="V158" s="803"/>
    </row>
    <row r="159" spans="4:22" ht="15" customHeight="1">
      <c r="D159" s="780" t="s">
        <v>2099</v>
      </c>
      <c r="E159" s="781" t="s">
        <v>69</v>
      </c>
      <c r="F159" s="804" t="s">
        <v>1960</v>
      </c>
      <c r="G159" s="813"/>
      <c r="H159" s="814"/>
      <c r="I159" s="805" t="s">
        <v>2111</v>
      </c>
      <c r="J159" s="786" t="s">
        <v>2111</v>
      </c>
      <c r="K159" s="787"/>
      <c r="L159" s="788">
        <f>SUM(L160:L164)</f>
        <v>15405000</v>
      </c>
      <c r="M159" s="789"/>
      <c r="N159" s="789"/>
      <c r="O159" s="788">
        <f>SUM(O160:O164)</f>
        <v>1500000</v>
      </c>
      <c r="P159" s="789"/>
      <c r="Q159" s="789"/>
      <c r="R159" s="788">
        <f>SUM(R160:R164)</f>
        <v>0</v>
      </c>
      <c r="S159" s="789"/>
      <c r="T159" s="789"/>
      <c r="U159" s="789"/>
      <c r="V159" s="788">
        <f>SUM(V160:V164)</f>
        <v>16905000</v>
      </c>
    </row>
    <row r="160" spans="4:22" ht="15" customHeight="1">
      <c r="E160" s="792"/>
      <c r="F160" s="810" t="s">
        <v>2195</v>
      </c>
      <c r="G160" s="811"/>
      <c r="H160" s="812"/>
      <c r="I160" s="796" t="s">
        <v>2111</v>
      </c>
      <c r="J160" s="792" t="s">
        <v>2111</v>
      </c>
      <c r="K160" s="800"/>
      <c r="L160" s="798" t="str">
        <f>IF(I160="","",I160*K160)</f>
        <v/>
      </c>
      <c r="M160" s="799"/>
      <c r="N160" s="799"/>
      <c r="O160" s="799"/>
      <c r="P160" s="799"/>
      <c r="Q160" s="799"/>
      <c r="R160" s="799"/>
      <c r="S160" s="799"/>
      <c r="T160" s="799"/>
      <c r="U160" s="799"/>
      <c r="V160" s="799"/>
    </row>
    <row r="161" spans="4:24" ht="15" customHeight="1">
      <c r="E161" s="792">
        <v>1</v>
      </c>
      <c r="F161" s="793" t="s">
        <v>2196</v>
      </c>
      <c r="G161" s="811"/>
      <c r="H161" s="812"/>
      <c r="I161" s="796">
        <v>4.67</v>
      </c>
      <c r="J161" s="792" t="s">
        <v>2102</v>
      </c>
      <c r="K161" s="797">
        <v>1500000</v>
      </c>
      <c r="L161" s="798">
        <f>IF(I161="","",I161*K161)</f>
        <v>7005000</v>
      </c>
      <c r="M161" s="799"/>
      <c r="N161" s="799"/>
      <c r="O161" s="799"/>
      <c r="P161" s="799"/>
      <c r="Q161" s="799"/>
      <c r="R161" s="799"/>
      <c r="S161" s="799">
        <f>IF(AND(M161="",P161=""),I161,I161+M161-P161)</f>
        <v>4.67</v>
      </c>
      <c r="T161" s="799" t="str">
        <f>J161</f>
        <v>m²</v>
      </c>
      <c r="U161" s="799">
        <f>K161</f>
        <v>1500000</v>
      </c>
      <c r="V161" s="799">
        <f>S161*U161</f>
        <v>7005000</v>
      </c>
    </row>
    <row r="162" spans="4:24" ht="15" customHeight="1">
      <c r="E162" s="792">
        <v>2</v>
      </c>
      <c r="F162" s="793" t="s">
        <v>2197</v>
      </c>
      <c r="G162" s="811"/>
      <c r="H162" s="812"/>
      <c r="I162" s="796">
        <v>24</v>
      </c>
      <c r="J162" s="792" t="s">
        <v>2198</v>
      </c>
      <c r="K162" s="797">
        <v>350000</v>
      </c>
      <c r="L162" s="798">
        <f>IF(I162="","",I162*K162)</f>
        <v>8400000</v>
      </c>
      <c r="M162" s="799"/>
      <c r="N162" s="799"/>
      <c r="O162" s="799"/>
      <c r="P162" s="799"/>
      <c r="Q162" s="799"/>
      <c r="R162" s="799"/>
      <c r="S162" s="799">
        <f>IF(AND(M162="",P162=""),I162,I162+M162-P162)</f>
        <v>24</v>
      </c>
      <c r="T162" s="799" t="str">
        <f>J162</f>
        <v>unit</v>
      </c>
      <c r="U162" s="799">
        <f>K162</f>
        <v>350000</v>
      </c>
      <c r="V162" s="799">
        <f>S162*U162</f>
        <v>8400000</v>
      </c>
    </row>
    <row r="163" spans="4:24" ht="15" customHeight="1">
      <c r="E163" s="792">
        <v>3</v>
      </c>
      <c r="F163" s="793" t="s">
        <v>2199</v>
      </c>
      <c r="G163" s="811"/>
      <c r="H163" s="812"/>
      <c r="I163" s="796"/>
      <c r="J163" s="792"/>
      <c r="K163" s="797"/>
      <c r="L163" s="798"/>
      <c r="M163" s="799">
        <v>1</v>
      </c>
      <c r="N163" s="799">
        <v>1500000</v>
      </c>
      <c r="O163" s="798">
        <f>IF(M163="","",M163*N163)</f>
        <v>1500000</v>
      </c>
      <c r="P163" s="799"/>
      <c r="Q163" s="799"/>
      <c r="R163" s="799"/>
      <c r="S163" s="799">
        <f>IF(AND(M163="",P163=""),I163,I163+M163-P163)</f>
        <v>1</v>
      </c>
      <c r="T163" s="799" t="s">
        <v>2104</v>
      </c>
      <c r="U163" s="799">
        <f>N163</f>
        <v>1500000</v>
      </c>
      <c r="V163" s="799">
        <f>S163*U163</f>
        <v>1500000</v>
      </c>
    </row>
    <row r="164" spans="4:24" ht="15" customHeight="1">
      <c r="E164" s="792"/>
      <c r="F164" s="793"/>
      <c r="G164" s="811"/>
      <c r="H164" s="812"/>
      <c r="I164" s="796"/>
      <c r="J164" s="792"/>
      <c r="K164" s="797"/>
      <c r="L164" s="798" t="str">
        <f>IF(I164="","",I164*K164)</f>
        <v/>
      </c>
      <c r="M164" s="799"/>
      <c r="N164" s="799"/>
      <c r="O164" s="799"/>
      <c r="P164" s="799"/>
      <c r="Q164" s="799"/>
      <c r="R164" s="799"/>
      <c r="S164" s="799"/>
      <c r="T164" s="799"/>
      <c r="U164" s="799"/>
      <c r="V164" s="799"/>
    </row>
    <row r="165" spans="4:24" ht="15" customHeight="1">
      <c r="D165" s="780" t="s">
        <v>2099</v>
      </c>
      <c r="E165" s="781" t="s">
        <v>8</v>
      </c>
      <c r="F165" s="804" t="s">
        <v>1878</v>
      </c>
      <c r="G165" s="816"/>
      <c r="H165" s="817"/>
      <c r="I165" s="818" t="s">
        <v>2111</v>
      </c>
      <c r="J165" s="781" t="s">
        <v>2111</v>
      </c>
      <c r="K165" s="819"/>
      <c r="L165" s="788">
        <f>SUM(L166:L171)</f>
        <v>52871236.347131997</v>
      </c>
      <c r="M165" s="789"/>
      <c r="N165" s="789"/>
      <c r="O165" s="788">
        <f>SUM(O166:O171)</f>
        <v>0</v>
      </c>
      <c r="P165" s="789"/>
      <c r="Q165" s="789"/>
      <c r="R165" s="788">
        <f>SUM(R166:R171)</f>
        <v>0</v>
      </c>
      <c r="S165" s="789"/>
      <c r="T165" s="789"/>
      <c r="U165" s="789"/>
      <c r="V165" s="788">
        <f>SUM(V166:V171)</f>
        <v>52871236.347131997</v>
      </c>
    </row>
    <row r="166" spans="4:24" ht="15" customHeight="1">
      <c r="E166" s="820"/>
      <c r="F166" s="810" t="s">
        <v>2200</v>
      </c>
      <c r="G166" s="811"/>
      <c r="H166" s="812"/>
      <c r="I166" s="796" t="s">
        <v>2111</v>
      </c>
      <c r="J166" s="792" t="s">
        <v>2111</v>
      </c>
      <c r="K166" s="800"/>
      <c r="L166" s="798"/>
      <c r="M166" s="799"/>
      <c r="N166" s="799"/>
      <c r="O166" s="799"/>
      <c r="P166" s="799"/>
      <c r="Q166" s="799"/>
      <c r="R166" s="799"/>
      <c r="S166" s="799"/>
      <c r="T166" s="799"/>
      <c r="U166" s="799"/>
      <c r="V166" s="799"/>
    </row>
    <row r="167" spans="4:24" ht="15" customHeight="1">
      <c r="E167" s="792">
        <v>1</v>
      </c>
      <c r="F167" s="793" t="s">
        <v>2201</v>
      </c>
      <c r="G167" s="811"/>
      <c r="H167" s="812"/>
      <c r="I167" s="796">
        <v>1601.047</v>
      </c>
      <c r="J167" s="792" t="s">
        <v>2102</v>
      </c>
      <c r="K167" s="800">
        <v>24412.5</v>
      </c>
      <c r="L167" s="798">
        <f>IF(I167="","",I167*K167)</f>
        <v>39085559.887500003</v>
      </c>
      <c r="M167" s="799"/>
      <c r="N167" s="799"/>
      <c r="O167" s="799"/>
      <c r="P167" s="799"/>
      <c r="Q167" s="799"/>
      <c r="R167" s="799"/>
      <c r="S167" s="799">
        <f>IF(AND(M167="",P167=""),I167,I167+M167-P167)</f>
        <v>1601.047</v>
      </c>
      <c r="T167" s="799" t="str">
        <f t="shared" ref="T167:U170" si="26">J167</f>
        <v>m²</v>
      </c>
      <c r="U167" s="799">
        <f t="shared" si="26"/>
        <v>24412.5</v>
      </c>
      <c r="V167" s="799">
        <f>S167*U167</f>
        <v>39085559.887500003</v>
      </c>
    </row>
    <row r="168" spans="4:24" ht="15" customHeight="1">
      <c r="E168" s="792">
        <v>2</v>
      </c>
      <c r="F168" s="793" t="s">
        <v>2202</v>
      </c>
      <c r="G168" s="811"/>
      <c r="H168" s="812"/>
      <c r="I168" s="796">
        <v>210.46</v>
      </c>
      <c r="J168" s="792" t="s">
        <v>2102</v>
      </c>
      <c r="K168" s="797">
        <v>19608.75</v>
      </c>
      <c r="L168" s="798">
        <f>IF(I168="","",I168*K168)</f>
        <v>4126857.5250000004</v>
      </c>
      <c r="M168" s="799"/>
      <c r="N168" s="799"/>
      <c r="O168" s="799"/>
      <c r="P168" s="799"/>
      <c r="Q168" s="799"/>
      <c r="R168" s="799"/>
      <c r="S168" s="799">
        <f>IF(AND(M168="",P168=""),I168,I168+M168-P168)</f>
        <v>210.46</v>
      </c>
      <c r="T168" s="799" t="str">
        <f t="shared" si="26"/>
        <v>m²</v>
      </c>
      <c r="U168" s="799">
        <f t="shared" si="26"/>
        <v>19608.75</v>
      </c>
      <c r="V168" s="799">
        <f>S168*U168</f>
        <v>4126857.5250000004</v>
      </c>
    </row>
    <row r="169" spans="4:24" ht="15" customHeight="1">
      <c r="E169" s="792">
        <v>3</v>
      </c>
      <c r="F169" s="793" t="s">
        <v>2203</v>
      </c>
      <c r="G169" s="811"/>
      <c r="H169" s="812"/>
      <c r="I169" s="796">
        <v>12.5496</v>
      </c>
      <c r="J169" s="792" t="s">
        <v>2102</v>
      </c>
      <c r="K169" s="797">
        <v>19608.75</v>
      </c>
      <c r="L169" s="798">
        <f>IF(I169="","",I169*K169)</f>
        <v>246081.96900000001</v>
      </c>
      <c r="M169" s="799"/>
      <c r="N169" s="799"/>
      <c r="O169" s="799"/>
      <c r="P169" s="799"/>
      <c r="Q169" s="799"/>
      <c r="R169" s="799"/>
      <c r="S169" s="799">
        <f>IF(AND(M169="",P169=""),I169,I169+M169-P169)</f>
        <v>12.5496</v>
      </c>
      <c r="T169" s="799" t="str">
        <f t="shared" si="26"/>
        <v>m²</v>
      </c>
      <c r="U169" s="799">
        <f t="shared" si="26"/>
        <v>19608.75</v>
      </c>
      <c r="V169" s="799">
        <f>S169*U169</f>
        <v>246081.96900000001</v>
      </c>
    </row>
    <row r="170" spans="4:24" ht="15" customHeight="1">
      <c r="E170" s="792">
        <v>4</v>
      </c>
      <c r="F170" s="793" t="s">
        <v>2204</v>
      </c>
      <c r="G170" s="811"/>
      <c r="H170" s="812"/>
      <c r="I170" s="796">
        <v>193.6</v>
      </c>
      <c r="J170" s="792" t="s">
        <v>2102</v>
      </c>
      <c r="K170" s="797">
        <v>48619.509120000002</v>
      </c>
      <c r="L170" s="798">
        <f>IF(I170="","",I170*K170)</f>
        <v>9412736.9656320009</v>
      </c>
      <c r="M170" s="799"/>
      <c r="N170" s="799"/>
      <c r="O170" s="799"/>
      <c r="P170" s="799"/>
      <c r="Q170" s="799"/>
      <c r="R170" s="799"/>
      <c r="S170" s="799">
        <f>IF(AND(M170="",P170=""),I170,I170+M170-P170)</f>
        <v>193.6</v>
      </c>
      <c r="T170" s="799" t="str">
        <f t="shared" si="26"/>
        <v>m²</v>
      </c>
      <c r="U170" s="799">
        <f t="shared" si="26"/>
        <v>48619.509120000002</v>
      </c>
      <c r="V170" s="799">
        <f>S170*U170</f>
        <v>9412736.9656320009</v>
      </c>
    </row>
    <row r="171" spans="4:24" ht="15" customHeight="1">
      <c r="E171" s="792"/>
      <c r="F171" s="793"/>
      <c r="G171" s="811"/>
      <c r="H171" s="812"/>
      <c r="I171" s="796" t="s">
        <v>2111</v>
      </c>
      <c r="J171" s="792"/>
      <c r="K171" s="797"/>
      <c r="L171" s="802"/>
      <c r="M171" s="803"/>
      <c r="N171" s="803"/>
      <c r="O171" s="803"/>
      <c r="P171" s="803"/>
      <c r="Q171" s="803"/>
      <c r="R171" s="803"/>
      <c r="S171" s="803"/>
      <c r="T171" s="803"/>
      <c r="U171" s="803"/>
      <c r="V171" s="803"/>
    </row>
    <row r="172" spans="4:24" ht="15" customHeight="1">
      <c r="D172" s="780" t="s">
        <v>2099</v>
      </c>
      <c r="E172" s="781" t="s">
        <v>84</v>
      </c>
      <c r="F172" s="804" t="s">
        <v>2205</v>
      </c>
      <c r="G172" s="816"/>
      <c r="H172" s="817"/>
      <c r="I172" s="818" t="s">
        <v>2111</v>
      </c>
      <c r="J172" s="781" t="s">
        <v>2111</v>
      </c>
      <c r="K172" s="819"/>
      <c r="L172" s="788">
        <f>SUM(L173:L189)</f>
        <v>58416490</v>
      </c>
      <c r="M172" s="789"/>
      <c r="N172" s="789"/>
      <c r="O172" s="788">
        <f>SUM(O173:O189)</f>
        <v>7630800</v>
      </c>
      <c r="P172" s="789"/>
      <c r="Q172" s="789"/>
      <c r="R172" s="788">
        <f>SUM(R173:R189)</f>
        <v>0</v>
      </c>
      <c r="S172" s="789"/>
      <c r="T172" s="789"/>
      <c r="U172" s="789"/>
      <c r="V172" s="788">
        <f>SUM(V173:V189)</f>
        <v>66047290</v>
      </c>
    </row>
    <row r="173" spans="4:24" ht="15" customHeight="1">
      <c r="E173" s="792"/>
      <c r="F173" s="810" t="s">
        <v>2206</v>
      </c>
      <c r="G173" s="811"/>
      <c r="H173" s="812"/>
      <c r="I173" s="796" t="s">
        <v>2111</v>
      </c>
      <c r="J173" s="792" t="s">
        <v>2111</v>
      </c>
      <c r="K173" s="800"/>
      <c r="L173" s="798"/>
      <c r="M173" s="799"/>
      <c r="N173" s="799"/>
      <c r="O173" s="799"/>
      <c r="P173" s="799"/>
      <c r="Q173" s="799"/>
      <c r="R173" s="799"/>
      <c r="S173" s="799"/>
      <c r="T173" s="799"/>
      <c r="U173" s="799"/>
      <c r="V173" s="799"/>
    </row>
    <row r="174" spans="4:24" ht="15" customHeight="1">
      <c r="E174" s="792">
        <v>1</v>
      </c>
      <c r="F174" s="793" t="s">
        <v>2207</v>
      </c>
      <c r="G174" s="811"/>
      <c r="H174" s="812"/>
      <c r="I174" s="796">
        <v>1</v>
      </c>
      <c r="J174" s="792" t="s">
        <v>2198</v>
      </c>
      <c r="K174" s="800">
        <v>7200000</v>
      </c>
      <c r="L174" s="798">
        <f t="shared" ref="L174:L187" si="27">IF(I174="","",I174*K174)</f>
        <v>7200000</v>
      </c>
      <c r="M174" s="799"/>
      <c r="N174" s="799"/>
      <c r="O174" s="799"/>
      <c r="P174" s="799"/>
      <c r="Q174" s="799"/>
      <c r="R174" s="799"/>
      <c r="S174" s="799">
        <f t="shared" ref="S174:S188" si="28">IF(AND(M174="",P174=""),I174,I174+M174-P174)</f>
        <v>1</v>
      </c>
      <c r="T174" s="799" t="str">
        <f t="shared" ref="T174:U187" si="29">J174</f>
        <v>unit</v>
      </c>
      <c r="U174" s="799">
        <f t="shared" si="29"/>
        <v>7200000</v>
      </c>
      <c r="V174" s="799">
        <f t="shared" ref="V174:V188" si="30">S174*U174</f>
        <v>7200000</v>
      </c>
    </row>
    <row r="175" spans="4:24" ht="15" customHeight="1">
      <c r="E175" s="792">
        <v>2</v>
      </c>
      <c r="F175" s="793" t="s">
        <v>2208</v>
      </c>
      <c r="G175" s="811"/>
      <c r="H175" s="812"/>
      <c r="I175" s="796">
        <v>1</v>
      </c>
      <c r="J175" s="792" t="s">
        <v>2198</v>
      </c>
      <c r="K175" s="800">
        <v>8500000</v>
      </c>
      <c r="L175" s="798">
        <f t="shared" si="27"/>
        <v>8500000</v>
      </c>
      <c r="M175" s="799"/>
      <c r="N175" s="799"/>
      <c r="O175" s="799"/>
      <c r="P175" s="799"/>
      <c r="Q175" s="799"/>
      <c r="R175" s="799"/>
      <c r="S175" s="799">
        <f t="shared" si="28"/>
        <v>1</v>
      </c>
      <c r="T175" s="799" t="str">
        <f t="shared" si="29"/>
        <v>unit</v>
      </c>
      <c r="U175" s="799">
        <f t="shared" si="29"/>
        <v>8500000</v>
      </c>
      <c r="V175" s="799">
        <f t="shared" si="30"/>
        <v>8500000</v>
      </c>
      <c r="X175" s="790"/>
    </row>
    <row r="176" spans="4:24" ht="15" customHeight="1">
      <c r="E176" s="792">
        <v>3</v>
      </c>
      <c r="F176" s="793" t="s">
        <v>2209</v>
      </c>
      <c r="G176" s="811"/>
      <c r="H176" s="812"/>
      <c r="I176" s="796">
        <v>59</v>
      </c>
      <c r="J176" s="792" t="s">
        <v>1617</v>
      </c>
      <c r="K176" s="800">
        <v>407085</v>
      </c>
      <c r="L176" s="798">
        <f t="shared" si="27"/>
        <v>24018015</v>
      </c>
      <c r="M176" s="799"/>
      <c r="N176" s="799"/>
      <c r="O176" s="799"/>
      <c r="P176" s="799"/>
      <c r="Q176" s="799"/>
      <c r="R176" s="799"/>
      <c r="S176" s="799">
        <f t="shared" si="28"/>
        <v>59</v>
      </c>
      <c r="T176" s="799" t="str">
        <f t="shared" si="29"/>
        <v>titik</v>
      </c>
      <c r="U176" s="799">
        <f t="shared" si="29"/>
        <v>407085</v>
      </c>
      <c r="V176" s="799">
        <f t="shared" si="30"/>
        <v>24018015</v>
      </c>
      <c r="X176" s="790"/>
    </row>
    <row r="177" spans="4:24" ht="15" customHeight="1">
      <c r="E177" s="792">
        <v>4</v>
      </c>
      <c r="F177" s="793" t="s">
        <v>2210</v>
      </c>
      <c r="G177" s="811"/>
      <c r="H177" s="812"/>
      <c r="I177" s="796">
        <v>35</v>
      </c>
      <c r="J177" s="792" t="s">
        <v>1617</v>
      </c>
      <c r="K177" s="797">
        <v>146475</v>
      </c>
      <c r="L177" s="798">
        <f t="shared" si="27"/>
        <v>5126625</v>
      </c>
      <c r="M177" s="799"/>
      <c r="N177" s="799"/>
      <c r="O177" s="799"/>
      <c r="P177" s="799"/>
      <c r="Q177" s="799"/>
      <c r="R177" s="799"/>
      <c r="S177" s="799">
        <f t="shared" si="28"/>
        <v>35</v>
      </c>
      <c r="T177" s="799" t="str">
        <f t="shared" si="29"/>
        <v>titik</v>
      </c>
      <c r="U177" s="799">
        <f t="shared" si="29"/>
        <v>146475</v>
      </c>
      <c r="V177" s="799">
        <f t="shared" si="30"/>
        <v>5126625</v>
      </c>
      <c r="X177" s="790"/>
    </row>
    <row r="178" spans="4:24" ht="15" customHeight="1">
      <c r="E178" s="792">
        <v>5</v>
      </c>
      <c r="F178" s="793" t="s">
        <v>2211</v>
      </c>
      <c r="G178" s="811"/>
      <c r="H178" s="812"/>
      <c r="I178" s="796">
        <v>8</v>
      </c>
      <c r="J178" s="792" t="s">
        <v>1617</v>
      </c>
      <c r="K178" s="797">
        <v>146475</v>
      </c>
      <c r="L178" s="798">
        <f t="shared" si="27"/>
        <v>1171800</v>
      </c>
      <c r="M178" s="799"/>
      <c r="N178" s="799"/>
      <c r="O178" s="799"/>
      <c r="P178" s="799"/>
      <c r="Q178" s="799"/>
      <c r="R178" s="799"/>
      <c r="S178" s="799">
        <f t="shared" si="28"/>
        <v>8</v>
      </c>
      <c r="T178" s="799" t="str">
        <f t="shared" si="29"/>
        <v>titik</v>
      </c>
      <c r="U178" s="799">
        <f t="shared" si="29"/>
        <v>146475</v>
      </c>
      <c r="V178" s="799">
        <f t="shared" si="30"/>
        <v>1171800</v>
      </c>
      <c r="X178" s="790"/>
    </row>
    <row r="179" spans="4:24" ht="15" customHeight="1">
      <c r="E179" s="792">
        <v>6</v>
      </c>
      <c r="F179" s="793" t="s">
        <v>2212</v>
      </c>
      <c r="G179" s="811"/>
      <c r="H179" s="812"/>
      <c r="I179" s="796">
        <v>16</v>
      </c>
      <c r="J179" s="792" t="s">
        <v>36</v>
      </c>
      <c r="K179" s="797">
        <v>19162.5</v>
      </c>
      <c r="L179" s="798">
        <f t="shared" si="27"/>
        <v>306600</v>
      </c>
      <c r="M179" s="799"/>
      <c r="N179" s="799"/>
      <c r="O179" s="799"/>
      <c r="P179" s="799"/>
      <c r="Q179" s="799"/>
      <c r="R179" s="799"/>
      <c r="S179" s="799">
        <f t="shared" si="28"/>
        <v>16</v>
      </c>
      <c r="T179" s="799" t="str">
        <f t="shared" si="29"/>
        <v>bh</v>
      </c>
      <c r="U179" s="799">
        <f t="shared" si="29"/>
        <v>19162.5</v>
      </c>
      <c r="V179" s="799">
        <f t="shared" si="30"/>
        <v>306600</v>
      </c>
      <c r="X179" s="790"/>
    </row>
    <row r="180" spans="4:24" ht="15" customHeight="1">
      <c r="E180" s="792">
        <v>7</v>
      </c>
      <c r="F180" s="793" t="s">
        <v>2213</v>
      </c>
      <c r="G180" s="811"/>
      <c r="H180" s="812"/>
      <c r="I180" s="796">
        <v>11</v>
      </c>
      <c r="J180" s="792" t="s">
        <v>36</v>
      </c>
      <c r="K180" s="797">
        <v>38850</v>
      </c>
      <c r="L180" s="798">
        <f t="shared" si="27"/>
        <v>427350</v>
      </c>
      <c r="M180" s="799"/>
      <c r="N180" s="799"/>
      <c r="O180" s="799"/>
      <c r="P180" s="799"/>
      <c r="Q180" s="799"/>
      <c r="R180" s="799"/>
      <c r="S180" s="799">
        <f t="shared" si="28"/>
        <v>11</v>
      </c>
      <c r="T180" s="799" t="str">
        <f t="shared" si="29"/>
        <v>bh</v>
      </c>
      <c r="U180" s="799">
        <f t="shared" si="29"/>
        <v>38850</v>
      </c>
      <c r="V180" s="799">
        <f t="shared" si="30"/>
        <v>427350</v>
      </c>
      <c r="X180" s="790"/>
    </row>
    <row r="181" spans="4:24" ht="15" customHeight="1">
      <c r="E181" s="792">
        <v>8</v>
      </c>
      <c r="F181" s="793" t="s">
        <v>2214</v>
      </c>
      <c r="G181" s="811"/>
      <c r="H181" s="812"/>
      <c r="I181" s="796">
        <v>2</v>
      </c>
      <c r="J181" s="792" t="s">
        <v>36</v>
      </c>
      <c r="K181" s="797">
        <v>19162.5</v>
      </c>
      <c r="L181" s="798">
        <f t="shared" si="27"/>
        <v>38325</v>
      </c>
      <c r="M181" s="799"/>
      <c r="N181" s="799"/>
      <c r="O181" s="799"/>
      <c r="P181" s="799"/>
      <c r="Q181" s="799"/>
      <c r="R181" s="799"/>
      <c r="S181" s="799">
        <f t="shared" si="28"/>
        <v>2</v>
      </c>
      <c r="T181" s="799" t="str">
        <f t="shared" si="29"/>
        <v>bh</v>
      </c>
      <c r="U181" s="799">
        <f t="shared" si="29"/>
        <v>19162.5</v>
      </c>
      <c r="V181" s="799">
        <f t="shared" si="30"/>
        <v>38325</v>
      </c>
      <c r="X181" s="790"/>
    </row>
    <row r="182" spans="4:24" ht="15" customHeight="1">
      <c r="E182" s="792">
        <v>9</v>
      </c>
      <c r="F182" s="793" t="s">
        <v>2215</v>
      </c>
      <c r="G182" s="811"/>
      <c r="H182" s="812"/>
      <c r="I182" s="796">
        <v>12</v>
      </c>
      <c r="J182" s="792" t="s">
        <v>36</v>
      </c>
      <c r="K182" s="797">
        <v>38850</v>
      </c>
      <c r="L182" s="798">
        <f t="shared" si="27"/>
        <v>466200</v>
      </c>
      <c r="M182" s="799"/>
      <c r="N182" s="799"/>
      <c r="O182" s="799"/>
      <c r="P182" s="799"/>
      <c r="Q182" s="799"/>
      <c r="R182" s="799"/>
      <c r="S182" s="799">
        <f t="shared" si="28"/>
        <v>12</v>
      </c>
      <c r="T182" s="799" t="str">
        <f t="shared" si="29"/>
        <v>bh</v>
      </c>
      <c r="U182" s="799">
        <f t="shared" si="29"/>
        <v>38850</v>
      </c>
      <c r="V182" s="799">
        <f t="shared" si="30"/>
        <v>466200</v>
      </c>
      <c r="X182" s="790"/>
    </row>
    <row r="183" spans="4:24" ht="15" customHeight="1">
      <c r="E183" s="792">
        <v>10</v>
      </c>
      <c r="F183" s="793" t="s">
        <v>2216</v>
      </c>
      <c r="G183" s="811"/>
      <c r="H183" s="812"/>
      <c r="I183" s="796">
        <v>18</v>
      </c>
      <c r="J183" s="792" t="s">
        <v>36</v>
      </c>
      <c r="K183" s="797">
        <v>38850</v>
      </c>
      <c r="L183" s="798">
        <f t="shared" si="27"/>
        <v>699300</v>
      </c>
      <c r="M183" s="799"/>
      <c r="N183" s="799"/>
      <c r="O183" s="799"/>
      <c r="P183" s="799"/>
      <c r="Q183" s="799"/>
      <c r="R183" s="799"/>
      <c r="S183" s="799">
        <f t="shared" si="28"/>
        <v>18</v>
      </c>
      <c r="T183" s="799" t="str">
        <f t="shared" si="29"/>
        <v>bh</v>
      </c>
      <c r="U183" s="799">
        <f t="shared" si="29"/>
        <v>38850</v>
      </c>
      <c r="V183" s="799">
        <f t="shared" si="30"/>
        <v>699300</v>
      </c>
      <c r="X183" s="790"/>
    </row>
    <row r="184" spans="4:24" ht="15" customHeight="1">
      <c r="E184" s="792">
        <v>11</v>
      </c>
      <c r="F184" s="793" t="s">
        <v>2217</v>
      </c>
      <c r="G184" s="811"/>
      <c r="H184" s="812"/>
      <c r="I184" s="796">
        <v>33.450000000000003</v>
      </c>
      <c r="J184" s="792" t="s">
        <v>33</v>
      </c>
      <c r="K184" s="797">
        <v>10000</v>
      </c>
      <c r="L184" s="798">
        <f t="shared" si="27"/>
        <v>334500</v>
      </c>
      <c r="M184" s="799">
        <v>60</v>
      </c>
      <c r="N184" s="799">
        <f>K184</f>
        <v>10000</v>
      </c>
      <c r="O184" s="798">
        <f>IF(M184="","",M184*N184)</f>
        <v>600000</v>
      </c>
      <c r="P184" s="799"/>
      <c r="Q184" s="799"/>
      <c r="R184" s="799"/>
      <c r="S184" s="799">
        <f t="shared" si="28"/>
        <v>93.45</v>
      </c>
      <c r="T184" s="799" t="str">
        <f t="shared" si="29"/>
        <v>m</v>
      </c>
      <c r="U184" s="799">
        <f t="shared" si="29"/>
        <v>10000</v>
      </c>
      <c r="V184" s="799">
        <f t="shared" si="30"/>
        <v>934500</v>
      </c>
      <c r="X184" s="790"/>
    </row>
    <row r="185" spans="4:24" ht="15" customHeight="1">
      <c r="D185" s="821"/>
      <c r="E185" s="792">
        <v>12</v>
      </c>
      <c r="F185" s="793" t="s">
        <v>2218</v>
      </c>
      <c r="G185" s="811"/>
      <c r="H185" s="812"/>
      <c r="I185" s="796">
        <v>37</v>
      </c>
      <c r="J185" s="792" t="s">
        <v>1617</v>
      </c>
      <c r="K185" s="797">
        <v>178395</v>
      </c>
      <c r="L185" s="798">
        <f t="shared" si="27"/>
        <v>6600615</v>
      </c>
      <c r="M185" s="799"/>
      <c r="N185" s="799"/>
      <c r="O185" s="799"/>
      <c r="P185" s="799"/>
      <c r="Q185" s="799"/>
      <c r="R185" s="799"/>
      <c r="S185" s="799">
        <f t="shared" si="28"/>
        <v>37</v>
      </c>
      <c r="T185" s="799" t="str">
        <f t="shared" si="29"/>
        <v>titik</v>
      </c>
      <c r="U185" s="799">
        <f t="shared" si="29"/>
        <v>178395</v>
      </c>
      <c r="V185" s="799">
        <f t="shared" si="30"/>
        <v>6600615</v>
      </c>
      <c r="X185" s="790"/>
    </row>
    <row r="186" spans="4:24" ht="15" customHeight="1">
      <c r="E186" s="792">
        <v>13</v>
      </c>
      <c r="F186" s="793" t="s">
        <v>2219</v>
      </c>
      <c r="G186" s="811"/>
      <c r="H186" s="812"/>
      <c r="I186" s="796">
        <v>8</v>
      </c>
      <c r="J186" s="792" t="s">
        <v>1617</v>
      </c>
      <c r="K186" s="797">
        <v>178395</v>
      </c>
      <c r="L186" s="798">
        <f t="shared" si="27"/>
        <v>1427160</v>
      </c>
      <c r="M186" s="799"/>
      <c r="N186" s="799"/>
      <c r="O186" s="799"/>
      <c r="P186" s="799"/>
      <c r="Q186" s="799"/>
      <c r="R186" s="799"/>
      <c r="S186" s="799">
        <f t="shared" si="28"/>
        <v>8</v>
      </c>
      <c r="T186" s="799" t="str">
        <f t="shared" si="29"/>
        <v>titik</v>
      </c>
      <c r="U186" s="799">
        <f t="shared" si="29"/>
        <v>178395</v>
      </c>
      <c r="V186" s="799">
        <f t="shared" si="30"/>
        <v>1427160</v>
      </c>
      <c r="X186" s="790"/>
    </row>
    <row r="187" spans="4:24" ht="15" customHeight="1">
      <c r="E187" s="792">
        <v>14</v>
      </c>
      <c r="F187" s="793" t="s">
        <v>2220</v>
      </c>
      <c r="G187" s="811"/>
      <c r="H187" s="812"/>
      <c r="I187" s="796">
        <v>7</v>
      </c>
      <c r="J187" s="792" t="s">
        <v>1617</v>
      </c>
      <c r="K187" s="797">
        <v>300000</v>
      </c>
      <c r="L187" s="798">
        <f t="shared" si="27"/>
        <v>2100000</v>
      </c>
      <c r="M187" s="799"/>
      <c r="N187" s="799"/>
      <c r="O187" s="799"/>
      <c r="P187" s="799"/>
      <c r="Q187" s="799"/>
      <c r="R187" s="799"/>
      <c r="S187" s="799">
        <f t="shared" si="28"/>
        <v>7</v>
      </c>
      <c r="T187" s="799" t="str">
        <f t="shared" si="29"/>
        <v>titik</v>
      </c>
      <c r="U187" s="799">
        <f t="shared" si="29"/>
        <v>300000</v>
      </c>
      <c r="V187" s="799">
        <f t="shared" si="30"/>
        <v>2100000</v>
      </c>
      <c r="X187" s="790"/>
    </row>
    <row r="188" spans="4:24" ht="15" customHeight="1">
      <c r="E188" s="792">
        <v>15</v>
      </c>
      <c r="F188" s="793" t="s">
        <v>2221</v>
      </c>
      <c r="G188" s="811"/>
      <c r="H188" s="812"/>
      <c r="I188" s="796"/>
      <c r="J188" s="792"/>
      <c r="K188" s="797"/>
      <c r="L188" s="798"/>
      <c r="M188" s="799">
        <v>48</v>
      </c>
      <c r="N188" s="799">
        <v>146475</v>
      </c>
      <c r="O188" s="798">
        <f>IF(M188="","",M188*N188)</f>
        <v>7030800</v>
      </c>
      <c r="P188" s="799"/>
      <c r="Q188" s="799"/>
      <c r="R188" s="799"/>
      <c r="S188" s="799">
        <f t="shared" si="28"/>
        <v>48</v>
      </c>
      <c r="T188" s="799" t="s">
        <v>1617</v>
      </c>
      <c r="U188" s="799">
        <f>N188</f>
        <v>146475</v>
      </c>
      <c r="V188" s="799">
        <f t="shared" si="30"/>
        <v>7030800</v>
      </c>
      <c r="X188" s="790"/>
    </row>
    <row r="189" spans="4:24" ht="15" customHeight="1">
      <c r="E189" s="792"/>
      <c r="F189" s="793"/>
      <c r="G189" s="811"/>
      <c r="H189" s="812"/>
      <c r="I189" s="796"/>
      <c r="J189" s="792"/>
      <c r="K189" s="797"/>
      <c r="L189" s="798"/>
      <c r="M189" s="799"/>
      <c r="N189" s="799"/>
      <c r="O189" s="799"/>
      <c r="P189" s="799"/>
      <c r="Q189" s="799"/>
      <c r="R189" s="799"/>
      <c r="S189" s="799"/>
      <c r="T189" s="799"/>
      <c r="U189" s="799"/>
      <c r="V189" s="799"/>
      <c r="X189" s="790"/>
    </row>
    <row r="190" spans="4:24" ht="15" customHeight="1">
      <c r="D190" s="780" t="s">
        <v>2099</v>
      </c>
      <c r="E190" s="781" t="s">
        <v>133</v>
      </c>
      <c r="F190" s="804" t="s">
        <v>2222</v>
      </c>
      <c r="G190" s="816"/>
      <c r="H190" s="817"/>
      <c r="I190" s="818" t="s">
        <v>2111</v>
      </c>
      <c r="J190" s="781" t="s">
        <v>2111</v>
      </c>
      <c r="K190" s="822"/>
      <c r="L190" s="788">
        <f>SUM(L191:L211)</f>
        <v>74037344.472314239</v>
      </c>
      <c r="M190" s="789"/>
      <c r="N190" s="789"/>
      <c r="O190" s="788">
        <f>SUM(O191:O211)</f>
        <v>3462829.5701330053</v>
      </c>
      <c r="P190" s="789"/>
      <c r="Q190" s="789"/>
      <c r="R190" s="788">
        <f>SUM(R191:R211)</f>
        <v>8148352.6017821208</v>
      </c>
      <c r="S190" s="789"/>
      <c r="T190" s="789"/>
      <c r="U190" s="789"/>
      <c r="V190" s="788">
        <f>SUM(V191:V211)</f>
        <v>69351821.440665126</v>
      </c>
    </row>
    <row r="191" spans="4:24" ht="15" customHeight="1">
      <c r="E191" s="792"/>
      <c r="F191" s="810" t="s">
        <v>2223</v>
      </c>
      <c r="G191" s="811"/>
      <c r="H191" s="812"/>
      <c r="I191" s="796" t="s">
        <v>2111</v>
      </c>
      <c r="J191" s="792" t="s">
        <v>2111</v>
      </c>
      <c r="K191" s="801"/>
      <c r="L191" s="798"/>
      <c r="M191" s="799"/>
      <c r="N191" s="799"/>
      <c r="O191" s="799"/>
      <c r="P191" s="799"/>
      <c r="Q191" s="799"/>
      <c r="R191" s="799"/>
      <c r="S191" s="799"/>
      <c r="T191" s="799"/>
      <c r="U191" s="799"/>
      <c r="V191" s="799"/>
    </row>
    <row r="192" spans="4:24" ht="15" customHeight="1">
      <c r="E192" s="792">
        <v>1</v>
      </c>
      <c r="F192" s="793" t="s">
        <v>2224</v>
      </c>
      <c r="G192" s="811"/>
      <c r="H192" s="812"/>
      <c r="I192" s="796">
        <v>9</v>
      </c>
      <c r="J192" s="792" t="s">
        <v>36</v>
      </c>
      <c r="K192" s="800">
        <v>16301.25</v>
      </c>
      <c r="L192" s="798">
        <f t="shared" ref="L192:L210" si="31">IF(I192="","",I192*K192)</f>
        <v>146711.25</v>
      </c>
      <c r="M192" s="799"/>
      <c r="N192" s="799"/>
      <c r="O192" s="799"/>
      <c r="P192" s="799"/>
      <c r="Q192" s="799"/>
      <c r="R192" s="799"/>
      <c r="S192" s="799">
        <f t="shared" ref="S192:S210" si="32">IF(AND(M192="",P192=""),I192,I192+M192-P192)</f>
        <v>9</v>
      </c>
      <c r="T192" s="799" t="str">
        <f t="shared" ref="T192:U210" si="33">J192</f>
        <v>bh</v>
      </c>
      <c r="U192" s="799">
        <f t="shared" si="33"/>
        <v>16301.25</v>
      </c>
      <c r="V192" s="799">
        <f t="shared" ref="V192:V210" si="34">S192*U192</f>
        <v>146711.25</v>
      </c>
    </row>
    <row r="193" spans="5:22" ht="15" customHeight="1">
      <c r="E193" s="792">
        <f>1+E192</f>
        <v>2</v>
      </c>
      <c r="F193" s="793" t="s">
        <v>2225</v>
      </c>
      <c r="G193" s="811"/>
      <c r="H193" s="812"/>
      <c r="I193" s="796">
        <v>4</v>
      </c>
      <c r="J193" s="792" t="s">
        <v>36</v>
      </c>
      <c r="K193" s="800">
        <v>399551.25</v>
      </c>
      <c r="L193" s="798">
        <f t="shared" si="31"/>
        <v>1598205</v>
      </c>
      <c r="M193" s="799"/>
      <c r="N193" s="799"/>
      <c r="O193" s="799"/>
      <c r="P193" s="799">
        <v>2</v>
      </c>
      <c r="Q193" s="799">
        <f>K193</f>
        <v>399551.25</v>
      </c>
      <c r="R193" s="798">
        <f>IF(P193="","",P193*Q193)</f>
        <v>799102.5</v>
      </c>
      <c r="S193" s="799">
        <f t="shared" si="32"/>
        <v>2</v>
      </c>
      <c r="T193" s="799" t="str">
        <f t="shared" si="33"/>
        <v>bh</v>
      </c>
      <c r="U193" s="799">
        <f t="shared" si="33"/>
        <v>399551.25</v>
      </c>
      <c r="V193" s="799">
        <f t="shared" si="34"/>
        <v>799102.5</v>
      </c>
    </row>
    <row r="194" spans="5:22" ht="15" customHeight="1">
      <c r="E194" s="792">
        <f t="shared" ref="E194:E210" si="35">1+E193</f>
        <v>3</v>
      </c>
      <c r="F194" s="793" t="s">
        <v>2226</v>
      </c>
      <c r="G194" s="811"/>
      <c r="H194" s="812"/>
      <c r="I194" s="796">
        <v>8</v>
      </c>
      <c r="J194" s="792" t="s">
        <v>36</v>
      </c>
      <c r="K194" s="797">
        <v>478800</v>
      </c>
      <c r="L194" s="798">
        <f t="shared" si="31"/>
        <v>3830400</v>
      </c>
      <c r="M194" s="799"/>
      <c r="N194" s="799"/>
      <c r="O194" s="799"/>
      <c r="P194" s="799"/>
      <c r="Q194" s="799"/>
      <c r="R194" s="799"/>
      <c r="S194" s="799">
        <f t="shared" si="32"/>
        <v>8</v>
      </c>
      <c r="T194" s="799" t="str">
        <f t="shared" si="33"/>
        <v>bh</v>
      </c>
      <c r="U194" s="799">
        <f t="shared" si="33"/>
        <v>478800</v>
      </c>
      <c r="V194" s="799">
        <f t="shared" si="34"/>
        <v>3830400</v>
      </c>
    </row>
    <row r="195" spans="5:22" ht="15" customHeight="1">
      <c r="E195" s="792">
        <f t="shared" si="35"/>
        <v>4</v>
      </c>
      <c r="F195" s="793" t="s">
        <v>2227</v>
      </c>
      <c r="G195" s="811"/>
      <c r="H195" s="812"/>
      <c r="I195" s="796">
        <v>1</v>
      </c>
      <c r="J195" s="792" t="s">
        <v>36</v>
      </c>
      <c r="K195" s="797">
        <v>346899</v>
      </c>
      <c r="L195" s="798">
        <f t="shared" si="31"/>
        <v>346899</v>
      </c>
      <c r="M195" s="799"/>
      <c r="N195" s="799"/>
      <c r="O195" s="799"/>
      <c r="P195" s="799"/>
      <c r="Q195" s="799"/>
      <c r="R195" s="799"/>
      <c r="S195" s="799">
        <f t="shared" si="32"/>
        <v>1</v>
      </c>
      <c r="T195" s="799" t="str">
        <f t="shared" si="33"/>
        <v>bh</v>
      </c>
      <c r="U195" s="799">
        <f t="shared" si="33"/>
        <v>346899</v>
      </c>
      <c r="V195" s="799">
        <f t="shared" si="34"/>
        <v>346899</v>
      </c>
    </row>
    <row r="196" spans="5:22" ht="15" customHeight="1">
      <c r="E196" s="792">
        <f t="shared" si="35"/>
        <v>5</v>
      </c>
      <c r="F196" s="793" t="s">
        <v>2228</v>
      </c>
      <c r="G196" s="811"/>
      <c r="H196" s="812"/>
      <c r="I196" s="796">
        <v>12</v>
      </c>
      <c r="J196" s="792" t="s">
        <v>36</v>
      </c>
      <c r="K196" s="797">
        <v>60598.125</v>
      </c>
      <c r="L196" s="798">
        <f t="shared" si="31"/>
        <v>727177.5</v>
      </c>
      <c r="M196" s="799"/>
      <c r="N196" s="799"/>
      <c r="O196" s="799"/>
      <c r="P196" s="799"/>
      <c r="Q196" s="799"/>
      <c r="R196" s="799"/>
      <c r="S196" s="799">
        <f t="shared" si="32"/>
        <v>12</v>
      </c>
      <c r="T196" s="799" t="str">
        <f t="shared" si="33"/>
        <v>bh</v>
      </c>
      <c r="U196" s="799">
        <f t="shared" si="33"/>
        <v>60598.125</v>
      </c>
      <c r="V196" s="799">
        <f t="shared" si="34"/>
        <v>727177.5</v>
      </c>
    </row>
    <row r="197" spans="5:22" ht="15" customHeight="1">
      <c r="E197" s="792">
        <f t="shared" si="35"/>
        <v>6</v>
      </c>
      <c r="F197" s="793" t="s">
        <v>2229</v>
      </c>
      <c r="G197" s="811"/>
      <c r="H197" s="812"/>
      <c r="I197" s="796">
        <v>8</v>
      </c>
      <c r="J197" s="792" t="s">
        <v>36</v>
      </c>
      <c r="K197" s="797">
        <v>346111.5</v>
      </c>
      <c r="L197" s="798">
        <f t="shared" si="31"/>
        <v>2768892</v>
      </c>
      <c r="M197" s="799"/>
      <c r="N197" s="799"/>
      <c r="O197" s="799"/>
      <c r="P197" s="799"/>
      <c r="Q197" s="799"/>
      <c r="R197" s="799"/>
      <c r="S197" s="799">
        <f t="shared" si="32"/>
        <v>8</v>
      </c>
      <c r="T197" s="799" t="str">
        <f t="shared" si="33"/>
        <v>bh</v>
      </c>
      <c r="U197" s="799">
        <f t="shared" si="33"/>
        <v>346111.5</v>
      </c>
      <c r="V197" s="799">
        <f t="shared" si="34"/>
        <v>2768892</v>
      </c>
    </row>
    <row r="198" spans="5:22" ht="15" customHeight="1">
      <c r="E198" s="792">
        <f t="shared" si="35"/>
        <v>7</v>
      </c>
      <c r="F198" s="793" t="s">
        <v>2230</v>
      </c>
      <c r="G198" s="811"/>
      <c r="H198" s="812"/>
      <c r="I198" s="796">
        <v>2</v>
      </c>
      <c r="J198" s="792" t="s">
        <v>2198</v>
      </c>
      <c r="K198" s="797">
        <v>4536420.5316491155</v>
      </c>
      <c r="L198" s="798">
        <f t="shared" si="31"/>
        <v>9072841.063298231</v>
      </c>
      <c r="M198" s="799"/>
      <c r="N198" s="799"/>
      <c r="O198" s="799"/>
      <c r="P198" s="799">
        <v>1</v>
      </c>
      <c r="Q198" s="799">
        <f>K198</f>
        <v>4536420.5316491155</v>
      </c>
      <c r="R198" s="798">
        <f>IF(P198="","",P198*Q198)</f>
        <v>4536420.5316491155</v>
      </c>
      <c r="S198" s="799">
        <f t="shared" si="32"/>
        <v>1</v>
      </c>
      <c r="T198" s="799" t="str">
        <f t="shared" si="33"/>
        <v>unit</v>
      </c>
      <c r="U198" s="799">
        <f t="shared" si="33"/>
        <v>4536420.5316491155</v>
      </c>
      <c r="V198" s="799">
        <f t="shared" si="34"/>
        <v>4536420.5316491155</v>
      </c>
    </row>
    <row r="199" spans="5:22" ht="15" customHeight="1">
      <c r="E199" s="792">
        <f t="shared" si="35"/>
        <v>8</v>
      </c>
      <c r="F199" s="793" t="s">
        <v>2231</v>
      </c>
      <c r="G199" s="811"/>
      <c r="H199" s="812"/>
      <c r="I199" s="796">
        <v>4</v>
      </c>
      <c r="J199" s="792" t="s">
        <v>2198</v>
      </c>
      <c r="K199" s="797">
        <v>1406414.7850665026</v>
      </c>
      <c r="L199" s="798">
        <f t="shared" si="31"/>
        <v>5625659.1402660105</v>
      </c>
      <c r="M199" s="799"/>
      <c r="N199" s="799"/>
      <c r="O199" s="799"/>
      <c r="P199" s="799">
        <v>2</v>
      </c>
      <c r="Q199" s="799">
        <f>K199</f>
        <v>1406414.7850665026</v>
      </c>
      <c r="R199" s="798">
        <f>IF(P199="","",P199*Q199)</f>
        <v>2812829.5701330053</v>
      </c>
      <c r="S199" s="799">
        <f t="shared" si="32"/>
        <v>2</v>
      </c>
      <c r="T199" s="799" t="str">
        <f t="shared" si="33"/>
        <v>unit</v>
      </c>
      <c r="U199" s="799">
        <f t="shared" si="33"/>
        <v>1406414.7850665026</v>
      </c>
      <c r="V199" s="799">
        <f t="shared" si="34"/>
        <v>2812829.5701330053</v>
      </c>
    </row>
    <row r="200" spans="5:22" ht="15" customHeight="1">
      <c r="E200" s="792">
        <f t="shared" si="35"/>
        <v>9</v>
      </c>
      <c r="F200" s="793" t="s">
        <v>2232</v>
      </c>
      <c r="G200" s="811"/>
      <c r="H200" s="812"/>
      <c r="I200" s="796"/>
      <c r="J200" s="792"/>
      <c r="K200" s="797"/>
      <c r="L200" s="798"/>
      <c r="M200" s="799">
        <v>2</v>
      </c>
      <c r="N200" s="797">
        <v>1406414.7850665026</v>
      </c>
      <c r="O200" s="798">
        <f>IF(M200="","",M200*N200)</f>
        <v>2812829.5701330053</v>
      </c>
      <c r="P200" s="799"/>
      <c r="Q200" s="799"/>
      <c r="R200" s="799"/>
      <c r="S200" s="799">
        <f t="shared" si="32"/>
        <v>2</v>
      </c>
      <c r="T200" s="799" t="s">
        <v>2198</v>
      </c>
      <c r="U200" s="799">
        <f>N200</f>
        <v>1406414.7850665026</v>
      </c>
      <c r="V200" s="799">
        <f t="shared" si="34"/>
        <v>2812829.5701330053</v>
      </c>
    </row>
    <row r="201" spans="5:22" ht="15" customHeight="1">
      <c r="E201" s="792">
        <f t="shared" si="35"/>
        <v>10</v>
      </c>
      <c r="F201" s="793" t="s">
        <v>2233</v>
      </c>
      <c r="G201" s="811"/>
      <c r="H201" s="812"/>
      <c r="I201" s="796">
        <v>1</v>
      </c>
      <c r="J201" s="792" t="s">
        <v>2198</v>
      </c>
      <c r="K201" s="797">
        <v>5000000</v>
      </c>
      <c r="L201" s="798">
        <f t="shared" si="31"/>
        <v>5000000</v>
      </c>
      <c r="M201" s="799"/>
      <c r="N201" s="799"/>
      <c r="O201" s="799"/>
      <c r="P201" s="799"/>
      <c r="Q201" s="799"/>
      <c r="R201" s="799"/>
      <c r="S201" s="799">
        <f t="shared" si="32"/>
        <v>1</v>
      </c>
      <c r="T201" s="799" t="str">
        <f t="shared" si="33"/>
        <v>unit</v>
      </c>
      <c r="U201" s="799">
        <f t="shared" si="33"/>
        <v>5000000</v>
      </c>
      <c r="V201" s="799">
        <f t="shared" si="34"/>
        <v>5000000</v>
      </c>
    </row>
    <row r="202" spans="5:22" ht="15" customHeight="1">
      <c r="E202" s="792">
        <f t="shared" si="35"/>
        <v>11</v>
      </c>
      <c r="F202" s="793" t="s">
        <v>2234</v>
      </c>
      <c r="G202" s="811"/>
      <c r="H202" s="812"/>
      <c r="I202" s="796">
        <v>3</v>
      </c>
      <c r="J202" s="792" t="s">
        <v>2198</v>
      </c>
      <c r="K202" s="797">
        <v>250000</v>
      </c>
      <c r="L202" s="798">
        <f t="shared" si="31"/>
        <v>750000</v>
      </c>
      <c r="M202" s="799"/>
      <c r="N202" s="799"/>
      <c r="O202" s="799"/>
      <c r="P202" s="799"/>
      <c r="Q202" s="799"/>
      <c r="R202" s="799"/>
      <c r="S202" s="799">
        <f t="shared" si="32"/>
        <v>3</v>
      </c>
      <c r="T202" s="799" t="str">
        <f t="shared" si="33"/>
        <v>unit</v>
      </c>
      <c r="U202" s="799">
        <f t="shared" si="33"/>
        <v>250000</v>
      </c>
      <c r="V202" s="799">
        <f t="shared" si="34"/>
        <v>750000</v>
      </c>
    </row>
    <row r="203" spans="5:22" ht="15" customHeight="1">
      <c r="E203" s="792">
        <f t="shared" si="35"/>
        <v>12</v>
      </c>
      <c r="F203" s="793" t="s">
        <v>2235</v>
      </c>
      <c r="G203" s="811"/>
      <c r="H203" s="812"/>
      <c r="I203" s="796">
        <v>30.66</v>
      </c>
      <c r="J203" s="792" t="s">
        <v>2110</v>
      </c>
      <c r="K203" s="797">
        <v>23877</v>
      </c>
      <c r="L203" s="798">
        <f t="shared" si="31"/>
        <v>732068.82</v>
      </c>
      <c r="M203" s="799"/>
      <c r="N203" s="799"/>
      <c r="O203" s="799"/>
      <c r="P203" s="799"/>
      <c r="Q203" s="799"/>
      <c r="R203" s="799"/>
      <c r="S203" s="799">
        <f t="shared" si="32"/>
        <v>30.66</v>
      </c>
      <c r="T203" s="799" t="str">
        <f t="shared" si="33"/>
        <v>m'</v>
      </c>
      <c r="U203" s="799">
        <f t="shared" si="33"/>
        <v>23877</v>
      </c>
      <c r="V203" s="799">
        <f t="shared" si="34"/>
        <v>732068.82</v>
      </c>
    </row>
    <row r="204" spans="5:22" ht="15" customHeight="1">
      <c r="E204" s="792">
        <f t="shared" si="35"/>
        <v>13</v>
      </c>
      <c r="F204" s="793" t="s">
        <v>2236</v>
      </c>
      <c r="G204" s="811"/>
      <c r="H204" s="812"/>
      <c r="I204" s="796">
        <v>137.87550000000002</v>
      </c>
      <c r="J204" s="792" t="s">
        <v>2110</v>
      </c>
      <c r="K204" s="797">
        <v>28759.5</v>
      </c>
      <c r="L204" s="798">
        <f t="shared" si="31"/>
        <v>3965230.4422500003</v>
      </c>
      <c r="M204" s="799"/>
      <c r="N204" s="799"/>
      <c r="O204" s="799"/>
      <c r="P204" s="799"/>
      <c r="Q204" s="799"/>
      <c r="R204" s="799"/>
      <c r="S204" s="799">
        <f t="shared" si="32"/>
        <v>137.87550000000002</v>
      </c>
      <c r="T204" s="799" t="str">
        <f t="shared" si="33"/>
        <v>m'</v>
      </c>
      <c r="U204" s="799">
        <f t="shared" si="33"/>
        <v>28759.5</v>
      </c>
      <c r="V204" s="799">
        <f t="shared" si="34"/>
        <v>3965230.4422500003</v>
      </c>
    </row>
    <row r="205" spans="5:22" ht="15" customHeight="1">
      <c r="E205" s="792">
        <f>1+E204</f>
        <v>14</v>
      </c>
      <c r="F205" s="793" t="s">
        <v>2237</v>
      </c>
      <c r="G205" s="811"/>
      <c r="H205" s="812"/>
      <c r="I205" s="796">
        <v>167.25450000000004</v>
      </c>
      <c r="J205" s="792" t="s">
        <v>2110</v>
      </c>
      <c r="K205" s="797">
        <v>84987</v>
      </c>
      <c r="L205" s="798">
        <f t="shared" si="31"/>
        <v>14214458.191500003</v>
      </c>
      <c r="M205" s="799"/>
      <c r="N205" s="799"/>
      <c r="O205" s="799"/>
      <c r="P205" s="799"/>
      <c r="Q205" s="799"/>
      <c r="R205" s="799"/>
      <c r="S205" s="799">
        <f t="shared" si="32"/>
        <v>167.25450000000004</v>
      </c>
      <c r="T205" s="799" t="str">
        <f t="shared" si="33"/>
        <v>m'</v>
      </c>
      <c r="U205" s="799">
        <f t="shared" si="33"/>
        <v>84987</v>
      </c>
      <c r="V205" s="799">
        <f t="shared" si="34"/>
        <v>14214458.191500003</v>
      </c>
    </row>
    <row r="206" spans="5:22" ht="15" customHeight="1">
      <c r="E206" s="792">
        <f t="shared" si="35"/>
        <v>15</v>
      </c>
      <c r="F206" s="793" t="s">
        <v>2238</v>
      </c>
      <c r="G206" s="811"/>
      <c r="H206" s="812"/>
      <c r="I206" s="796">
        <v>101.745</v>
      </c>
      <c r="J206" s="792" t="s">
        <v>2110</v>
      </c>
      <c r="K206" s="797">
        <v>117537</v>
      </c>
      <c r="L206" s="798">
        <f t="shared" si="31"/>
        <v>11958802.065000001</v>
      </c>
      <c r="M206" s="799"/>
      <c r="N206" s="799"/>
      <c r="O206" s="799"/>
      <c r="P206" s="799"/>
      <c r="Q206" s="799"/>
      <c r="R206" s="799"/>
      <c r="S206" s="799">
        <f t="shared" si="32"/>
        <v>101.745</v>
      </c>
      <c r="T206" s="799" t="str">
        <f t="shared" si="33"/>
        <v>m'</v>
      </c>
      <c r="U206" s="799">
        <f t="shared" si="33"/>
        <v>117537</v>
      </c>
      <c r="V206" s="799">
        <f t="shared" si="34"/>
        <v>11958802.065000001</v>
      </c>
    </row>
    <row r="207" spans="5:22" ht="15" customHeight="1">
      <c r="E207" s="792">
        <f t="shared" si="35"/>
        <v>16</v>
      </c>
      <c r="F207" s="793" t="s">
        <v>2239</v>
      </c>
      <c r="G207" s="811"/>
      <c r="H207" s="812"/>
      <c r="I207" s="796">
        <v>1</v>
      </c>
      <c r="J207" s="792" t="s">
        <v>2198</v>
      </c>
      <c r="K207" s="797">
        <v>4000000</v>
      </c>
      <c r="L207" s="798">
        <f t="shared" si="31"/>
        <v>4000000</v>
      </c>
      <c r="M207" s="799"/>
      <c r="N207" s="799"/>
      <c r="O207" s="799"/>
      <c r="P207" s="799"/>
      <c r="Q207" s="799"/>
      <c r="R207" s="799"/>
      <c r="S207" s="799">
        <f t="shared" si="32"/>
        <v>1</v>
      </c>
      <c r="T207" s="799" t="str">
        <f t="shared" si="33"/>
        <v>unit</v>
      </c>
      <c r="U207" s="799">
        <f t="shared" si="33"/>
        <v>4000000</v>
      </c>
      <c r="V207" s="799">
        <f t="shared" si="34"/>
        <v>4000000</v>
      </c>
    </row>
    <row r="208" spans="5:22" ht="15" customHeight="1">
      <c r="E208" s="792">
        <f t="shared" si="35"/>
        <v>17</v>
      </c>
      <c r="F208" s="793" t="s">
        <v>2240</v>
      </c>
      <c r="G208" s="811"/>
      <c r="H208" s="812"/>
      <c r="I208" s="796">
        <v>1</v>
      </c>
      <c r="J208" s="792" t="s">
        <v>2198</v>
      </c>
      <c r="K208" s="797">
        <v>4500000</v>
      </c>
      <c r="L208" s="798">
        <f t="shared" si="31"/>
        <v>4500000</v>
      </c>
      <c r="M208" s="799"/>
      <c r="N208" s="799"/>
      <c r="O208" s="799"/>
      <c r="P208" s="799"/>
      <c r="Q208" s="799"/>
      <c r="R208" s="799"/>
      <c r="S208" s="799">
        <f t="shared" si="32"/>
        <v>1</v>
      </c>
      <c r="T208" s="799" t="str">
        <f t="shared" si="33"/>
        <v>unit</v>
      </c>
      <c r="U208" s="799">
        <f t="shared" si="33"/>
        <v>4500000</v>
      </c>
      <c r="V208" s="799">
        <f t="shared" si="34"/>
        <v>4500000</v>
      </c>
    </row>
    <row r="209" spans="4:22" ht="15" customHeight="1">
      <c r="E209" s="792">
        <f t="shared" si="35"/>
        <v>18</v>
      </c>
      <c r="F209" s="793" t="s">
        <v>2241</v>
      </c>
      <c r="G209" s="811"/>
      <c r="H209" s="812"/>
      <c r="I209" s="796"/>
      <c r="J209" s="792"/>
      <c r="K209" s="797"/>
      <c r="L209" s="798"/>
      <c r="M209" s="799">
        <v>1</v>
      </c>
      <c r="N209" s="799">
        <v>650000</v>
      </c>
      <c r="O209" s="798">
        <f>IF(M209="","",M209*N209)</f>
        <v>650000</v>
      </c>
      <c r="P209" s="799"/>
      <c r="Q209" s="799"/>
      <c r="R209" s="799"/>
      <c r="S209" s="799">
        <f t="shared" si="32"/>
        <v>1</v>
      </c>
      <c r="T209" s="799" t="s">
        <v>2104</v>
      </c>
      <c r="U209" s="799">
        <f>N209</f>
        <v>650000</v>
      </c>
      <c r="V209" s="799">
        <f t="shared" si="34"/>
        <v>650000</v>
      </c>
    </row>
    <row r="210" spans="4:22" ht="15" customHeight="1">
      <c r="E210" s="792">
        <f t="shared" si="35"/>
        <v>19</v>
      </c>
      <c r="F210" s="793" t="s">
        <v>2242</v>
      </c>
      <c r="G210" s="811"/>
      <c r="H210" s="812"/>
      <c r="I210" s="796">
        <v>8</v>
      </c>
      <c r="J210" s="792" t="s">
        <v>2198</v>
      </c>
      <c r="K210" s="800">
        <v>600000</v>
      </c>
      <c r="L210" s="798">
        <f t="shared" si="31"/>
        <v>4800000</v>
      </c>
      <c r="M210" s="799"/>
      <c r="N210" s="799"/>
      <c r="O210" s="799"/>
      <c r="P210" s="799"/>
      <c r="Q210" s="799"/>
      <c r="R210" s="799"/>
      <c r="S210" s="799">
        <f t="shared" si="32"/>
        <v>8</v>
      </c>
      <c r="T210" s="799" t="str">
        <f t="shared" si="33"/>
        <v>unit</v>
      </c>
      <c r="U210" s="799">
        <f t="shared" si="33"/>
        <v>600000</v>
      </c>
      <c r="V210" s="799">
        <f t="shared" si="34"/>
        <v>4800000</v>
      </c>
    </row>
    <row r="211" spans="4:22" ht="15" customHeight="1">
      <c r="E211" s="792"/>
      <c r="F211" s="793"/>
      <c r="G211" s="811"/>
      <c r="H211" s="812"/>
      <c r="I211" s="796" t="s">
        <v>2111</v>
      </c>
      <c r="J211" s="792"/>
      <c r="K211" s="800"/>
      <c r="L211" s="802"/>
      <c r="M211" s="803"/>
      <c r="N211" s="803"/>
      <c r="O211" s="803"/>
      <c r="P211" s="803"/>
      <c r="Q211" s="803"/>
      <c r="R211" s="803"/>
      <c r="S211" s="803"/>
      <c r="T211" s="803"/>
      <c r="U211" s="803"/>
      <c r="V211" s="803"/>
    </row>
    <row r="212" spans="4:22" ht="15" customHeight="1">
      <c r="D212" s="780" t="s">
        <v>2099</v>
      </c>
      <c r="E212" s="781" t="s">
        <v>2243</v>
      </c>
      <c r="F212" s="804" t="s">
        <v>2244</v>
      </c>
      <c r="G212" s="816"/>
      <c r="H212" s="817"/>
      <c r="I212" s="818" t="s">
        <v>2111</v>
      </c>
      <c r="J212" s="781" t="s">
        <v>2111</v>
      </c>
      <c r="K212" s="823"/>
      <c r="L212" s="788">
        <f>SUM(L213:L228)</f>
        <v>79964661.079999998</v>
      </c>
      <c r="M212" s="789"/>
      <c r="N212" s="789"/>
      <c r="O212" s="788">
        <f>SUM(O213:O228)</f>
        <v>25596509.850000001</v>
      </c>
      <c r="P212" s="789"/>
      <c r="Q212" s="789"/>
      <c r="R212" s="788">
        <f>SUM(R213:R228)</f>
        <v>10496759.629999999</v>
      </c>
      <c r="S212" s="789"/>
      <c r="T212" s="789"/>
      <c r="U212" s="789"/>
      <c r="V212" s="788">
        <f>SUM(V213:V228)</f>
        <v>95064411.299999997</v>
      </c>
    </row>
    <row r="213" spans="4:22" ht="15" customHeight="1">
      <c r="E213" s="792">
        <v>1</v>
      </c>
      <c r="F213" s="793" t="s">
        <v>2245</v>
      </c>
      <c r="G213" s="811"/>
      <c r="H213" s="812"/>
      <c r="I213" s="796">
        <v>79.12</v>
      </c>
      <c r="J213" s="792" t="s">
        <v>2102</v>
      </c>
      <c r="K213" s="824">
        <v>208175.625</v>
      </c>
      <c r="L213" s="798">
        <f t="shared" ref="L213:L220" si="36">IF(I213="","",I213*K213)</f>
        <v>16470855.450000001</v>
      </c>
      <c r="M213" s="799">
        <f>12.72+6.24</f>
        <v>18.96</v>
      </c>
      <c r="N213" s="799">
        <v>208175.625</v>
      </c>
      <c r="O213" s="798">
        <f>IF(M213="","",M213*N213)</f>
        <v>3947009.85</v>
      </c>
      <c r="P213" s="799"/>
      <c r="Q213" s="799"/>
      <c r="R213" s="799"/>
      <c r="S213" s="799">
        <f t="shared" ref="S213:S227" si="37">IF(AND(M213="",P213=""),I213,I213+M213-P213)</f>
        <v>98.080000000000013</v>
      </c>
      <c r="T213" s="799" t="str">
        <f t="shared" ref="T213:U220" si="38">J213</f>
        <v>m²</v>
      </c>
      <c r="U213" s="799">
        <f t="shared" si="38"/>
        <v>208175.625</v>
      </c>
      <c r="V213" s="799">
        <f t="shared" ref="V213:V227" si="39">S213*U213</f>
        <v>20417865.300000001</v>
      </c>
    </row>
    <row r="214" spans="4:22" ht="15" customHeight="1">
      <c r="E214" s="792">
        <f>E213+1</f>
        <v>2</v>
      </c>
      <c r="F214" s="793" t="s">
        <v>2246</v>
      </c>
      <c r="G214" s="811"/>
      <c r="H214" s="812"/>
      <c r="I214" s="796">
        <v>12.72</v>
      </c>
      <c r="J214" s="792" t="s">
        <v>2102</v>
      </c>
      <c r="K214" s="800">
        <v>283019.625</v>
      </c>
      <c r="L214" s="798">
        <f t="shared" si="36"/>
        <v>3600009.6300000004</v>
      </c>
      <c r="M214" s="799"/>
      <c r="N214" s="799"/>
      <c r="O214" s="799"/>
      <c r="P214" s="799">
        <f>I214</f>
        <v>12.72</v>
      </c>
      <c r="Q214" s="799">
        <f>K214</f>
        <v>283019.625</v>
      </c>
      <c r="R214" s="798">
        <f>IF(P214="","",P214*Q214)</f>
        <v>3600009.6300000004</v>
      </c>
      <c r="S214" s="799">
        <f t="shared" si="37"/>
        <v>0</v>
      </c>
      <c r="T214" s="799" t="str">
        <f t="shared" si="38"/>
        <v>m²</v>
      </c>
      <c r="U214" s="799">
        <f t="shared" si="38"/>
        <v>283019.625</v>
      </c>
      <c r="V214" s="799">
        <f t="shared" si="39"/>
        <v>0</v>
      </c>
    </row>
    <row r="215" spans="4:22" ht="15" customHeight="1">
      <c r="E215" s="792">
        <f t="shared" ref="E215:E224" si="40">E214+1</f>
        <v>3</v>
      </c>
      <c r="F215" s="793" t="s">
        <v>2247</v>
      </c>
      <c r="G215" s="811"/>
      <c r="H215" s="812"/>
      <c r="I215" s="796">
        <v>1.0631999999999999</v>
      </c>
      <c r="J215" s="792" t="s">
        <v>2114</v>
      </c>
      <c r="K215" s="797">
        <v>417500</v>
      </c>
      <c r="L215" s="798">
        <f t="shared" si="36"/>
        <v>443885.99999999994</v>
      </c>
      <c r="M215" s="799"/>
      <c r="N215" s="799"/>
      <c r="O215" s="799"/>
      <c r="P215" s="799"/>
      <c r="Q215" s="799"/>
      <c r="R215" s="799"/>
      <c r="S215" s="799">
        <f t="shared" si="37"/>
        <v>1.0631999999999999</v>
      </c>
      <c r="T215" s="799" t="str">
        <f t="shared" si="38"/>
        <v>m³</v>
      </c>
      <c r="U215" s="799">
        <f t="shared" si="38"/>
        <v>417500</v>
      </c>
      <c r="V215" s="799">
        <f t="shared" si="39"/>
        <v>443885.99999999994</v>
      </c>
    </row>
    <row r="216" spans="4:22" ht="15" customHeight="1">
      <c r="E216" s="792">
        <f t="shared" si="40"/>
        <v>4</v>
      </c>
      <c r="F216" s="793" t="s">
        <v>2248</v>
      </c>
      <c r="G216" s="811"/>
      <c r="H216" s="812"/>
      <c r="I216" s="796">
        <v>28.315200000000001</v>
      </c>
      <c r="J216" s="792" t="s">
        <v>2102</v>
      </c>
      <c r="K216" s="797">
        <v>800000</v>
      </c>
      <c r="L216" s="798">
        <f t="shared" si="36"/>
        <v>22652160</v>
      </c>
      <c r="M216" s="799"/>
      <c r="N216" s="799"/>
      <c r="O216" s="799"/>
      <c r="P216" s="799"/>
      <c r="Q216" s="799"/>
      <c r="R216" s="799"/>
      <c r="S216" s="799">
        <f t="shared" si="37"/>
        <v>28.315200000000001</v>
      </c>
      <c r="T216" s="799" t="str">
        <f t="shared" si="38"/>
        <v>m²</v>
      </c>
      <c r="U216" s="799">
        <f t="shared" si="38"/>
        <v>800000</v>
      </c>
      <c r="V216" s="799">
        <f t="shared" si="39"/>
        <v>22652160</v>
      </c>
    </row>
    <row r="217" spans="4:22" ht="15" customHeight="1">
      <c r="E217" s="792">
        <f t="shared" si="40"/>
        <v>5</v>
      </c>
      <c r="F217" s="793" t="s">
        <v>2249</v>
      </c>
      <c r="G217" s="811"/>
      <c r="H217" s="812"/>
      <c r="I217" s="796">
        <v>13.200000000000001</v>
      </c>
      <c r="J217" s="792" t="s">
        <v>2102</v>
      </c>
      <c r="K217" s="797">
        <v>500000</v>
      </c>
      <c r="L217" s="798">
        <f t="shared" si="36"/>
        <v>6600000.0000000009</v>
      </c>
      <c r="M217" s="799"/>
      <c r="N217" s="799"/>
      <c r="O217" s="799"/>
      <c r="P217" s="799"/>
      <c r="Q217" s="799"/>
      <c r="R217" s="799"/>
      <c r="S217" s="799">
        <f t="shared" si="37"/>
        <v>13.200000000000001</v>
      </c>
      <c r="T217" s="799" t="str">
        <f t="shared" si="38"/>
        <v>m²</v>
      </c>
      <c r="U217" s="799">
        <f t="shared" si="38"/>
        <v>500000</v>
      </c>
      <c r="V217" s="799">
        <f t="shared" si="39"/>
        <v>6600000.0000000009</v>
      </c>
    </row>
    <row r="218" spans="4:22" ht="15" customHeight="1">
      <c r="E218" s="792">
        <f t="shared" si="40"/>
        <v>6</v>
      </c>
      <c r="F218" s="793" t="s">
        <v>2250</v>
      </c>
      <c r="G218" s="811"/>
      <c r="H218" s="812"/>
      <c r="I218" s="796">
        <v>25.060000000000002</v>
      </c>
      <c r="J218" s="792" t="s">
        <v>2102</v>
      </c>
      <c r="K218" s="797">
        <v>850000</v>
      </c>
      <c r="L218" s="798">
        <f t="shared" si="36"/>
        <v>21301000.000000004</v>
      </c>
      <c r="M218" s="799"/>
      <c r="N218" s="799"/>
      <c r="O218" s="799"/>
      <c r="P218" s="799"/>
      <c r="Q218" s="799"/>
      <c r="R218" s="799"/>
      <c r="S218" s="799">
        <f t="shared" si="37"/>
        <v>25.060000000000002</v>
      </c>
      <c r="T218" s="799" t="str">
        <f t="shared" si="38"/>
        <v>m²</v>
      </c>
      <c r="U218" s="799">
        <f t="shared" si="38"/>
        <v>850000</v>
      </c>
      <c r="V218" s="799">
        <f t="shared" si="39"/>
        <v>21301000.000000004</v>
      </c>
    </row>
    <row r="219" spans="4:22" ht="15" customHeight="1">
      <c r="E219" s="792">
        <f t="shared" si="40"/>
        <v>7</v>
      </c>
      <c r="F219" s="793" t="s">
        <v>2251</v>
      </c>
      <c r="G219" s="811"/>
      <c r="H219" s="812"/>
      <c r="I219" s="796">
        <v>19.704999999999998</v>
      </c>
      <c r="J219" s="792" t="s">
        <v>2102</v>
      </c>
      <c r="K219" s="797">
        <v>350000</v>
      </c>
      <c r="L219" s="798">
        <f t="shared" si="36"/>
        <v>6896749.9999999991</v>
      </c>
      <c r="M219" s="799"/>
      <c r="N219" s="799"/>
      <c r="O219" s="799"/>
      <c r="P219" s="799">
        <v>19.704999999999998</v>
      </c>
      <c r="Q219" s="799">
        <v>350000</v>
      </c>
      <c r="R219" s="798">
        <f>IF(P219="","",P219*Q219)</f>
        <v>6896749.9999999991</v>
      </c>
      <c r="S219" s="799">
        <f t="shared" si="37"/>
        <v>0</v>
      </c>
      <c r="T219" s="799" t="str">
        <f t="shared" si="38"/>
        <v>m²</v>
      </c>
      <c r="U219" s="799">
        <f t="shared" si="38"/>
        <v>350000</v>
      </c>
      <c r="V219" s="799">
        <f t="shared" si="39"/>
        <v>0</v>
      </c>
    </row>
    <row r="220" spans="4:22" ht="15" customHeight="1">
      <c r="E220" s="792">
        <f t="shared" si="40"/>
        <v>8</v>
      </c>
      <c r="F220" s="793" t="s">
        <v>2252</v>
      </c>
      <c r="G220" s="825"/>
      <c r="H220" s="826"/>
      <c r="I220" s="796">
        <v>1</v>
      </c>
      <c r="J220" s="792" t="s">
        <v>2104</v>
      </c>
      <c r="K220" s="797">
        <v>2000000</v>
      </c>
      <c r="L220" s="798">
        <f t="shared" si="36"/>
        <v>2000000</v>
      </c>
      <c r="M220" s="799"/>
      <c r="N220" s="799"/>
      <c r="O220" s="799"/>
      <c r="P220" s="799"/>
      <c r="Q220" s="799"/>
      <c r="R220" s="799"/>
      <c r="S220" s="799">
        <f t="shared" si="37"/>
        <v>1</v>
      </c>
      <c r="T220" s="799" t="str">
        <f t="shared" si="38"/>
        <v>ls</v>
      </c>
      <c r="U220" s="799">
        <f t="shared" si="38"/>
        <v>2000000</v>
      </c>
      <c r="V220" s="799">
        <f t="shared" si="39"/>
        <v>2000000</v>
      </c>
    </row>
    <row r="221" spans="4:22" ht="15" customHeight="1">
      <c r="E221" s="792">
        <f t="shared" si="40"/>
        <v>9</v>
      </c>
      <c r="F221" s="793" t="s">
        <v>2253</v>
      </c>
      <c r="G221" s="811"/>
      <c r="H221" s="812"/>
      <c r="I221" s="796"/>
      <c r="J221" s="792"/>
      <c r="K221" s="797"/>
      <c r="L221" s="798"/>
      <c r="M221" s="799">
        <v>1</v>
      </c>
      <c r="N221" s="799">
        <v>2300000</v>
      </c>
      <c r="O221" s="798">
        <f t="shared" ref="O221:O227" si="41">IF(M221="","",M221*N221)</f>
        <v>2300000</v>
      </c>
      <c r="P221" s="799"/>
      <c r="Q221" s="799"/>
      <c r="R221" s="799"/>
      <c r="S221" s="799">
        <f t="shared" si="37"/>
        <v>1</v>
      </c>
      <c r="T221" s="799" t="s">
        <v>2104</v>
      </c>
      <c r="U221" s="799">
        <f t="shared" ref="U221:U227" si="42">N221</f>
        <v>2300000</v>
      </c>
      <c r="V221" s="799">
        <f t="shared" si="39"/>
        <v>2300000</v>
      </c>
    </row>
    <row r="222" spans="4:22" ht="15" customHeight="1">
      <c r="E222" s="792">
        <f t="shared" si="40"/>
        <v>10</v>
      </c>
      <c r="F222" s="793" t="s">
        <v>2254</v>
      </c>
      <c r="G222" s="811"/>
      <c r="H222" s="812"/>
      <c r="I222" s="796"/>
      <c r="J222" s="792"/>
      <c r="K222" s="797"/>
      <c r="L222" s="798"/>
      <c r="M222" s="799">
        <v>1</v>
      </c>
      <c r="N222" s="799">
        <v>3700000</v>
      </c>
      <c r="O222" s="798">
        <f t="shared" si="41"/>
        <v>3700000</v>
      </c>
      <c r="P222" s="799"/>
      <c r="Q222" s="799"/>
      <c r="R222" s="799"/>
      <c r="S222" s="799">
        <f t="shared" si="37"/>
        <v>1</v>
      </c>
      <c r="T222" s="799" t="s">
        <v>2104</v>
      </c>
      <c r="U222" s="799">
        <f t="shared" si="42"/>
        <v>3700000</v>
      </c>
      <c r="V222" s="799">
        <f t="shared" si="39"/>
        <v>3700000</v>
      </c>
    </row>
    <row r="223" spans="4:22" ht="15" customHeight="1">
      <c r="E223" s="792">
        <f t="shared" si="40"/>
        <v>11</v>
      </c>
      <c r="F223" s="793" t="s">
        <v>2255</v>
      </c>
      <c r="G223" s="811"/>
      <c r="H223" s="812"/>
      <c r="I223" s="796"/>
      <c r="J223" s="792"/>
      <c r="K223" s="797"/>
      <c r="L223" s="798"/>
      <c r="M223" s="799">
        <v>1</v>
      </c>
      <c r="N223" s="799">
        <v>6744400</v>
      </c>
      <c r="O223" s="798">
        <f t="shared" si="41"/>
        <v>6744400</v>
      </c>
      <c r="P223" s="799"/>
      <c r="Q223" s="799"/>
      <c r="R223" s="799"/>
      <c r="S223" s="799">
        <f t="shared" si="37"/>
        <v>1</v>
      </c>
      <c r="T223" s="799" t="s">
        <v>2104</v>
      </c>
      <c r="U223" s="799">
        <f t="shared" si="42"/>
        <v>6744400</v>
      </c>
      <c r="V223" s="799">
        <f t="shared" si="39"/>
        <v>6744400</v>
      </c>
    </row>
    <row r="224" spans="4:22" ht="15" customHeight="1">
      <c r="E224" s="792">
        <f t="shared" si="40"/>
        <v>12</v>
      </c>
      <c r="F224" s="793" t="s">
        <v>2256</v>
      </c>
      <c r="G224" s="811"/>
      <c r="H224" s="812"/>
      <c r="I224" s="796"/>
      <c r="J224" s="792"/>
      <c r="K224" s="797"/>
      <c r="L224" s="798"/>
      <c r="M224" s="799">
        <v>1</v>
      </c>
      <c r="N224" s="799">
        <v>1200000</v>
      </c>
      <c r="O224" s="798">
        <f t="shared" si="41"/>
        <v>1200000</v>
      </c>
      <c r="P224" s="799"/>
      <c r="Q224" s="799"/>
      <c r="R224" s="799"/>
      <c r="S224" s="799">
        <f t="shared" si="37"/>
        <v>1</v>
      </c>
      <c r="T224" s="799" t="s">
        <v>2104</v>
      </c>
      <c r="U224" s="799">
        <f t="shared" si="42"/>
        <v>1200000</v>
      </c>
      <c r="V224" s="799">
        <f t="shared" si="39"/>
        <v>1200000</v>
      </c>
    </row>
    <row r="225" spans="4:22" ht="15" customHeight="1">
      <c r="E225" s="792">
        <v>13</v>
      </c>
      <c r="F225" s="793" t="s">
        <v>2257</v>
      </c>
      <c r="G225" s="811"/>
      <c r="H225" s="812"/>
      <c r="I225" s="796"/>
      <c r="J225" s="792"/>
      <c r="K225" s="797"/>
      <c r="L225" s="798"/>
      <c r="M225" s="799">
        <v>15.45</v>
      </c>
      <c r="N225" s="799">
        <v>78000</v>
      </c>
      <c r="O225" s="798">
        <f t="shared" si="41"/>
        <v>1205100</v>
      </c>
      <c r="P225" s="799"/>
      <c r="Q225" s="799"/>
      <c r="R225" s="799"/>
      <c r="S225" s="799">
        <f t="shared" si="37"/>
        <v>15.45</v>
      </c>
      <c r="T225" s="799" t="s">
        <v>33</v>
      </c>
      <c r="U225" s="799">
        <f t="shared" si="42"/>
        <v>78000</v>
      </c>
      <c r="V225" s="799">
        <f t="shared" si="39"/>
        <v>1205100</v>
      </c>
    </row>
    <row r="226" spans="4:22" ht="15" customHeight="1">
      <c r="E226" s="792">
        <v>14</v>
      </c>
      <c r="F226" s="793" t="s">
        <v>2258</v>
      </c>
      <c r="G226" s="811"/>
      <c r="H226" s="812"/>
      <c r="I226" s="796"/>
      <c r="J226" s="792"/>
      <c r="K226" s="797"/>
      <c r="L226" s="798"/>
      <c r="M226" s="799">
        <v>10</v>
      </c>
      <c r="N226" s="799">
        <v>400000</v>
      </c>
      <c r="O226" s="798">
        <f t="shared" si="41"/>
        <v>4000000</v>
      </c>
      <c r="P226" s="799"/>
      <c r="Q226" s="799"/>
      <c r="R226" s="799"/>
      <c r="S226" s="799">
        <f t="shared" si="37"/>
        <v>10</v>
      </c>
      <c r="T226" s="799" t="s">
        <v>33</v>
      </c>
      <c r="U226" s="799">
        <f t="shared" si="42"/>
        <v>400000</v>
      </c>
      <c r="V226" s="799">
        <f t="shared" si="39"/>
        <v>4000000</v>
      </c>
    </row>
    <row r="227" spans="4:22" ht="15" customHeight="1">
      <c r="E227" s="792">
        <v>15</v>
      </c>
      <c r="F227" s="793" t="s">
        <v>2259</v>
      </c>
      <c r="G227" s="811"/>
      <c r="H227" s="812"/>
      <c r="I227" s="796"/>
      <c r="J227" s="792"/>
      <c r="K227" s="797"/>
      <c r="L227" s="798"/>
      <c r="M227" s="799">
        <v>1</v>
      </c>
      <c r="N227" s="799">
        <v>2500000</v>
      </c>
      <c r="O227" s="798">
        <f t="shared" si="41"/>
        <v>2500000</v>
      </c>
      <c r="P227" s="799"/>
      <c r="Q227" s="799"/>
      <c r="R227" s="799"/>
      <c r="S227" s="799">
        <f t="shared" si="37"/>
        <v>1</v>
      </c>
      <c r="T227" s="799" t="s">
        <v>2104</v>
      </c>
      <c r="U227" s="799">
        <f t="shared" si="42"/>
        <v>2500000</v>
      </c>
      <c r="V227" s="799">
        <f t="shared" si="39"/>
        <v>2500000</v>
      </c>
    </row>
    <row r="228" spans="4:22" ht="15" customHeight="1">
      <c r="E228" s="792"/>
      <c r="F228" s="793"/>
      <c r="G228" s="825"/>
      <c r="H228" s="826"/>
      <c r="I228" s="796"/>
      <c r="J228" s="792"/>
      <c r="K228" s="797"/>
      <c r="L228" s="802"/>
      <c r="M228" s="803"/>
      <c r="N228" s="803"/>
      <c r="O228" s="803"/>
      <c r="P228" s="803"/>
      <c r="Q228" s="803"/>
      <c r="R228" s="803"/>
      <c r="S228" s="803"/>
      <c r="T228" s="803"/>
      <c r="U228" s="803"/>
      <c r="V228" s="803"/>
    </row>
    <row r="229" spans="4:22" ht="15" customHeight="1">
      <c r="D229" s="780" t="s">
        <v>2099</v>
      </c>
      <c r="E229" s="781" t="s">
        <v>2260</v>
      </c>
      <c r="F229" s="804" t="s">
        <v>2261</v>
      </c>
      <c r="G229" s="816"/>
      <c r="H229" s="817"/>
      <c r="I229" s="818" t="s">
        <v>2111</v>
      </c>
      <c r="J229" s="781" t="s">
        <v>2111</v>
      </c>
      <c r="K229" s="823"/>
      <c r="L229" s="788">
        <f>SUM(L230:L260)</f>
        <v>95200000</v>
      </c>
      <c r="M229" s="789"/>
      <c r="N229" s="789"/>
      <c r="O229" s="788">
        <f>SUM(O230:O260)</f>
        <v>14875000</v>
      </c>
      <c r="P229" s="789"/>
      <c r="Q229" s="789"/>
      <c r="R229" s="788">
        <f>SUM(R230:R260)</f>
        <v>17500000</v>
      </c>
      <c r="S229" s="789"/>
      <c r="T229" s="789"/>
      <c r="U229" s="789"/>
      <c r="V229" s="788">
        <f>SUM(V230:V260)</f>
        <v>92575000</v>
      </c>
    </row>
    <row r="230" spans="4:22" ht="15" customHeight="1">
      <c r="E230" s="792"/>
      <c r="F230" s="793" t="s">
        <v>2262</v>
      </c>
      <c r="G230" s="811"/>
      <c r="H230" s="812"/>
      <c r="I230" s="796"/>
      <c r="J230" s="792"/>
      <c r="K230" s="801"/>
      <c r="L230" s="802"/>
      <c r="M230" s="803"/>
      <c r="N230" s="803"/>
      <c r="O230" s="803"/>
      <c r="P230" s="803"/>
      <c r="Q230" s="803"/>
      <c r="R230" s="803"/>
      <c r="S230" s="803"/>
      <c r="T230" s="803"/>
      <c r="U230" s="803"/>
      <c r="V230" s="803"/>
    </row>
    <row r="231" spans="4:22" ht="15" customHeight="1">
      <c r="E231" s="792">
        <v>1</v>
      </c>
      <c r="F231" s="793" t="s">
        <v>2263</v>
      </c>
      <c r="G231" s="811"/>
      <c r="H231" s="812"/>
      <c r="I231" s="796">
        <v>5</v>
      </c>
      <c r="J231" s="792" t="s">
        <v>2198</v>
      </c>
      <c r="K231" s="800">
        <v>4500000</v>
      </c>
      <c r="L231" s="798">
        <f t="shared" ref="L231:L259" si="43">IF(I231="","",I231*K231)</f>
        <v>22500000</v>
      </c>
      <c r="M231" s="799"/>
      <c r="N231" s="799"/>
      <c r="O231" s="799"/>
      <c r="P231" s="799"/>
      <c r="Q231" s="799"/>
      <c r="R231" s="799"/>
      <c r="S231" s="799">
        <f t="shared" ref="S231:S259" si="44">IF(AND(M231="",P231=""),I231,I231+M231-P231)</f>
        <v>5</v>
      </c>
      <c r="T231" s="799" t="str">
        <f t="shared" ref="T231:U259" si="45">J231</f>
        <v>unit</v>
      </c>
      <c r="U231" s="799">
        <f t="shared" si="45"/>
        <v>4500000</v>
      </c>
      <c r="V231" s="799">
        <f t="shared" ref="V231:V259" si="46">S231*U231</f>
        <v>22500000</v>
      </c>
    </row>
    <row r="232" spans="4:22" ht="15" customHeight="1">
      <c r="E232" s="792">
        <v>2</v>
      </c>
      <c r="F232" s="793" t="s">
        <v>2264</v>
      </c>
      <c r="G232" s="811"/>
      <c r="H232" s="812"/>
      <c r="I232" s="796">
        <v>5</v>
      </c>
      <c r="J232" s="792" t="s">
        <v>2198</v>
      </c>
      <c r="K232" s="824">
        <v>1500000</v>
      </c>
      <c r="L232" s="798">
        <f t="shared" si="43"/>
        <v>7500000</v>
      </c>
      <c r="M232" s="799"/>
      <c r="N232" s="799"/>
      <c r="O232" s="799"/>
      <c r="P232" s="799"/>
      <c r="Q232" s="799"/>
      <c r="R232" s="799"/>
      <c r="S232" s="799">
        <f t="shared" si="44"/>
        <v>5</v>
      </c>
      <c r="T232" s="799" t="str">
        <f t="shared" si="45"/>
        <v>unit</v>
      </c>
      <c r="U232" s="799">
        <f t="shared" si="45"/>
        <v>1500000</v>
      </c>
      <c r="V232" s="799">
        <f t="shared" si="46"/>
        <v>7500000</v>
      </c>
    </row>
    <row r="233" spans="4:22" ht="15" customHeight="1">
      <c r="E233" s="792">
        <v>3</v>
      </c>
      <c r="F233" s="793" t="s">
        <v>2265</v>
      </c>
      <c r="G233" s="811"/>
      <c r="H233" s="812"/>
      <c r="I233" s="796">
        <v>10</v>
      </c>
      <c r="J233" s="792" t="s">
        <v>36</v>
      </c>
      <c r="K233" s="824">
        <v>700000</v>
      </c>
      <c r="L233" s="798">
        <f t="shared" si="43"/>
        <v>7000000</v>
      </c>
      <c r="M233" s="799"/>
      <c r="N233" s="799"/>
      <c r="O233" s="799"/>
      <c r="P233" s="799"/>
      <c r="Q233" s="799"/>
      <c r="R233" s="799"/>
      <c r="S233" s="799">
        <f t="shared" si="44"/>
        <v>10</v>
      </c>
      <c r="T233" s="799" t="str">
        <f t="shared" si="45"/>
        <v>bh</v>
      </c>
      <c r="U233" s="799">
        <f t="shared" si="45"/>
        <v>700000</v>
      </c>
      <c r="V233" s="799">
        <f t="shared" si="46"/>
        <v>7000000</v>
      </c>
    </row>
    <row r="234" spans="4:22" ht="15" customHeight="1">
      <c r="E234" s="792">
        <v>4</v>
      </c>
      <c r="F234" s="793" t="s">
        <v>2266</v>
      </c>
      <c r="G234" s="811"/>
      <c r="H234" s="812"/>
      <c r="I234" s="796">
        <v>5</v>
      </c>
      <c r="J234" s="792" t="s">
        <v>2198</v>
      </c>
      <c r="K234" s="824">
        <v>1500000</v>
      </c>
      <c r="L234" s="798">
        <f t="shared" si="43"/>
        <v>7500000</v>
      </c>
      <c r="M234" s="799"/>
      <c r="N234" s="799"/>
      <c r="O234" s="799"/>
      <c r="P234" s="799"/>
      <c r="Q234" s="799"/>
      <c r="R234" s="799"/>
      <c r="S234" s="799">
        <f t="shared" si="44"/>
        <v>5</v>
      </c>
      <c r="T234" s="799" t="str">
        <f t="shared" si="45"/>
        <v>unit</v>
      </c>
      <c r="U234" s="799">
        <f t="shared" si="45"/>
        <v>1500000</v>
      </c>
      <c r="V234" s="799">
        <f t="shared" si="46"/>
        <v>7500000</v>
      </c>
    </row>
    <row r="235" spans="4:22" ht="15" customHeight="1">
      <c r="E235" s="792">
        <v>5</v>
      </c>
      <c r="F235" s="793" t="s">
        <v>2267</v>
      </c>
      <c r="G235" s="811"/>
      <c r="H235" s="812"/>
      <c r="I235" s="796">
        <v>5</v>
      </c>
      <c r="J235" s="792" t="s">
        <v>36</v>
      </c>
      <c r="K235" s="824">
        <v>850000</v>
      </c>
      <c r="L235" s="798">
        <f t="shared" si="43"/>
        <v>4250000</v>
      </c>
      <c r="M235" s="799"/>
      <c r="N235" s="799"/>
      <c r="O235" s="799"/>
      <c r="P235" s="799"/>
      <c r="Q235" s="799"/>
      <c r="R235" s="799"/>
      <c r="S235" s="799">
        <f t="shared" si="44"/>
        <v>5</v>
      </c>
      <c r="T235" s="799" t="str">
        <f t="shared" si="45"/>
        <v>bh</v>
      </c>
      <c r="U235" s="799">
        <f t="shared" si="45"/>
        <v>850000</v>
      </c>
      <c r="V235" s="799">
        <f t="shared" si="46"/>
        <v>4250000</v>
      </c>
    </row>
    <row r="236" spans="4:22" ht="15" customHeight="1">
      <c r="E236" s="792">
        <v>6</v>
      </c>
      <c r="F236" s="793" t="s">
        <v>2268</v>
      </c>
      <c r="G236" s="811"/>
      <c r="H236" s="812"/>
      <c r="I236" s="796">
        <v>5</v>
      </c>
      <c r="J236" s="792" t="s">
        <v>36</v>
      </c>
      <c r="K236" s="824">
        <v>250000</v>
      </c>
      <c r="L236" s="798">
        <f t="shared" si="43"/>
        <v>1250000</v>
      </c>
      <c r="M236" s="799"/>
      <c r="N236" s="799"/>
      <c r="O236" s="799"/>
      <c r="P236" s="799"/>
      <c r="Q236" s="799"/>
      <c r="R236" s="799"/>
      <c r="S236" s="799">
        <f t="shared" si="44"/>
        <v>5</v>
      </c>
      <c r="T236" s="799" t="str">
        <f t="shared" si="45"/>
        <v>bh</v>
      </c>
      <c r="U236" s="799">
        <f t="shared" si="45"/>
        <v>250000</v>
      </c>
      <c r="V236" s="799">
        <f t="shared" si="46"/>
        <v>1250000</v>
      </c>
    </row>
    <row r="237" spans="4:22" ht="15" customHeight="1">
      <c r="E237" s="792">
        <v>7</v>
      </c>
      <c r="F237" s="793" t="s">
        <v>2269</v>
      </c>
      <c r="G237" s="811"/>
      <c r="H237" s="812"/>
      <c r="I237" s="796">
        <v>5</v>
      </c>
      <c r="J237" s="792" t="s">
        <v>36</v>
      </c>
      <c r="K237" s="824">
        <v>350000</v>
      </c>
      <c r="L237" s="798">
        <f t="shared" si="43"/>
        <v>1750000</v>
      </c>
      <c r="M237" s="799"/>
      <c r="N237" s="799"/>
      <c r="O237" s="799"/>
      <c r="P237" s="799"/>
      <c r="Q237" s="799"/>
      <c r="R237" s="799"/>
      <c r="S237" s="799">
        <f t="shared" si="44"/>
        <v>5</v>
      </c>
      <c r="T237" s="799" t="str">
        <f t="shared" si="45"/>
        <v>bh</v>
      </c>
      <c r="U237" s="799">
        <f t="shared" si="45"/>
        <v>350000</v>
      </c>
      <c r="V237" s="799">
        <f t="shared" si="46"/>
        <v>1750000</v>
      </c>
    </row>
    <row r="238" spans="4:22" ht="15" customHeight="1">
      <c r="E238" s="792">
        <v>8</v>
      </c>
      <c r="F238" s="793" t="s">
        <v>2270</v>
      </c>
      <c r="G238" s="811"/>
      <c r="H238" s="812"/>
      <c r="I238" s="796"/>
      <c r="J238" s="792"/>
      <c r="K238" s="824"/>
      <c r="L238" s="798"/>
      <c r="M238" s="799">
        <v>5</v>
      </c>
      <c r="N238" s="799">
        <v>175000</v>
      </c>
      <c r="O238" s="798">
        <f>IF(M238="","",M238*N238)</f>
        <v>875000</v>
      </c>
      <c r="P238" s="799"/>
      <c r="Q238" s="799"/>
      <c r="R238" s="799"/>
      <c r="S238" s="799">
        <f t="shared" si="44"/>
        <v>5</v>
      </c>
      <c r="T238" s="799" t="s">
        <v>2104</v>
      </c>
      <c r="U238" s="799">
        <f>N238</f>
        <v>175000</v>
      </c>
      <c r="V238" s="799">
        <f t="shared" si="46"/>
        <v>875000</v>
      </c>
    </row>
    <row r="239" spans="4:22" ht="15" customHeight="1">
      <c r="E239" s="792">
        <v>9</v>
      </c>
      <c r="F239" s="793" t="s">
        <v>2271</v>
      </c>
      <c r="G239" s="811"/>
      <c r="H239" s="812"/>
      <c r="I239" s="796"/>
      <c r="J239" s="792"/>
      <c r="K239" s="824"/>
      <c r="L239" s="798"/>
      <c r="M239" s="799">
        <v>1</v>
      </c>
      <c r="N239" s="799">
        <v>500000</v>
      </c>
      <c r="O239" s="798">
        <f>IF(M239="","",M239*N239)</f>
        <v>500000</v>
      </c>
      <c r="P239" s="799"/>
      <c r="Q239" s="799"/>
      <c r="R239" s="799"/>
      <c r="S239" s="799">
        <f t="shared" si="44"/>
        <v>1</v>
      </c>
      <c r="T239" s="799" t="s">
        <v>2104</v>
      </c>
      <c r="U239" s="799">
        <f>N239</f>
        <v>500000</v>
      </c>
      <c r="V239" s="799">
        <f t="shared" si="46"/>
        <v>500000</v>
      </c>
    </row>
    <row r="240" spans="4:22" ht="15" customHeight="1">
      <c r="E240" s="792"/>
      <c r="F240" s="793"/>
      <c r="G240" s="811"/>
      <c r="H240" s="812"/>
      <c r="I240" s="796"/>
      <c r="J240" s="792"/>
      <c r="K240" s="824"/>
      <c r="L240" s="798" t="str">
        <f t="shared" si="43"/>
        <v/>
      </c>
      <c r="M240" s="799"/>
      <c r="N240" s="799"/>
      <c r="O240" s="799"/>
      <c r="P240" s="799"/>
      <c r="Q240" s="799"/>
      <c r="R240" s="799"/>
      <c r="S240" s="799"/>
      <c r="T240" s="799"/>
      <c r="U240" s="799"/>
      <c r="V240" s="799"/>
    </row>
    <row r="241" spans="5:22" ht="15" customHeight="1">
      <c r="E241" s="792"/>
      <c r="F241" s="793" t="s">
        <v>2272</v>
      </c>
      <c r="G241" s="811"/>
      <c r="H241" s="812"/>
      <c r="I241" s="796"/>
      <c r="J241" s="792"/>
      <c r="K241" s="824"/>
      <c r="L241" s="798" t="str">
        <f t="shared" si="43"/>
        <v/>
      </c>
      <c r="M241" s="799"/>
      <c r="N241" s="799"/>
      <c r="O241" s="799"/>
      <c r="P241" s="799"/>
      <c r="Q241" s="799"/>
      <c r="R241" s="799"/>
      <c r="S241" s="799"/>
      <c r="T241" s="799"/>
      <c r="U241" s="799"/>
      <c r="V241" s="799"/>
    </row>
    <row r="242" spans="5:22" ht="15" customHeight="1">
      <c r="E242" s="792">
        <v>1</v>
      </c>
      <c r="F242" s="793" t="s">
        <v>2273</v>
      </c>
      <c r="G242" s="811"/>
      <c r="H242" s="812"/>
      <c r="I242" s="796">
        <v>4</v>
      </c>
      <c r="J242" s="792" t="s">
        <v>2198</v>
      </c>
      <c r="K242" s="824">
        <v>3000000</v>
      </c>
      <c r="L242" s="798">
        <f t="shared" si="43"/>
        <v>12000000</v>
      </c>
      <c r="M242" s="799"/>
      <c r="N242" s="799"/>
      <c r="O242" s="799"/>
      <c r="P242" s="799"/>
      <c r="Q242" s="799"/>
      <c r="R242" s="799"/>
      <c r="S242" s="799">
        <f t="shared" si="44"/>
        <v>4</v>
      </c>
      <c r="T242" s="799" t="str">
        <f t="shared" si="45"/>
        <v>unit</v>
      </c>
      <c r="U242" s="799">
        <f t="shared" si="45"/>
        <v>3000000</v>
      </c>
      <c r="V242" s="799">
        <f t="shared" si="46"/>
        <v>12000000</v>
      </c>
    </row>
    <row r="243" spans="5:22" ht="15" customHeight="1">
      <c r="E243" s="792">
        <v>2</v>
      </c>
      <c r="F243" s="793" t="s">
        <v>2274</v>
      </c>
      <c r="G243" s="811"/>
      <c r="H243" s="812"/>
      <c r="I243" s="796">
        <v>2</v>
      </c>
      <c r="J243" s="792" t="s">
        <v>2198</v>
      </c>
      <c r="K243" s="824">
        <v>1500000</v>
      </c>
      <c r="L243" s="798">
        <f t="shared" si="43"/>
        <v>3000000</v>
      </c>
      <c r="M243" s="799"/>
      <c r="N243" s="799"/>
      <c r="O243" s="799"/>
      <c r="P243" s="799"/>
      <c r="Q243" s="799"/>
      <c r="R243" s="799"/>
      <c r="S243" s="799">
        <f t="shared" si="44"/>
        <v>2</v>
      </c>
      <c r="T243" s="799" t="str">
        <f t="shared" si="45"/>
        <v>unit</v>
      </c>
      <c r="U243" s="799">
        <f t="shared" si="45"/>
        <v>1500000</v>
      </c>
      <c r="V243" s="799">
        <f t="shared" si="46"/>
        <v>3000000</v>
      </c>
    </row>
    <row r="244" spans="5:22" ht="15" customHeight="1">
      <c r="E244" s="792">
        <v>3</v>
      </c>
      <c r="F244" s="793" t="s">
        <v>2275</v>
      </c>
      <c r="G244" s="811"/>
      <c r="H244" s="812"/>
      <c r="I244" s="796">
        <v>2</v>
      </c>
      <c r="J244" s="792" t="s">
        <v>36</v>
      </c>
      <c r="K244" s="824">
        <v>1200000</v>
      </c>
      <c r="L244" s="798">
        <f t="shared" si="43"/>
        <v>2400000</v>
      </c>
      <c r="M244" s="799"/>
      <c r="N244" s="799"/>
      <c r="O244" s="799"/>
      <c r="P244" s="799"/>
      <c r="Q244" s="799"/>
      <c r="R244" s="799"/>
      <c r="S244" s="799">
        <f t="shared" si="44"/>
        <v>2</v>
      </c>
      <c r="T244" s="799" t="str">
        <f t="shared" si="45"/>
        <v>bh</v>
      </c>
      <c r="U244" s="799">
        <f t="shared" si="45"/>
        <v>1200000</v>
      </c>
      <c r="V244" s="799">
        <f t="shared" si="46"/>
        <v>2400000</v>
      </c>
    </row>
    <row r="245" spans="5:22" ht="15" customHeight="1">
      <c r="E245" s="792">
        <v>4</v>
      </c>
      <c r="F245" s="793" t="s">
        <v>2276</v>
      </c>
      <c r="G245" s="811"/>
      <c r="H245" s="812"/>
      <c r="I245" s="796">
        <v>2</v>
      </c>
      <c r="J245" s="792" t="s">
        <v>2198</v>
      </c>
      <c r="K245" s="824">
        <v>2000000</v>
      </c>
      <c r="L245" s="798">
        <f t="shared" si="43"/>
        <v>4000000</v>
      </c>
      <c r="M245" s="799"/>
      <c r="N245" s="799"/>
      <c r="O245" s="799"/>
      <c r="P245" s="799"/>
      <c r="Q245" s="799"/>
      <c r="R245" s="799"/>
      <c r="S245" s="799">
        <f t="shared" si="44"/>
        <v>2</v>
      </c>
      <c r="T245" s="799" t="str">
        <f t="shared" si="45"/>
        <v>unit</v>
      </c>
      <c r="U245" s="799">
        <f t="shared" si="45"/>
        <v>2000000</v>
      </c>
      <c r="V245" s="799">
        <f t="shared" si="46"/>
        <v>4000000</v>
      </c>
    </row>
    <row r="246" spans="5:22" ht="15" customHeight="1">
      <c r="E246" s="792">
        <v>5</v>
      </c>
      <c r="F246" s="793" t="s">
        <v>2268</v>
      </c>
      <c r="G246" s="811"/>
      <c r="H246" s="812"/>
      <c r="I246" s="796">
        <v>4</v>
      </c>
      <c r="J246" s="792" t="s">
        <v>36</v>
      </c>
      <c r="K246" s="824">
        <v>350000</v>
      </c>
      <c r="L246" s="798">
        <f t="shared" si="43"/>
        <v>1400000</v>
      </c>
      <c r="M246" s="799"/>
      <c r="N246" s="799"/>
      <c r="O246" s="799"/>
      <c r="P246" s="799"/>
      <c r="Q246" s="799"/>
      <c r="R246" s="799"/>
      <c r="S246" s="799">
        <f t="shared" si="44"/>
        <v>4</v>
      </c>
      <c r="T246" s="799" t="str">
        <f t="shared" si="45"/>
        <v>bh</v>
      </c>
      <c r="U246" s="799">
        <f t="shared" si="45"/>
        <v>350000</v>
      </c>
      <c r="V246" s="799">
        <f t="shared" si="46"/>
        <v>1400000</v>
      </c>
    </row>
    <row r="247" spans="5:22" ht="15" customHeight="1">
      <c r="E247" s="792">
        <v>6</v>
      </c>
      <c r="F247" s="793" t="s">
        <v>2270</v>
      </c>
      <c r="G247" s="811"/>
      <c r="H247" s="812"/>
      <c r="I247" s="796"/>
      <c r="J247" s="792"/>
      <c r="K247" s="824"/>
      <c r="L247" s="798"/>
      <c r="M247" s="799">
        <v>2</v>
      </c>
      <c r="N247" s="799">
        <v>175000</v>
      </c>
      <c r="O247" s="798">
        <f>IF(M247="","",M247*N247)</f>
        <v>350000</v>
      </c>
      <c r="P247" s="799"/>
      <c r="Q247" s="799"/>
      <c r="R247" s="799"/>
      <c r="S247" s="799">
        <f t="shared" si="44"/>
        <v>2</v>
      </c>
      <c r="T247" s="799" t="s">
        <v>2104</v>
      </c>
      <c r="U247" s="799">
        <f>N247</f>
        <v>175000</v>
      </c>
      <c r="V247" s="799">
        <f t="shared" si="46"/>
        <v>350000</v>
      </c>
    </row>
    <row r="248" spans="5:22" ht="15" customHeight="1">
      <c r="E248" s="792">
        <v>7</v>
      </c>
      <c r="F248" s="793" t="s">
        <v>2267</v>
      </c>
      <c r="G248" s="811"/>
      <c r="H248" s="812"/>
      <c r="I248" s="796"/>
      <c r="J248" s="792"/>
      <c r="K248" s="824"/>
      <c r="L248" s="798"/>
      <c r="M248" s="799">
        <v>2</v>
      </c>
      <c r="N248" s="799">
        <v>850000</v>
      </c>
      <c r="O248" s="798">
        <f>IF(M248="","",M248*N248)</f>
        <v>1700000</v>
      </c>
      <c r="P248" s="799"/>
      <c r="Q248" s="799"/>
      <c r="R248" s="799"/>
      <c r="S248" s="799">
        <f t="shared" si="44"/>
        <v>2</v>
      </c>
      <c r="T248" s="799" t="s">
        <v>36</v>
      </c>
      <c r="U248" s="799">
        <f>N248</f>
        <v>850000</v>
      </c>
      <c r="V248" s="799">
        <f t="shared" si="46"/>
        <v>1700000</v>
      </c>
    </row>
    <row r="249" spans="5:22" ht="15" customHeight="1">
      <c r="E249" s="792"/>
      <c r="F249" s="793"/>
      <c r="G249" s="811"/>
      <c r="H249" s="812"/>
      <c r="I249" s="796"/>
      <c r="J249" s="792"/>
      <c r="K249" s="824"/>
      <c r="L249" s="798" t="str">
        <f t="shared" si="43"/>
        <v/>
      </c>
      <c r="M249" s="799"/>
      <c r="N249" s="799"/>
      <c r="O249" s="799"/>
      <c r="P249" s="799"/>
      <c r="Q249" s="799"/>
      <c r="R249" s="799"/>
      <c r="S249" s="799"/>
      <c r="T249" s="799"/>
      <c r="U249" s="799"/>
      <c r="V249" s="799"/>
    </row>
    <row r="250" spans="5:22" ht="15" customHeight="1">
      <c r="E250" s="792"/>
      <c r="F250" s="793" t="s">
        <v>2277</v>
      </c>
      <c r="G250" s="811"/>
      <c r="H250" s="812"/>
      <c r="I250" s="796"/>
      <c r="J250" s="792"/>
      <c r="K250" s="824"/>
      <c r="L250" s="798" t="str">
        <f t="shared" si="43"/>
        <v/>
      </c>
      <c r="M250" s="799"/>
      <c r="N250" s="799"/>
      <c r="O250" s="799"/>
      <c r="P250" s="799"/>
      <c r="Q250" s="799"/>
      <c r="R250" s="799"/>
      <c r="S250" s="799"/>
      <c r="T250" s="799"/>
      <c r="U250" s="799"/>
      <c r="V250" s="799"/>
    </row>
    <row r="251" spans="5:22" ht="15" customHeight="1">
      <c r="E251" s="792">
        <v>1</v>
      </c>
      <c r="F251" s="793" t="s">
        <v>2268</v>
      </c>
      <c r="G251" s="811"/>
      <c r="H251" s="812"/>
      <c r="I251" s="796">
        <v>1</v>
      </c>
      <c r="J251" s="792" t="s">
        <v>36</v>
      </c>
      <c r="K251" s="824">
        <v>350000</v>
      </c>
      <c r="L251" s="798">
        <f t="shared" si="43"/>
        <v>350000</v>
      </c>
      <c r="M251" s="799"/>
      <c r="N251" s="799"/>
      <c r="O251" s="799"/>
      <c r="P251" s="799"/>
      <c r="Q251" s="799"/>
      <c r="R251" s="799"/>
      <c r="S251" s="799">
        <f t="shared" si="44"/>
        <v>1</v>
      </c>
      <c r="T251" s="799" t="str">
        <f t="shared" si="45"/>
        <v>bh</v>
      </c>
      <c r="U251" s="799">
        <f t="shared" si="45"/>
        <v>350000</v>
      </c>
      <c r="V251" s="799">
        <f t="shared" si="46"/>
        <v>350000</v>
      </c>
    </row>
    <row r="252" spans="5:22" ht="15" customHeight="1">
      <c r="E252" s="792">
        <v>2</v>
      </c>
      <c r="F252" s="793" t="s">
        <v>2278</v>
      </c>
      <c r="G252" s="811"/>
      <c r="H252" s="812"/>
      <c r="I252" s="796"/>
      <c r="J252" s="792"/>
      <c r="K252" s="824"/>
      <c r="L252" s="798"/>
      <c r="M252" s="799">
        <v>1</v>
      </c>
      <c r="N252" s="799">
        <v>11450000</v>
      </c>
      <c r="O252" s="798">
        <f>IF(M252="","",M252*N252)</f>
        <v>11450000</v>
      </c>
      <c r="P252" s="799"/>
      <c r="Q252" s="799"/>
      <c r="R252" s="799"/>
      <c r="S252" s="799">
        <f t="shared" si="44"/>
        <v>1</v>
      </c>
      <c r="T252" s="799" t="s">
        <v>2104</v>
      </c>
      <c r="U252" s="799">
        <f>N252</f>
        <v>11450000</v>
      </c>
      <c r="V252" s="799">
        <f t="shared" si="46"/>
        <v>11450000</v>
      </c>
    </row>
    <row r="253" spans="5:22" ht="15" customHeight="1">
      <c r="E253" s="792"/>
      <c r="F253" s="810"/>
      <c r="G253" s="811"/>
      <c r="H253" s="812"/>
      <c r="I253" s="796"/>
      <c r="J253" s="792"/>
      <c r="K253" s="824"/>
      <c r="L253" s="798" t="str">
        <f t="shared" si="43"/>
        <v/>
      </c>
      <c r="M253" s="799"/>
      <c r="N253" s="799"/>
      <c r="O253" s="799"/>
      <c r="P253" s="799"/>
      <c r="Q253" s="799"/>
      <c r="R253" s="799"/>
      <c r="S253" s="799"/>
      <c r="T253" s="799"/>
      <c r="U253" s="799"/>
      <c r="V253" s="799"/>
    </row>
    <row r="254" spans="5:22" ht="15" customHeight="1">
      <c r="E254" s="792"/>
      <c r="F254" s="793" t="s">
        <v>2279</v>
      </c>
      <c r="G254" s="811"/>
      <c r="H254" s="812"/>
      <c r="I254" s="796"/>
      <c r="J254" s="792"/>
      <c r="K254" s="824"/>
      <c r="L254" s="798" t="str">
        <f t="shared" si="43"/>
        <v/>
      </c>
      <c r="M254" s="799"/>
      <c r="N254" s="799"/>
      <c r="O254" s="799"/>
      <c r="P254" s="799"/>
      <c r="Q254" s="799"/>
      <c r="R254" s="799"/>
      <c r="S254" s="799"/>
      <c r="T254" s="799"/>
      <c r="U254" s="799"/>
      <c r="V254" s="799"/>
    </row>
    <row r="255" spans="5:22" ht="15" customHeight="1">
      <c r="E255" s="792">
        <v>1</v>
      </c>
      <c r="F255" s="793" t="s">
        <v>2280</v>
      </c>
      <c r="G255" s="811"/>
      <c r="H255" s="812"/>
      <c r="I255" s="796">
        <v>1</v>
      </c>
      <c r="J255" s="792" t="s">
        <v>2198</v>
      </c>
      <c r="K255" s="824">
        <v>5500000</v>
      </c>
      <c r="L255" s="798">
        <f t="shared" si="43"/>
        <v>5500000</v>
      </c>
      <c r="M255" s="799"/>
      <c r="N255" s="799"/>
      <c r="O255" s="799"/>
      <c r="P255" s="799">
        <f>I255</f>
        <v>1</v>
      </c>
      <c r="Q255" s="799">
        <f>K255</f>
        <v>5500000</v>
      </c>
      <c r="R255" s="798">
        <f>IF(P255="","",P255*Q255)</f>
        <v>5500000</v>
      </c>
      <c r="S255" s="799">
        <f t="shared" si="44"/>
        <v>0</v>
      </c>
      <c r="T255" s="799" t="str">
        <f t="shared" si="45"/>
        <v>unit</v>
      </c>
      <c r="U255" s="799">
        <f t="shared" si="45"/>
        <v>5500000</v>
      </c>
      <c r="V255" s="799">
        <f t="shared" si="46"/>
        <v>0</v>
      </c>
    </row>
    <row r="256" spans="5:22" ht="15" customHeight="1">
      <c r="E256" s="792"/>
      <c r="F256" s="810"/>
      <c r="G256" s="811"/>
      <c r="H256" s="812"/>
      <c r="I256" s="796"/>
      <c r="J256" s="792"/>
      <c r="K256" s="824"/>
      <c r="L256" s="798" t="str">
        <f t="shared" si="43"/>
        <v/>
      </c>
      <c r="M256" s="799"/>
      <c r="N256" s="799"/>
      <c r="O256" s="799"/>
      <c r="P256" s="799"/>
      <c r="Q256" s="799"/>
      <c r="R256" s="799"/>
      <c r="S256" s="799"/>
      <c r="T256" s="799"/>
      <c r="U256" s="799"/>
      <c r="V256" s="799"/>
    </row>
    <row r="257" spans="1:23" ht="15" customHeight="1">
      <c r="E257" s="792"/>
      <c r="F257" s="793" t="s">
        <v>2281</v>
      </c>
      <c r="G257" s="811"/>
      <c r="H257" s="812"/>
      <c r="I257" s="796"/>
      <c r="J257" s="792"/>
      <c r="K257" s="824"/>
      <c r="L257" s="798" t="str">
        <f t="shared" si="43"/>
        <v/>
      </c>
      <c r="M257" s="799"/>
      <c r="N257" s="799"/>
      <c r="O257" s="799"/>
      <c r="P257" s="799"/>
      <c r="Q257" s="799"/>
      <c r="R257" s="799"/>
      <c r="S257" s="799"/>
      <c r="T257" s="799"/>
      <c r="U257" s="799"/>
      <c r="V257" s="799"/>
    </row>
    <row r="258" spans="1:23" ht="15" customHeight="1">
      <c r="E258" s="792">
        <v>1</v>
      </c>
      <c r="F258" s="793" t="s">
        <v>2282</v>
      </c>
      <c r="G258" s="811"/>
      <c r="H258" s="812"/>
      <c r="I258" s="796">
        <v>8</v>
      </c>
      <c r="J258" s="792" t="s">
        <v>36</v>
      </c>
      <c r="K258" s="824">
        <v>1500000</v>
      </c>
      <c r="L258" s="798">
        <f t="shared" si="43"/>
        <v>12000000</v>
      </c>
      <c r="M258" s="799"/>
      <c r="N258" s="799"/>
      <c r="O258" s="799"/>
      <c r="P258" s="799">
        <f>I258</f>
        <v>8</v>
      </c>
      <c r="Q258" s="799">
        <f>K258</f>
        <v>1500000</v>
      </c>
      <c r="R258" s="798">
        <f>IF(P258="","",P258*Q258)</f>
        <v>12000000</v>
      </c>
      <c r="S258" s="799">
        <f t="shared" si="44"/>
        <v>0</v>
      </c>
      <c r="T258" s="799" t="str">
        <f t="shared" si="45"/>
        <v>bh</v>
      </c>
      <c r="U258" s="799">
        <f t="shared" si="45"/>
        <v>1500000</v>
      </c>
      <c r="V258" s="799">
        <f t="shared" si="46"/>
        <v>0</v>
      </c>
    </row>
    <row r="259" spans="1:23" ht="15" customHeight="1">
      <c r="E259" s="792">
        <v>2</v>
      </c>
      <c r="F259" s="793" t="s">
        <v>2283</v>
      </c>
      <c r="G259" s="811"/>
      <c r="H259" s="812"/>
      <c r="I259" s="796">
        <v>8</v>
      </c>
      <c r="J259" s="792" t="s">
        <v>36</v>
      </c>
      <c r="K259" s="824">
        <v>350000</v>
      </c>
      <c r="L259" s="798">
        <f t="shared" si="43"/>
        <v>2800000</v>
      </c>
      <c r="M259" s="799"/>
      <c r="N259" s="799"/>
      <c r="O259" s="799"/>
      <c r="P259" s="799"/>
      <c r="Q259" s="799"/>
      <c r="R259" s="799"/>
      <c r="S259" s="799">
        <f t="shared" si="44"/>
        <v>8</v>
      </c>
      <c r="T259" s="799" t="str">
        <f t="shared" si="45"/>
        <v>bh</v>
      </c>
      <c r="U259" s="799">
        <f t="shared" si="45"/>
        <v>350000</v>
      </c>
      <c r="V259" s="799">
        <f t="shared" si="46"/>
        <v>2800000</v>
      </c>
    </row>
    <row r="260" spans="1:23" ht="15" customHeight="1">
      <c r="E260" s="792"/>
      <c r="F260" s="793"/>
      <c r="G260" s="811"/>
      <c r="H260" s="812"/>
      <c r="I260" s="796"/>
      <c r="J260" s="792"/>
      <c r="K260" s="824"/>
      <c r="L260" s="827"/>
      <c r="M260" s="828"/>
      <c r="N260" s="828"/>
      <c r="O260" s="828"/>
      <c r="P260" s="828"/>
      <c r="Q260" s="828"/>
      <c r="R260" s="828"/>
      <c r="S260" s="828"/>
      <c r="T260" s="828"/>
      <c r="U260" s="828"/>
      <c r="V260" s="828"/>
    </row>
    <row r="261" spans="1:23" ht="15" customHeight="1">
      <c r="D261" s="780" t="s">
        <v>2099</v>
      </c>
      <c r="E261" s="781" t="s">
        <v>2284</v>
      </c>
      <c r="F261" s="804" t="s">
        <v>2285</v>
      </c>
      <c r="G261" s="816"/>
      <c r="H261" s="817"/>
      <c r="I261" s="818" t="s">
        <v>2111</v>
      </c>
      <c r="J261" s="781" t="s">
        <v>2111</v>
      </c>
      <c r="K261" s="819"/>
      <c r="L261" s="788">
        <f>SUM(L262:L271)</f>
        <v>10603500</v>
      </c>
      <c r="M261" s="789"/>
      <c r="N261" s="789"/>
      <c r="O261" s="788">
        <f>SUM(O262:O271)</f>
        <v>0</v>
      </c>
      <c r="P261" s="789"/>
      <c r="Q261" s="789"/>
      <c r="R261" s="788">
        <f>SUM(R262:R271)</f>
        <v>0</v>
      </c>
      <c r="S261" s="789"/>
      <c r="T261" s="789"/>
      <c r="U261" s="789"/>
      <c r="V261" s="788">
        <f>SUM(V262:V271)</f>
        <v>10603500</v>
      </c>
    </row>
    <row r="262" spans="1:23" ht="15" customHeight="1">
      <c r="E262" s="829">
        <v>1</v>
      </c>
      <c r="F262" s="830" t="s">
        <v>2286</v>
      </c>
      <c r="G262" s="831"/>
      <c r="H262" s="832"/>
      <c r="I262" s="833">
        <v>10</v>
      </c>
      <c r="J262" s="829" t="s">
        <v>2114</v>
      </c>
      <c r="K262" s="834">
        <v>300000</v>
      </c>
      <c r="L262" s="798">
        <f t="shared" ref="L262:L270" si="47">IF(I262="","",I262*K262)</f>
        <v>3000000</v>
      </c>
      <c r="M262" s="828"/>
      <c r="N262" s="828"/>
      <c r="O262" s="799"/>
      <c r="P262" s="828"/>
      <c r="Q262" s="828"/>
      <c r="R262" s="828"/>
      <c r="S262" s="799">
        <f t="shared" ref="S262:S270" si="48">IF(AND(M262="",P262=""),I262,I262+M262-P262)</f>
        <v>10</v>
      </c>
      <c r="T262" s="799" t="str">
        <f t="shared" ref="T262:U270" si="49">J262</f>
        <v>m³</v>
      </c>
      <c r="U262" s="799">
        <f t="shared" si="49"/>
        <v>300000</v>
      </c>
      <c r="V262" s="799">
        <f t="shared" ref="V262:V270" si="50">S262*U262</f>
        <v>3000000</v>
      </c>
    </row>
    <row r="263" spans="1:23" ht="15" customHeight="1">
      <c r="E263" s="792">
        <v>2</v>
      </c>
      <c r="F263" s="793" t="s">
        <v>2287</v>
      </c>
      <c r="G263" s="811"/>
      <c r="H263" s="812"/>
      <c r="I263" s="796">
        <v>1</v>
      </c>
      <c r="J263" s="792" t="s">
        <v>1570</v>
      </c>
      <c r="K263" s="800">
        <v>1800000</v>
      </c>
      <c r="L263" s="798">
        <f t="shared" si="47"/>
        <v>1800000</v>
      </c>
      <c r="M263" s="828"/>
      <c r="N263" s="828"/>
      <c r="O263" s="799"/>
      <c r="P263" s="828"/>
      <c r="Q263" s="828"/>
      <c r="R263" s="828"/>
      <c r="S263" s="799">
        <f t="shared" si="48"/>
        <v>1</v>
      </c>
      <c r="T263" s="799" t="str">
        <f t="shared" si="49"/>
        <v>btg</v>
      </c>
      <c r="U263" s="799">
        <f t="shared" si="49"/>
        <v>1800000</v>
      </c>
      <c r="V263" s="799">
        <f t="shared" si="50"/>
        <v>1800000</v>
      </c>
    </row>
    <row r="264" spans="1:23" ht="15" customHeight="1">
      <c r="E264" s="829">
        <v>3</v>
      </c>
      <c r="F264" s="830" t="s">
        <v>2288</v>
      </c>
      <c r="G264" s="831"/>
      <c r="H264" s="832"/>
      <c r="I264" s="833">
        <v>1</v>
      </c>
      <c r="J264" s="829" t="s">
        <v>1570</v>
      </c>
      <c r="K264" s="834">
        <v>600000</v>
      </c>
      <c r="L264" s="798">
        <f t="shared" si="47"/>
        <v>600000</v>
      </c>
      <c r="M264" s="828"/>
      <c r="N264" s="828"/>
      <c r="O264" s="799"/>
      <c r="P264" s="828"/>
      <c r="Q264" s="828"/>
      <c r="R264" s="828"/>
      <c r="S264" s="799">
        <f t="shared" si="48"/>
        <v>1</v>
      </c>
      <c r="T264" s="799" t="str">
        <f t="shared" si="49"/>
        <v>btg</v>
      </c>
      <c r="U264" s="799">
        <f t="shared" si="49"/>
        <v>600000</v>
      </c>
      <c r="V264" s="799">
        <f t="shared" si="50"/>
        <v>600000</v>
      </c>
    </row>
    <row r="265" spans="1:23" ht="15" customHeight="1">
      <c r="E265" s="829">
        <v>4</v>
      </c>
      <c r="F265" s="830" t="s">
        <v>2289</v>
      </c>
      <c r="G265" s="831"/>
      <c r="H265" s="832"/>
      <c r="I265" s="833">
        <v>35.549999999999997</v>
      </c>
      <c r="J265" s="829" t="s">
        <v>2102</v>
      </c>
      <c r="K265" s="834">
        <v>90000</v>
      </c>
      <c r="L265" s="798">
        <f t="shared" si="47"/>
        <v>3199499.9999999995</v>
      </c>
      <c r="M265" s="828"/>
      <c r="N265" s="828"/>
      <c r="O265" s="799"/>
      <c r="P265" s="828"/>
      <c r="Q265" s="828"/>
      <c r="R265" s="828"/>
      <c r="S265" s="799">
        <f t="shared" si="48"/>
        <v>35.549999999999997</v>
      </c>
      <c r="T265" s="799" t="str">
        <f t="shared" si="49"/>
        <v>m²</v>
      </c>
      <c r="U265" s="799">
        <f t="shared" si="49"/>
        <v>90000</v>
      </c>
      <c r="V265" s="799">
        <f t="shared" si="50"/>
        <v>3199499.9999999995</v>
      </c>
    </row>
    <row r="266" spans="1:23" ht="15" customHeight="1">
      <c r="E266" s="829">
        <v>5</v>
      </c>
      <c r="F266" s="830" t="s">
        <v>2290</v>
      </c>
      <c r="G266" s="831"/>
      <c r="H266" s="832"/>
      <c r="I266" s="833">
        <v>8</v>
      </c>
      <c r="J266" s="829" t="s">
        <v>1570</v>
      </c>
      <c r="K266" s="834">
        <v>42000</v>
      </c>
      <c r="L266" s="798">
        <f t="shared" si="47"/>
        <v>336000</v>
      </c>
      <c r="M266" s="828"/>
      <c r="N266" s="828"/>
      <c r="O266" s="799"/>
      <c r="P266" s="828"/>
      <c r="Q266" s="828"/>
      <c r="R266" s="828"/>
      <c r="S266" s="799">
        <f t="shared" si="48"/>
        <v>8</v>
      </c>
      <c r="T266" s="799" t="str">
        <f t="shared" si="49"/>
        <v>btg</v>
      </c>
      <c r="U266" s="799">
        <f t="shared" si="49"/>
        <v>42000</v>
      </c>
      <c r="V266" s="799">
        <f t="shared" si="50"/>
        <v>336000</v>
      </c>
    </row>
    <row r="267" spans="1:23" ht="15" customHeight="1">
      <c r="E267" s="829">
        <v>6</v>
      </c>
      <c r="F267" s="830" t="s">
        <v>2291</v>
      </c>
      <c r="G267" s="831"/>
      <c r="H267" s="832"/>
      <c r="I267" s="833">
        <v>1</v>
      </c>
      <c r="J267" s="829" t="s">
        <v>1570</v>
      </c>
      <c r="K267" s="834">
        <v>250000</v>
      </c>
      <c r="L267" s="798">
        <f t="shared" si="47"/>
        <v>250000</v>
      </c>
      <c r="M267" s="828"/>
      <c r="N267" s="828"/>
      <c r="O267" s="799"/>
      <c r="P267" s="828"/>
      <c r="Q267" s="828"/>
      <c r="R267" s="828"/>
      <c r="S267" s="799">
        <f t="shared" si="48"/>
        <v>1</v>
      </c>
      <c r="T267" s="799" t="str">
        <f t="shared" si="49"/>
        <v>btg</v>
      </c>
      <c r="U267" s="799">
        <f t="shared" si="49"/>
        <v>250000</v>
      </c>
      <c r="V267" s="799">
        <f t="shared" si="50"/>
        <v>250000</v>
      </c>
    </row>
    <row r="268" spans="1:23" ht="15" customHeight="1">
      <c r="E268" s="829">
        <v>7</v>
      </c>
      <c r="F268" s="830" t="s">
        <v>2292</v>
      </c>
      <c r="G268" s="831"/>
      <c r="H268" s="832"/>
      <c r="I268" s="833">
        <v>1</v>
      </c>
      <c r="J268" s="829" t="s">
        <v>1570</v>
      </c>
      <c r="K268" s="834">
        <v>18000</v>
      </c>
      <c r="L268" s="798">
        <f t="shared" si="47"/>
        <v>18000</v>
      </c>
      <c r="M268" s="828"/>
      <c r="N268" s="828"/>
      <c r="O268" s="799"/>
      <c r="P268" s="828"/>
      <c r="Q268" s="828"/>
      <c r="R268" s="828"/>
      <c r="S268" s="799">
        <f t="shared" si="48"/>
        <v>1</v>
      </c>
      <c r="T268" s="799" t="str">
        <f t="shared" si="49"/>
        <v>btg</v>
      </c>
      <c r="U268" s="799">
        <f t="shared" si="49"/>
        <v>18000</v>
      </c>
      <c r="V268" s="799">
        <f t="shared" si="50"/>
        <v>18000</v>
      </c>
    </row>
    <row r="269" spans="1:23" ht="15" customHeight="1">
      <c r="E269" s="829">
        <v>8</v>
      </c>
      <c r="F269" s="830" t="s">
        <v>2293</v>
      </c>
      <c r="G269" s="831"/>
      <c r="H269" s="832"/>
      <c r="I269" s="833">
        <v>30</v>
      </c>
      <c r="J269" s="829" t="s">
        <v>1570</v>
      </c>
      <c r="K269" s="834">
        <v>30000</v>
      </c>
      <c r="L269" s="798">
        <f t="shared" si="47"/>
        <v>900000</v>
      </c>
      <c r="M269" s="828"/>
      <c r="N269" s="828"/>
      <c r="O269" s="799"/>
      <c r="P269" s="828"/>
      <c r="Q269" s="828"/>
      <c r="R269" s="828"/>
      <c r="S269" s="799">
        <f t="shared" si="48"/>
        <v>30</v>
      </c>
      <c r="T269" s="799" t="str">
        <f t="shared" si="49"/>
        <v>btg</v>
      </c>
      <c r="U269" s="799">
        <f t="shared" si="49"/>
        <v>30000</v>
      </c>
      <c r="V269" s="799">
        <f t="shared" si="50"/>
        <v>900000</v>
      </c>
    </row>
    <row r="270" spans="1:23" ht="15" customHeight="1">
      <c r="E270" s="829">
        <v>9</v>
      </c>
      <c r="F270" s="830" t="s">
        <v>2294</v>
      </c>
      <c r="G270" s="831"/>
      <c r="H270" s="832"/>
      <c r="I270" s="833">
        <v>20</v>
      </c>
      <c r="J270" s="829" t="s">
        <v>1570</v>
      </c>
      <c r="K270" s="834">
        <v>25000</v>
      </c>
      <c r="L270" s="798">
        <f t="shared" si="47"/>
        <v>500000</v>
      </c>
      <c r="M270" s="828"/>
      <c r="N270" s="828"/>
      <c r="O270" s="799"/>
      <c r="P270" s="828"/>
      <c r="Q270" s="828"/>
      <c r="R270" s="828"/>
      <c r="S270" s="799">
        <f t="shared" si="48"/>
        <v>20</v>
      </c>
      <c r="T270" s="799" t="str">
        <f t="shared" si="49"/>
        <v>btg</v>
      </c>
      <c r="U270" s="799">
        <f t="shared" si="49"/>
        <v>25000</v>
      </c>
      <c r="V270" s="799">
        <f t="shared" si="50"/>
        <v>500000</v>
      </c>
    </row>
    <row r="271" spans="1:23" ht="15" customHeight="1">
      <c r="E271" s="829"/>
      <c r="F271" s="830"/>
      <c r="G271" s="831"/>
      <c r="H271" s="832"/>
      <c r="I271" s="833"/>
      <c r="J271" s="829"/>
      <c r="K271" s="834"/>
      <c r="L271" s="835"/>
      <c r="M271" s="836"/>
      <c r="N271" s="836"/>
      <c r="O271" s="836"/>
      <c r="P271" s="836"/>
      <c r="Q271" s="836"/>
      <c r="R271" s="836"/>
      <c r="S271" s="836"/>
      <c r="T271" s="836"/>
      <c r="U271" s="836"/>
      <c r="V271" s="836"/>
    </row>
    <row r="272" spans="1:23" s="837" customFormat="1" ht="15" customHeight="1">
      <c r="A272" s="763"/>
      <c r="B272" s="763"/>
      <c r="C272" s="763"/>
      <c r="E272" s="838"/>
      <c r="F272" s="839" t="s">
        <v>2099</v>
      </c>
      <c r="G272" s="839"/>
      <c r="H272" s="839"/>
      <c r="I272" s="840"/>
      <c r="J272" s="838"/>
      <c r="K272" s="841"/>
      <c r="L272" s="841">
        <f>SUMIF($D1:$D497,$F$272,L1:L497)</f>
        <v>1582524456.1245403</v>
      </c>
      <c r="M272" s="838"/>
      <c r="N272" s="838"/>
      <c r="O272" s="841">
        <f>SUMIF($D1:$D497,$F$272,O1:O497)</f>
        <v>68685750.525032997</v>
      </c>
      <c r="P272" s="838"/>
      <c r="Q272" s="838"/>
      <c r="R272" s="841">
        <f>SUMIF($D1:$D497,$F$272,R1:R497)</f>
        <v>38803426.369282119</v>
      </c>
      <c r="S272" s="838"/>
      <c r="T272" s="838"/>
      <c r="U272" s="838"/>
      <c r="V272" s="841">
        <f>SUMIF($D1:$D497,$F$272,V1:V497)</f>
        <v>1612406780.2802913</v>
      </c>
      <c r="W272" s="842"/>
    </row>
    <row r="275" spans="12:22" ht="15" customHeight="1">
      <c r="L275" s="778"/>
      <c r="O275" s="845"/>
      <c r="V275" s="768"/>
    </row>
    <row r="277" spans="12:22" ht="15" customHeight="1">
      <c r="O277" s="845"/>
      <c r="V277" s="845"/>
    </row>
    <row r="278" spans="12:22" ht="15" customHeight="1">
      <c r="L278" s="846"/>
      <c r="O278" s="845"/>
      <c r="V278" s="845"/>
    </row>
    <row r="280" spans="12:22" ht="15" customHeight="1">
      <c r="L280" s="778"/>
      <c r="M280" s="845"/>
      <c r="O280" s="768"/>
      <c r="P280" s="768"/>
    </row>
    <row r="282" spans="12:22" ht="15" customHeight="1">
      <c r="O282" s="845"/>
    </row>
  </sheetData>
  <mergeCells count="10">
    <mergeCell ref="S5:S6"/>
    <mergeCell ref="T5:T6"/>
    <mergeCell ref="U5:U6"/>
    <mergeCell ref="V5:V6"/>
    <mergeCell ref="E4:E6"/>
    <mergeCell ref="F4:H6"/>
    <mergeCell ref="I5:I6"/>
    <mergeCell ref="J5:J6"/>
    <mergeCell ref="K5:K6"/>
    <mergeCell ref="L5:L6"/>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126A-9B93-40C5-B913-A9802163D0F8}">
  <sheetPr codeName="Sheet19"/>
  <dimension ref="A1:AR1024"/>
  <sheetViews>
    <sheetView showRowColHeaders="0" zoomScale="75" zoomScaleNormal="75" workbookViewId="0">
      <selection activeCell="B27" sqref="B27"/>
    </sheetView>
  </sheetViews>
  <sheetFormatPr defaultColWidth="12.5546875" defaultRowHeight="15" customHeight="1"/>
  <cols>
    <col min="1" max="3" width="10.6640625" style="847" customWidth="1"/>
    <col min="4" max="4" width="3.77734375" style="848" customWidth="1"/>
    <col min="5" max="5" width="4" style="848" customWidth="1"/>
    <col min="6" max="6" width="13.5546875" style="848" customWidth="1"/>
    <col min="7" max="7" width="14" style="848" customWidth="1"/>
    <col min="8" max="9" width="15.77734375" style="848" customWidth="1"/>
    <col min="10" max="37" width="4.21875" style="848" customWidth="1"/>
    <col min="38" max="38" width="10.44140625" style="848" customWidth="1"/>
    <col min="39" max="39" width="9.5546875" style="848" customWidth="1"/>
    <col min="40" max="44" width="15.77734375" style="848" customWidth="1"/>
    <col min="45" max="16384" width="12.5546875" style="848"/>
  </cols>
  <sheetData>
    <row r="1" spans="5:44" s="847" customFormat="1" ht="15" customHeight="1"/>
    <row r="2" spans="5:44" s="847" customFormat="1" ht="15" customHeight="1">
      <c r="E2" s="937" t="s">
        <v>2399</v>
      </c>
    </row>
    <row r="3" spans="5:44" s="847" customFormat="1" ht="15" customHeight="1"/>
    <row r="4" spans="5:44" ht="15" customHeight="1">
      <c r="E4" s="849" t="s">
        <v>2295</v>
      </c>
      <c r="F4" s="850"/>
      <c r="G4" s="850"/>
      <c r="H4" s="850"/>
      <c r="I4" s="850"/>
      <c r="J4" s="850"/>
      <c r="K4" s="850"/>
      <c r="L4" s="850"/>
      <c r="M4" s="850"/>
      <c r="N4" s="850"/>
      <c r="O4" s="850"/>
      <c r="P4" s="850"/>
      <c r="Q4" s="850"/>
      <c r="R4" s="850"/>
      <c r="S4" s="850"/>
      <c r="T4" s="850"/>
      <c r="U4" s="850"/>
      <c r="V4" s="850"/>
      <c r="W4" s="850"/>
      <c r="X4" s="850"/>
      <c r="Y4" s="850"/>
      <c r="Z4" s="850"/>
      <c r="AA4" s="850"/>
      <c r="AB4" s="850"/>
      <c r="AC4" s="850"/>
      <c r="AD4" s="850"/>
      <c r="AE4" s="850"/>
      <c r="AF4" s="850"/>
      <c r="AG4" s="850"/>
      <c r="AH4" s="850"/>
      <c r="AI4" s="850"/>
      <c r="AJ4" s="850"/>
      <c r="AK4" s="850"/>
      <c r="AL4" s="850"/>
      <c r="AM4" s="850"/>
      <c r="AN4" s="850"/>
      <c r="AO4" s="850"/>
      <c r="AP4" s="850"/>
      <c r="AQ4" s="850"/>
      <c r="AR4" s="850"/>
    </row>
    <row r="5" spans="5:44" ht="15" customHeight="1">
      <c r="E5" s="1224" t="s">
        <v>0</v>
      </c>
      <c r="F5" s="1224" t="s">
        <v>2296</v>
      </c>
      <c r="G5" s="1225" t="s">
        <v>2297</v>
      </c>
      <c r="H5" s="1225" t="s">
        <v>2298</v>
      </c>
      <c r="I5" s="1225" t="s">
        <v>2299</v>
      </c>
      <c r="J5" s="1223" t="str">
        <f>IF(J6="","",TEXT(J6,"[$-ID]DDDD"))</f>
        <v>Rabu</v>
      </c>
      <c r="K5" s="1222"/>
      <c r="L5" s="1223" t="str">
        <f>IF(L6="","",TEXT(L6,"[$-ID]DDDD"))</f>
        <v>Kamis</v>
      </c>
      <c r="M5" s="1222"/>
      <c r="N5" s="1223" t="str">
        <f>IF(N6="","",TEXT(N6,"[$-ID]DDDD"))</f>
        <v>Jumat</v>
      </c>
      <c r="O5" s="1222"/>
      <c r="P5" s="1223" t="str">
        <f>IF(P6="","",TEXT(P6,"[$-ID]DDDD"))</f>
        <v>Sabtu</v>
      </c>
      <c r="Q5" s="1222"/>
      <c r="R5" s="1223" t="str">
        <f>IF(R6="","",TEXT(R6,"[$-ID]DDDD"))</f>
        <v>Minggu</v>
      </c>
      <c r="S5" s="1222"/>
      <c r="T5" s="1223" t="str">
        <f>IF(T6="","",TEXT(T6,"[$-ID]DDDD"))</f>
        <v>Senin</v>
      </c>
      <c r="U5" s="1222"/>
      <c r="V5" s="1223" t="str">
        <f>IF(V6="","",TEXT(V6,"[$-ID]DDDD"))</f>
        <v>Selasa</v>
      </c>
      <c r="W5" s="1222"/>
      <c r="X5" s="1223" t="str">
        <f>IF(X6="","",TEXT(X6,"[$-ID]DDDD"))</f>
        <v>Rabu</v>
      </c>
      <c r="Y5" s="1222"/>
      <c r="Z5" s="1223" t="str">
        <f>IF(Z6="","",TEXT(Z6,"[$-ID]DDDD"))</f>
        <v>Kamis</v>
      </c>
      <c r="AA5" s="1222"/>
      <c r="AB5" s="1223" t="str">
        <f>IF(AB6="","",TEXT(AB6,"[$-ID]DDDD"))</f>
        <v>Jumat</v>
      </c>
      <c r="AC5" s="1222"/>
      <c r="AD5" s="1223" t="str">
        <f>IF(AD6="","",TEXT(AD6,"[$-ID]DDDD"))</f>
        <v>Sabtu</v>
      </c>
      <c r="AE5" s="1222"/>
      <c r="AF5" s="1223" t="str">
        <f>IF(AF6="","",TEXT(AF6,"[$-ID]DDDD"))</f>
        <v>Minggu</v>
      </c>
      <c r="AG5" s="1222"/>
      <c r="AH5" s="1223" t="str">
        <f>IF(AH6="","",TEXT(AH6,"[$-ID]DDDD"))</f>
        <v>Senin</v>
      </c>
      <c r="AI5" s="1222"/>
      <c r="AJ5" s="1223" t="str">
        <f>IF(AJ6="","",TEXT(AJ6,"[$-ID]DDDD"))</f>
        <v>Selasa</v>
      </c>
      <c r="AK5" s="1222"/>
      <c r="AL5" s="1218" t="s">
        <v>2300</v>
      </c>
      <c r="AM5" s="1218" t="s">
        <v>2301</v>
      </c>
      <c r="AN5" s="1218" t="s">
        <v>2302</v>
      </c>
      <c r="AO5" s="1218" t="s">
        <v>2303</v>
      </c>
      <c r="AP5" s="1218" t="s">
        <v>2304</v>
      </c>
      <c r="AQ5" s="1218" t="s">
        <v>2305</v>
      </c>
      <c r="AR5" s="1218" t="s">
        <v>2306</v>
      </c>
    </row>
    <row r="6" spans="5:44" ht="15" customHeight="1">
      <c r="E6" s="1219"/>
      <c r="F6" s="1219"/>
      <c r="G6" s="1219"/>
      <c r="H6" s="1219"/>
      <c r="I6" s="1219"/>
      <c r="J6" s="1221">
        <v>45805</v>
      </c>
      <c r="K6" s="1222"/>
      <c r="L6" s="1221">
        <f>J6+1</f>
        <v>45806</v>
      </c>
      <c r="M6" s="1222"/>
      <c r="N6" s="1221">
        <f>L6+1</f>
        <v>45807</v>
      </c>
      <c r="O6" s="1222"/>
      <c r="P6" s="1221">
        <f>N6+1</f>
        <v>45808</v>
      </c>
      <c r="Q6" s="1222"/>
      <c r="R6" s="1221">
        <f>P6+1</f>
        <v>45809</v>
      </c>
      <c r="S6" s="1222"/>
      <c r="T6" s="1221">
        <f>R6+1</f>
        <v>45810</v>
      </c>
      <c r="U6" s="1222"/>
      <c r="V6" s="1221">
        <f>T6+1</f>
        <v>45811</v>
      </c>
      <c r="W6" s="1222"/>
      <c r="X6" s="1221">
        <f>V6+1</f>
        <v>45812</v>
      </c>
      <c r="Y6" s="1222"/>
      <c r="Z6" s="1221">
        <f>X6+1</f>
        <v>45813</v>
      </c>
      <c r="AA6" s="1222"/>
      <c r="AB6" s="1221">
        <f>Z6+1</f>
        <v>45814</v>
      </c>
      <c r="AC6" s="1222"/>
      <c r="AD6" s="1221">
        <f>AB6+1</f>
        <v>45815</v>
      </c>
      <c r="AE6" s="1222"/>
      <c r="AF6" s="1221">
        <f>AD6+1</f>
        <v>45816</v>
      </c>
      <c r="AG6" s="1222"/>
      <c r="AH6" s="1221">
        <f>AF6+1</f>
        <v>45817</v>
      </c>
      <c r="AI6" s="1222"/>
      <c r="AJ6" s="1221">
        <f>AH6+1</f>
        <v>45818</v>
      </c>
      <c r="AK6" s="1222"/>
      <c r="AL6" s="1219"/>
      <c r="AM6" s="1219"/>
      <c r="AN6" s="1219"/>
      <c r="AO6" s="1219"/>
      <c r="AP6" s="1219"/>
      <c r="AQ6" s="1219"/>
      <c r="AR6" s="1219"/>
    </row>
    <row r="7" spans="5:44" ht="15" customHeight="1">
      <c r="E7" s="1220"/>
      <c r="F7" s="1220"/>
      <c r="G7" s="1220"/>
      <c r="H7" s="1220"/>
      <c r="I7" s="1220"/>
      <c r="J7" s="934" t="s">
        <v>2307</v>
      </c>
      <c r="K7" s="934" t="s">
        <v>438</v>
      </c>
      <c r="L7" s="934" t="s">
        <v>2307</v>
      </c>
      <c r="M7" s="934" t="s">
        <v>438</v>
      </c>
      <c r="N7" s="934" t="s">
        <v>2307</v>
      </c>
      <c r="O7" s="934" t="s">
        <v>438</v>
      </c>
      <c r="P7" s="934" t="s">
        <v>2307</v>
      </c>
      <c r="Q7" s="934" t="s">
        <v>438</v>
      </c>
      <c r="R7" s="934" t="s">
        <v>2307</v>
      </c>
      <c r="S7" s="934" t="s">
        <v>438</v>
      </c>
      <c r="T7" s="934" t="s">
        <v>2307</v>
      </c>
      <c r="U7" s="934" t="s">
        <v>438</v>
      </c>
      <c r="V7" s="934" t="s">
        <v>2307</v>
      </c>
      <c r="W7" s="934" t="s">
        <v>438</v>
      </c>
      <c r="X7" s="934" t="s">
        <v>2307</v>
      </c>
      <c r="Y7" s="934" t="s">
        <v>438</v>
      </c>
      <c r="Z7" s="934" t="s">
        <v>2307</v>
      </c>
      <c r="AA7" s="934" t="s">
        <v>438</v>
      </c>
      <c r="AB7" s="934" t="s">
        <v>2307</v>
      </c>
      <c r="AC7" s="934" t="s">
        <v>438</v>
      </c>
      <c r="AD7" s="934" t="s">
        <v>2307</v>
      </c>
      <c r="AE7" s="934" t="s">
        <v>438</v>
      </c>
      <c r="AF7" s="934" t="s">
        <v>2307</v>
      </c>
      <c r="AG7" s="934" t="s">
        <v>438</v>
      </c>
      <c r="AH7" s="934" t="s">
        <v>2307</v>
      </c>
      <c r="AI7" s="934" t="s">
        <v>438</v>
      </c>
      <c r="AJ7" s="934" t="s">
        <v>2307</v>
      </c>
      <c r="AK7" s="934" t="s">
        <v>438</v>
      </c>
      <c r="AL7" s="1220"/>
      <c r="AM7" s="1220"/>
      <c r="AN7" s="1220"/>
      <c r="AO7" s="1220"/>
      <c r="AP7" s="1220"/>
      <c r="AQ7" s="1220"/>
      <c r="AR7" s="1220"/>
    </row>
    <row r="8" spans="5:44" ht="15" customHeight="1">
      <c r="E8" s="851">
        <v>1</v>
      </c>
      <c r="F8" s="852" t="s">
        <v>2308</v>
      </c>
      <c r="G8" s="853" t="s">
        <v>232</v>
      </c>
      <c r="H8" s="853">
        <v>150000</v>
      </c>
      <c r="I8" s="853">
        <v>20000</v>
      </c>
      <c r="J8" s="851">
        <v>1</v>
      </c>
      <c r="K8" s="854">
        <v>6</v>
      </c>
      <c r="L8" s="851">
        <v>1</v>
      </c>
      <c r="M8" s="854">
        <v>3</v>
      </c>
      <c r="N8" s="851">
        <v>1</v>
      </c>
      <c r="O8" s="854">
        <v>0</v>
      </c>
      <c r="P8" s="851">
        <v>1</v>
      </c>
      <c r="Q8" s="854"/>
      <c r="R8" s="851">
        <v>1</v>
      </c>
      <c r="S8" s="854">
        <v>3</v>
      </c>
      <c r="T8" s="851">
        <v>0</v>
      </c>
      <c r="U8" s="854"/>
      <c r="V8" s="851">
        <v>1</v>
      </c>
      <c r="W8" s="854"/>
      <c r="X8" s="851">
        <v>1</v>
      </c>
      <c r="Y8" s="854"/>
      <c r="Z8" s="851">
        <v>1</v>
      </c>
      <c r="AA8" s="854"/>
      <c r="AB8" s="851">
        <v>1</v>
      </c>
      <c r="AC8" s="854"/>
      <c r="AD8" s="851">
        <v>1</v>
      </c>
      <c r="AE8" s="854"/>
      <c r="AF8" s="851">
        <v>0</v>
      </c>
      <c r="AG8" s="854"/>
      <c r="AH8" s="851">
        <v>1</v>
      </c>
      <c r="AI8" s="854"/>
      <c r="AJ8" s="851">
        <v>1</v>
      </c>
      <c r="AK8" s="854"/>
      <c r="AL8" s="851">
        <f t="shared" ref="AL8:AL34" si="0">SUMIFS(J8:AK8, $J$7:$AK$7, "H")</f>
        <v>12</v>
      </c>
      <c r="AM8" s="851">
        <f t="shared" ref="AM8:AM34" si="1">SUMIFS(J8:AK8, $J$7:$AK$7, "L")</f>
        <v>12</v>
      </c>
      <c r="AN8" s="855">
        <f t="shared" ref="AN8:AO23" si="2">H8*AL8</f>
        <v>1800000</v>
      </c>
      <c r="AO8" s="855">
        <f t="shared" si="2"/>
        <v>240000</v>
      </c>
      <c r="AP8" s="855">
        <f t="shared" ref="AP8:AP34" si="3">AN8+AO8</f>
        <v>2040000</v>
      </c>
      <c r="AQ8" s="853">
        <v>55000</v>
      </c>
      <c r="AR8" s="853">
        <f t="shared" ref="AR8:AR34" si="4">AP8-AQ8</f>
        <v>1985000</v>
      </c>
    </row>
    <row r="9" spans="5:44" ht="15" customHeight="1">
      <c r="E9" s="851">
        <f t="shared" ref="E9:E34" si="5">1+E8</f>
        <v>2</v>
      </c>
      <c r="F9" s="852" t="s">
        <v>2309</v>
      </c>
      <c r="G9" s="853" t="s">
        <v>2310</v>
      </c>
      <c r="H9" s="853">
        <v>100000</v>
      </c>
      <c r="I9" s="853">
        <v>15000</v>
      </c>
      <c r="J9" s="851"/>
      <c r="K9" s="854"/>
      <c r="L9" s="851"/>
      <c r="M9" s="854"/>
      <c r="N9" s="851"/>
      <c r="O9" s="854"/>
      <c r="P9" s="851"/>
      <c r="Q9" s="854"/>
      <c r="R9" s="851"/>
      <c r="S9" s="854"/>
      <c r="T9" s="851"/>
      <c r="U9" s="854"/>
      <c r="V9" s="851"/>
      <c r="W9" s="854"/>
      <c r="X9" s="851"/>
      <c r="Y9" s="854"/>
      <c r="Z9" s="851"/>
      <c r="AA9" s="854"/>
      <c r="AB9" s="851"/>
      <c r="AC9" s="854"/>
      <c r="AD9" s="851"/>
      <c r="AE9" s="854"/>
      <c r="AF9" s="851"/>
      <c r="AG9" s="854"/>
      <c r="AH9" s="851"/>
      <c r="AI9" s="854"/>
      <c r="AJ9" s="851"/>
      <c r="AK9" s="854"/>
      <c r="AL9" s="851">
        <f t="shared" si="0"/>
        <v>0</v>
      </c>
      <c r="AM9" s="851">
        <f t="shared" si="1"/>
        <v>0</v>
      </c>
      <c r="AN9" s="855">
        <f t="shared" si="2"/>
        <v>0</v>
      </c>
      <c r="AO9" s="855">
        <f t="shared" si="2"/>
        <v>0</v>
      </c>
      <c r="AP9" s="855">
        <f t="shared" si="3"/>
        <v>0</v>
      </c>
      <c r="AQ9" s="853">
        <v>1000000</v>
      </c>
      <c r="AR9" s="853">
        <f t="shared" si="4"/>
        <v>-1000000</v>
      </c>
    </row>
    <row r="10" spans="5:44" ht="15" customHeight="1">
      <c r="E10" s="851">
        <f t="shared" si="5"/>
        <v>3</v>
      </c>
      <c r="F10" s="852" t="s">
        <v>2311</v>
      </c>
      <c r="G10" s="853" t="s">
        <v>2310</v>
      </c>
      <c r="H10" s="853">
        <v>100000</v>
      </c>
      <c r="I10" s="853">
        <v>15000</v>
      </c>
      <c r="J10" s="851">
        <v>0</v>
      </c>
      <c r="K10" s="854"/>
      <c r="L10" s="851">
        <v>0.5</v>
      </c>
      <c r="M10" s="854">
        <v>2</v>
      </c>
      <c r="N10" s="851"/>
      <c r="O10" s="854"/>
      <c r="P10" s="851"/>
      <c r="Q10" s="854"/>
      <c r="R10" s="851"/>
      <c r="S10" s="854"/>
      <c r="T10" s="851"/>
      <c r="U10" s="854"/>
      <c r="V10" s="851"/>
      <c r="W10" s="854"/>
      <c r="X10" s="851"/>
      <c r="Y10" s="854"/>
      <c r="Z10" s="851"/>
      <c r="AA10" s="854"/>
      <c r="AB10" s="851"/>
      <c r="AC10" s="854"/>
      <c r="AD10" s="851"/>
      <c r="AE10" s="854"/>
      <c r="AF10" s="851"/>
      <c r="AG10" s="854"/>
      <c r="AH10" s="851"/>
      <c r="AI10" s="854"/>
      <c r="AJ10" s="851"/>
      <c r="AK10" s="854"/>
      <c r="AL10" s="851">
        <f t="shared" si="0"/>
        <v>0.5</v>
      </c>
      <c r="AM10" s="851">
        <f t="shared" si="1"/>
        <v>2</v>
      </c>
      <c r="AN10" s="855">
        <f t="shared" si="2"/>
        <v>50000</v>
      </c>
      <c r="AO10" s="855">
        <f t="shared" si="2"/>
        <v>30000</v>
      </c>
      <c r="AP10" s="855">
        <f t="shared" si="3"/>
        <v>80000</v>
      </c>
      <c r="AQ10" s="853">
        <v>0</v>
      </c>
      <c r="AR10" s="853">
        <f t="shared" si="4"/>
        <v>80000</v>
      </c>
    </row>
    <row r="11" spans="5:44" ht="15" customHeight="1">
      <c r="E11" s="851">
        <f t="shared" si="5"/>
        <v>4</v>
      </c>
      <c r="F11" s="852" t="s">
        <v>2312</v>
      </c>
      <c r="G11" s="853" t="s">
        <v>2310</v>
      </c>
      <c r="H11" s="853">
        <v>100000</v>
      </c>
      <c r="I11" s="853">
        <v>15000</v>
      </c>
      <c r="J11" s="851"/>
      <c r="K11" s="854"/>
      <c r="L11" s="851"/>
      <c r="M11" s="854"/>
      <c r="N11" s="851"/>
      <c r="O11" s="854"/>
      <c r="P11" s="851"/>
      <c r="Q11" s="854"/>
      <c r="R11" s="851"/>
      <c r="S11" s="854"/>
      <c r="T11" s="851"/>
      <c r="U11" s="854"/>
      <c r="V11" s="851"/>
      <c r="W11" s="854"/>
      <c r="X11" s="851"/>
      <c r="Y11" s="854"/>
      <c r="Z11" s="851"/>
      <c r="AA11" s="854"/>
      <c r="AB11" s="851"/>
      <c r="AC11" s="854"/>
      <c r="AD11" s="851"/>
      <c r="AE11" s="854"/>
      <c r="AF11" s="851"/>
      <c r="AG11" s="854"/>
      <c r="AH11" s="851"/>
      <c r="AI11" s="854"/>
      <c r="AJ11" s="851"/>
      <c r="AK11" s="854"/>
      <c r="AL11" s="851">
        <f t="shared" si="0"/>
        <v>0</v>
      </c>
      <c r="AM11" s="851">
        <f t="shared" si="1"/>
        <v>0</v>
      </c>
      <c r="AN11" s="855">
        <f t="shared" si="2"/>
        <v>0</v>
      </c>
      <c r="AO11" s="855">
        <f t="shared" si="2"/>
        <v>0</v>
      </c>
      <c r="AP11" s="855">
        <f t="shared" si="3"/>
        <v>0</v>
      </c>
      <c r="AQ11" s="853">
        <v>0</v>
      </c>
      <c r="AR11" s="853">
        <f t="shared" si="4"/>
        <v>0</v>
      </c>
    </row>
    <row r="12" spans="5:44" ht="15" customHeight="1">
      <c r="E12" s="851">
        <f t="shared" si="5"/>
        <v>5</v>
      </c>
      <c r="F12" s="852" t="s">
        <v>2313</v>
      </c>
      <c r="G12" s="853" t="s">
        <v>258</v>
      </c>
      <c r="H12" s="853"/>
      <c r="I12" s="853"/>
      <c r="J12" s="851"/>
      <c r="K12" s="854"/>
      <c r="L12" s="851"/>
      <c r="M12" s="854"/>
      <c r="N12" s="851"/>
      <c r="O12" s="854"/>
      <c r="P12" s="851"/>
      <c r="Q12" s="854"/>
      <c r="R12" s="851"/>
      <c r="S12" s="854"/>
      <c r="T12" s="851"/>
      <c r="U12" s="854"/>
      <c r="V12" s="851"/>
      <c r="W12" s="854"/>
      <c r="X12" s="851"/>
      <c r="Y12" s="854"/>
      <c r="Z12" s="851"/>
      <c r="AA12" s="854"/>
      <c r="AB12" s="851"/>
      <c r="AC12" s="854"/>
      <c r="AD12" s="851"/>
      <c r="AE12" s="854"/>
      <c r="AF12" s="851"/>
      <c r="AG12" s="854"/>
      <c r="AH12" s="851"/>
      <c r="AI12" s="854"/>
      <c r="AJ12" s="851"/>
      <c r="AK12" s="854"/>
      <c r="AL12" s="851">
        <f t="shared" si="0"/>
        <v>0</v>
      </c>
      <c r="AM12" s="851">
        <f t="shared" si="1"/>
        <v>0</v>
      </c>
      <c r="AN12" s="855">
        <f t="shared" si="2"/>
        <v>0</v>
      </c>
      <c r="AO12" s="855">
        <f t="shared" si="2"/>
        <v>0</v>
      </c>
      <c r="AP12" s="855">
        <f t="shared" si="3"/>
        <v>0</v>
      </c>
      <c r="AQ12" s="853">
        <v>0</v>
      </c>
      <c r="AR12" s="853">
        <f t="shared" si="4"/>
        <v>0</v>
      </c>
    </row>
    <row r="13" spans="5:44" ht="15" customHeight="1">
      <c r="E13" s="851">
        <f t="shared" si="5"/>
        <v>6</v>
      </c>
      <c r="F13" s="852"/>
      <c r="G13" s="853"/>
      <c r="H13" s="853"/>
      <c r="I13" s="853"/>
      <c r="J13" s="851"/>
      <c r="K13" s="854"/>
      <c r="L13" s="851"/>
      <c r="M13" s="854"/>
      <c r="N13" s="851"/>
      <c r="O13" s="854"/>
      <c r="P13" s="851"/>
      <c r="Q13" s="854"/>
      <c r="R13" s="851"/>
      <c r="S13" s="854"/>
      <c r="T13" s="851"/>
      <c r="U13" s="854"/>
      <c r="V13" s="851"/>
      <c r="W13" s="854"/>
      <c r="X13" s="851"/>
      <c r="Y13" s="854"/>
      <c r="Z13" s="851"/>
      <c r="AA13" s="854"/>
      <c r="AB13" s="851"/>
      <c r="AC13" s="854"/>
      <c r="AD13" s="851"/>
      <c r="AE13" s="854"/>
      <c r="AF13" s="851"/>
      <c r="AG13" s="854"/>
      <c r="AH13" s="851"/>
      <c r="AI13" s="854"/>
      <c r="AJ13" s="851"/>
      <c r="AK13" s="854"/>
      <c r="AL13" s="851">
        <f t="shared" si="0"/>
        <v>0</v>
      </c>
      <c r="AM13" s="851">
        <f t="shared" si="1"/>
        <v>0</v>
      </c>
      <c r="AN13" s="855">
        <f t="shared" si="2"/>
        <v>0</v>
      </c>
      <c r="AO13" s="855">
        <f t="shared" si="2"/>
        <v>0</v>
      </c>
      <c r="AP13" s="855">
        <f t="shared" si="3"/>
        <v>0</v>
      </c>
      <c r="AQ13" s="853" t="s">
        <v>2111</v>
      </c>
      <c r="AR13" s="853" t="e">
        <f t="shared" si="4"/>
        <v>#VALUE!</v>
      </c>
    </row>
    <row r="14" spans="5:44" ht="15" customHeight="1">
      <c r="E14" s="851">
        <f t="shared" si="5"/>
        <v>7</v>
      </c>
      <c r="F14" s="852"/>
      <c r="G14" s="853"/>
      <c r="H14" s="853"/>
      <c r="I14" s="853"/>
      <c r="J14" s="851"/>
      <c r="K14" s="854"/>
      <c r="L14" s="851"/>
      <c r="M14" s="854"/>
      <c r="N14" s="851"/>
      <c r="O14" s="854"/>
      <c r="P14" s="851"/>
      <c r="Q14" s="854"/>
      <c r="R14" s="851"/>
      <c r="S14" s="854"/>
      <c r="T14" s="851"/>
      <c r="U14" s="854"/>
      <c r="V14" s="851"/>
      <c r="W14" s="854"/>
      <c r="X14" s="851"/>
      <c r="Y14" s="854"/>
      <c r="Z14" s="851"/>
      <c r="AA14" s="854"/>
      <c r="AB14" s="851"/>
      <c r="AC14" s="854"/>
      <c r="AD14" s="851"/>
      <c r="AE14" s="854"/>
      <c r="AF14" s="851"/>
      <c r="AG14" s="854"/>
      <c r="AH14" s="851"/>
      <c r="AI14" s="854"/>
      <c r="AJ14" s="851"/>
      <c r="AK14" s="854"/>
      <c r="AL14" s="851">
        <f t="shared" si="0"/>
        <v>0</v>
      </c>
      <c r="AM14" s="851">
        <f t="shared" si="1"/>
        <v>0</v>
      </c>
      <c r="AN14" s="855">
        <f t="shared" si="2"/>
        <v>0</v>
      </c>
      <c r="AO14" s="855">
        <f t="shared" si="2"/>
        <v>0</v>
      </c>
      <c r="AP14" s="855">
        <f t="shared" si="3"/>
        <v>0</v>
      </c>
      <c r="AQ14" s="853" t="s">
        <v>2111</v>
      </c>
      <c r="AR14" s="853" t="e">
        <f t="shared" si="4"/>
        <v>#VALUE!</v>
      </c>
    </row>
    <row r="15" spans="5:44" ht="15" customHeight="1">
      <c r="E15" s="851">
        <f t="shared" si="5"/>
        <v>8</v>
      </c>
      <c r="F15" s="852"/>
      <c r="G15" s="853"/>
      <c r="H15" s="853"/>
      <c r="I15" s="853"/>
      <c r="J15" s="851"/>
      <c r="K15" s="854"/>
      <c r="L15" s="851"/>
      <c r="M15" s="854"/>
      <c r="N15" s="851"/>
      <c r="O15" s="854"/>
      <c r="P15" s="851"/>
      <c r="Q15" s="854"/>
      <c r="R15" s="851"/>
      <c r="S15" s="854"/>
      <c r="T15" s="851"/>
      <c r="U15" s="854"/>
      <c r="V15" s="851"/>
      <c r="W15" s="854"/>
      <c r="X15" s="851"/>
      <c r="Y15" s="854"/>
      <c r="Z15" s="851"/>
      <c r="AA15" s="854"/>
      <c r="AB15" s="851"/>
      <c r="AC15" s="854"/>
      <c r="AD15" s="851"/>
      <c r="AE15" s="854"/>
      <c r="AF15" s="851"/>
      <c r="AG15" s="854"/>
      <c r="AH15" s="851"/>
      <c r="AI15" s="854"/>
      <c r="AJ15" s="851"/>
      <c r="AK15" s="854"/>
      <c r="AL15" s="851">
        <f t="shared" si="0"/>
        <v>0</v>
      </c>
      <c r="AM15" s="851">
        <f t="shared" si="1"/>
        <v>0</v>
      </c>
      <c r="AN15" s="855">
        <f t="shared" si="2"/>
        <v>0</v>
      </c>
      <c r="AO15" s="855">
        <f t="shared" si="2"/>
        <v>0</v>
      </c>
      <c r="AP15" s="855">
        <f t="shared" si="3"/>
        <v>0</v>
      </c>
      <c r="AQ15" s="853" t="s">
        <v>2111</v>
      </c>
      <c r="AR15" s="853" t="e">
        <f t="shared" si="4"/>
        <v>#VALUE!</v>
      </c>
    </row>
    <row r="16" spans="5:44" ht="15" customHeight="1">
      <c r="E16" s="851">
        <f t="shared" si="5"/>
        <v>9</v>
      </c>
      <c r="F16" s="852"/>
      <c r="G16" s="853"/>
      <c r="H16" s="853"/>
      <c r="I16" s="853"/>
      <c r="J16" s="851"/>
      <c r="K16" s="854"/>
      <c r="L16" s="851"/>
      <c r="M16" s="854"/>
      <c r="N16" s="851"/>
      <c r="O16" s="854"/>
      <c r="P16" s="851"/>
      <c r="Q16" s="854"/>
      <c r="R16" s="851"/>
      <c r="S16" s="854"/>
      <c r="T16" s="851"/>
      <c r="U16" s="854"/>
      <c r="V16" s="851"/>
      <c r="W16" s="854"/>
      <c r="X16" s="851"/>
      <c r="Y16" s="854"/>
      <c r="Z16" s="851"/>
      <c r="AA16" s="854"/>
      <c r="AB16" s="851"/>
      <c r="AC16" s="854"/>
      <c r="AD16" s="851"/>
      <c r="AE16" s="854"/>
      <c r="AF16" s="851"/>
      <c r="AG16" s="854"/>
      <c r="AH16" s="851"/>
      <c r="AI16" s="854"/>
      <c r="AJ16" s="851"/>
      <c r="AK16" s="854"/>
      <c r="AL16" s="851">
        <f t="shared" si="0"/>
        <v>0</v>
      </c>
      <c r="AM16" s="851">
        <f t="shared" si="1"/>
        <v>0</v>
      </c>
      <c r="AN16" s="855">
        <f t="shared" si="2"/>
        <v>0</v>
      </c>
      <c r="AO16" s="855">
        <f t="shared" si="2"/>
        <v>0</v>
      </c>
      <c r="AP16" s="855">
        <f t="shared" si="3"/>
        <v>0</v>
      </c>
      <c r="AQ16" s="853" t="s">
        <v>2111</v>
      </c>
      <c r="AR16" s="853" t="e">
        <f t="shared" si="4"/>
        <v>#VALUE!</v>
      </c>
    </row>
    <row r="17" spans="5:44" ht="15" customHeight="1">
      <c r="E17" s="851">
        <f t="shared" si="5"/>
        <v>10</v>
      </c>
      <c r="F17" s="852"/>
      <c r="G17" s="853"/>
      <c r="H17" s="853"/>
      <c r="I17" s="853"/>
      <c r="J17" s="851"/>
      <c r="K17" s="854"/>
      <c r="L17" s="851"/>
      <c r="M17" s="854"/>
      <c r="N17" s="851"/>
      <c r="O17" s="854"/>
      <c r="P17" s="851"/>
      <c r="Q17" s="854"/>
      <c r="R17" s="851"/>
      <c r="S17" s="854"/>
      <c r="T17" s="851"/>
      <c r="U17" s="854"/>
      <c r="V17" s="851"/>
      <c r="W17" s="854"/>
      <c r="X17" s="851"/>
      <c r="Y17" s="854"/>
      <c r="Z17" s="851"/>
      <c r="AA17" s="854"/>
      <c r="AB17" s="851"/>
      <c r="AC17" s="854"/>
      <c r="AD17" s="851"/>
      <c r="AE17" s="854"/>
      <c r="AF17" s="851"/>
      <c r="AG17" s="854"/>
      <c r="AH17" s="851"/>
      <c r="AI17" s="854"/>
      <c r="AJ17" s="851"/>
      <c r="AK17" s="854"/>
      <c r="AL17" s="851">
        <f t="shared" si="0"/>
        <v>0</v>
      </c>
      <c r="AM17" s="851">
        <f t="shared" si="1"/>
        <v>0</v>
      </c>
      <c r="AN17" s="855">
        <f t="shared" si="2"/>
        <v>0</v>
      </c>
      <c r="AO17" s="855">
        <f t="shared" si="2"/>
        <v>0</v>
      </c>
      <c r="AP17" s="855">
        <f t="shared" si="3"/>
        <v>0</v>
      </c>
      <c r="AQ17" s="853" t="s">
        <v>2111</v>
      </c>
      <c r="AR17" s="853" t="e">
        <f t="shared" si="4"/>
        <v>#VALUE!</v>
      </c>
    </row>
    <row r="18" spans="5:44" ht="15" customHeight="1">
      <c r="E18" s="851">
        <f t="shared" si="5"/>
        <v>11</v>
      </c>
      <c r="F18" s="852"/>
      <c r="G18" s="853"/>
      <c r="H18" s="853"/>
      <c r="I18" s="853"/>
      <c r="J18" s="851"/>
      <c r="K18" s="854"/>
      <c r="L18" s="851"/>
      <c r="M18" s="854"/>
      <c r="N18" s="851"/>
      <c r="O18" s="854"/>
      <c r="P18" s="851"/>
      <c r="Q18" s="854"/>
      <c r="R18" s="851"/>
      <c r="S18" s="854"/>
      <c r="T18" s="851"/>
      <c r="U18" s="854"/>
      <c r="V18" s="851"/>
      <c r="W18" s="854"/>
      <c r="X18" s="851"/>
      <c r="Y18" s="854"/>
      <c r="Z18" s="851"/>
      <c r="AA18" s="854"/>
      <c r="AB18" s="851"/>
      <c r="AC18" s="854"/>
      <c r="AD18" s="851"/>
      <c r="AE18" s="854"/>
      <c r="AF18" s="851"/>
      <c r="AG18" s="854"/>
      <c r="AH18" s="851"/>
      <c r="AI18" s="854"/>
      <c r="AJ18" s="851"/>
      <c r="AK18" s="854"/>
      <c r="AL18" s="851">
        <f t="shared" si="0"/>
        <v>0</v>
      </c>
      <c r="AM18" s="851">
        <f t="shared" si="1"/>
        <v>0</v>
      </c>
      <c r="AN18" s="855">
        <f t="shared" si="2"/>
        <v>0</v>
      </c>
      <c r="AO18" s="855">
        <f t="shared" si="2"/>
        <v>0</v>
      </c>
      <c r="AP18" s="855">
        <f t="shared" si="3"/>
        <v>0</v>
      </c>
      <c r="AQ18" s="853" t="s">
        <v>2111</v>
      </c>
      <c r="AR18" s="853" t="e">
        <f t="shared" si="4"/>
        <v>#VALUE!</v>
      </c>
    </row>
    <row r="19" spans="5:44" ht="15" customHeight="1">
      <c r="E19" s="851">
        <f t="shared" si="5"/>
        <v>12</v>
      </c>
      <c r="F19" s="852"/>
      <c r="G19" s="853"/>
      <c r="H19" s="853"/>
      <c r="I19" s="853"/>
      <c r="J19" s="851"/>
      <c r="K19" s="854"/>
      <c r="L19" s="851"/>
      <c r="M19" s="854"/>
      <c r="N19" s="851"/>
      <c r="O19" s="854"/>
      <c r="P19" s="851"/>
      <c r="Q19" s="854"/>
      <c r="R19" s="851"/>
      <c r="S19" s="854"/>
      <c r="T19" s="851"/>
      <c r="U19" s="854"/>
      <c r="V19" s="851"/>
      <c r="W19" s="854"/>
      <c r="X19" s="851"/>
      <c r="Y19" s="854"/>
      <c r="Z19" s="851"/>
      <c r="AA19" s="854"/>
      <c r="AB19" s="851"/>
      <c r="AC19" s="854"/>
      <c r="AD19" s="851"/>
      <c r="AE19" s="854"/>
      <c r="AF19" s="851"/>
      <c r="AG19" s="854"/>
      <c r="AH19" s="851"/>
      <c r="AI19" s="854"/>
      <c r="AJ19" s="851"/>
      <c r="AK19" s="854"/>
      <c r="AL19" s="851">
        <f t="shared" si="0"/>
        <v>0</v>
      </c>
      <c r="AM19" s="851">
        <f t="shared" si="1"/>
        <v>0</v>
      </c>
      <c r="AN19" s="855">
        <f t="shared" si="2"/>
        <v>0</v>
      </c>
      <c r="AO19" s="855">
        <f t="shared" si="2"/>
        <v>0</v>
      </c>
      <c r="AP19" s="855">
        <f t="shared" si="3"/>
        <v>0</v>
      </c>
      <c r="AQ19" s="853" t="s">
        <v>2111</v>
      </c>
      <c r="AR19" s="853" t="e">
        <f t="shared" si="4"/>
        <v>#VALUE!</v>
      </c>
    </row>
    <row r="20" spans="5:44" ht="15" customHeight="1">
      <c r="E20" s="851">
        <f t="shared" si="5"/>
        <v>13</v>
      </c>
      <c r="F20" s="852"/>
      <c r="G20" s="853"/>
      <c r="H20" s="853"/>
      <c r="I20" s="853"/>
      <c r="J20" s="851"/>
      <c r="K20" s="854"/>
      <c r="L20" s="851"/>
      <c r="M20" s="854"/>
      <c r="N20" s="851"/>
      <c r="O20" s="854"/>
      <c r="P20" s="851"/>
      <c r="Q20" s="854"/>
      <c r="R20" s="851"/>
      <c r="S20" s="854"/>
      <c r="T20" s="851"/>
      <c r="U20" s="854"/>
      <c r="V20" s="851"/>
      <c r="W20" s="854"/>
      <c r="X20" s="851"/>
      <c r="Y20" s="854"/>
      <c r="Z20" s="851"/>
      <c r="AA20" s="854"/>
      <c r="AB20" s="851"/>
      <c r="AC20" s="854"/>
      <c r="AD20" s="851"/>
      <c r="AE20" s="854"/>
      <c r="AF20" s="851"/>
      <c r="AG20" s="854"/>
      <c r="AH20" s="851"/>
      <c r="AI20" s="854"/>
      <c r="AJ20" s="851"/>
      <c r="AK20" s="854"/>
      <c r="AL20" s="851">
        <f t="shared" si="0"/>
        <v>0</v>
      </c>
      <c r="AM20" s="851">
        <f t="shared" si="1"/>
        <v>0</v>
      </c>
      <c r="AN20" s="855">
        <f t="shared" si="2"/>
        <v>0</v>
      </c>
      <c r="AO20" s="855">
        <f t="shared" si="2"/>
        <v>0</v>
      </c>
      <c r="AP20" s="855">
        <f t="shared" si="3"/>
        <v>0</v>
      </c>
      <c r="AQ20" s="853" t="s">
        <v>2111</v>
      </c>
      <c r="AR20" s="853" t="e">
        <f t="shared" si="4"/>
        <v>#VALUE!</v>
      </c>
    </row>
    <row r="21" spans="5:44" ht="15" customHeight="1">
      <c r="E21" s="851">
        <f t="shared" si="5"/>
        <v>14</v>
      </c>
      <c r="F21" s="852"/>
      <c r="G21" s="853"/>
      <c r="H21" s="853"/>
      <c r="I21" s="853"/>
      <c r="J21" s="851"/>
      <c r="K21" s="854"/>
      <c r="L21" s="851"/>
      <c r="M21" s="854"/>
      <c r="N21" s="851"/>
      <c r="O21" s="854"/>
      <c r="P21" s="851"/>
      <c r="Q21" s="854"/>
      <c r="R21" s="851"/>
      <c r="S21" s="854"/>
      <c r="T21" s="851"/>
      <c r="U21" s="854"/>
      <c r="V21" s="851"/>
      <c r="W21" s="854"/>
      <c r="X21" s="851"/>
      <c r="Y21" s="854"/>
      <c r="Z21" s="851"/>
      <c r="AA21" s="854"/>
      <c r="AB21" s="851"/>
      <c r="AC21" s="854"/>
      <c r="AD21" s="851"/>
      <c r="AE21" s="854"/>
      <c r="AF21" s="851"/>
      <c r="AG21" s="854"/>
      <c r="AH21" s="851"/>
      <c r="AI21" s="854"/>
      <c r="AJ21" s="851"/>
      <c r="AK21" s="854"/>
      <c r="AL21" s="851">
        <f t="shared" si="0"/>
        <v>0</v>
      </c>
      <c r="AM21" s="851">
        <f t="shared" si="1"/>
        <v>0</v>
      </c>
      <c r="AN21" s="855">
        <f t="shared" si="2"/>
        <v>0</v>
      </c>
      <c r="AO21" s="855">
        <f t="shared" si="2"/>
        <v>0</v>
      </c>
      <c r="AP21" s="855">
        <f t="shared" si="3"/>
        <v>0</v>
      </c>
      <c r="AQ21" s="853" t="s">
        <v>2111</v>
      </c>
      <c r="AR21" s="853" t="e">
        <f t="shared" si="4"/>
        <v>#VALUE!</v>
      </c>
    </row>
    <row r="22" spans="5:44" ht="15" customHeight="1">
      <c r="E22" s="851">
        <f t="shared" si="5"/>
        <v>15</v>
      </c>
      <c r="F22" s="852"/>
      <c r="G22" s="853"/>
      <c r="H22" s="853"/>
      <c r="I22" s="853"/>
      <c r="J22" s="851"/>
      <c r="K22" s="854"/>
      <c r="L22" s="851"/>
      <c r="M22" s="854"/>
      <c r="N22" s="851"/>
      <c r="O22" s="854"/>
      <c r="P22" s="851"/>
      <c r="Q22" s="854"/>
      <c r="R22" s="851"/>
      <c r="S22" s="854"/>
      <c r="T22" s="851"/>
      <c r="U22" s="854"/>
      <c r="V22" s="851"/>
      <c r="W22" s="854"/>
      <c r="X22" s="851"/>
      <c r="Y22" s="854"/>
      <c r="Z22" s="851"/>
      <c r="AA22" s="854"/>
      <c r="AB22" s="851"/>
      <c r="AC22" s="854"/>
      <c r="AD22" s="851"/>
      <c r="AE22" s="854"/>
      <c r="AF22" s="851"/>
      <c r="AG22" s="854"/>
      <c r="AH22" s="851"/>
      <c r="AI22" s="854"/>
      <c r="AJ22" s="851"/>
      <c r="AK22" s="854"/>
      <c r="AL22" s="851">
        <f t="shared" si="0"/>
        <v>0</v>
      </c>
      <c r="AM22" s="851">
        <f t="shared" si="1"/>
        <v>0</v>
      </c>
      <c r="AN22" s="855">
        <f t="shared" si="2"/>
        <v>0</v>
      </c>
      <c r="AO22" s="855">
        <f t="shared" si="2"/>
        <v>0</v>
      </c>
      <c r="AP22" s="855">
        <f t="shared" si="3"/>
        <v>0</v>
      </c>
      <c r="AQ22" s="853" t="s">
        <v>2111</v>
      </c>
      <c r="AR22" s="853" t="e">
        <f t="shared" si="4"/>
        <v>#VALUE!</v>
      </c>
    </row>
    <row r="23" spans="5:44" ht="15" customHeight="1">
      <c r="E23" s="851">
        <f t="shared" si="5"/>
        <v>16</v>
      </c>
      <c r="F23" s="852"/>
      <c r="G23" s="853"/>
      <c r="H23" s="853"/>
      <c r="I23" s="853"/>
      <c r="J23" s="851"/>
      <c r="K23" s="854"/>
      <c r="L23" s="851"/>
      <c r="M23" s="854"/>
      <c r="N23" s="851"/>
      <c r="O23" s="854"/>
      <c r="P23" s="851"/>
      <c r="Q23" s="854"/>
      <c r="R23" s="851"/>
      <c r="S23" s="854"/>
      <c r="T23" s="851"/>
      <c r="U23" s="854"/>
      <c r="V23" s="851"/>
      <c r="W23" s="854"/>
      <c r="X23" s="851"/>
      <c r="Y23" s="854"/>
      <c r="Z23" s="851"/>
      <c r="AA23" s="854"/>
      <c r="AB23" s="851"/>
      <c r="AC23" s="854"/>
      <c r="AD23" s="851"/>
      <c r="AE23" s="854"/>
      <c r="AF23" s="851"/>
      <c r="AG23" s="854"/>
      <c r="AH23" s="851"/>
      <c r="AI23" s="854"/>
      <c r="AJ23" s="851"/>
      <c r="AK23" s="854"/>
      <c r="AL23" s="851">
        <f t="shared" si="0"/>
        <v>0</v>
      </c>
      <c r="AM23" s="851">
        <f t="shared" si="1"/>
        <v>0</v>
      </c>
      <c r="AN23" s="855">
        <f t="shared" si="2"/>
        <v>0</v>
      </c>
      <c r="AO23" s="855">
        <f t="shared" si="2"/>
        <v>0</v>
      </c>
      <c r="AP23" s="855">
        <f t="shared" si="3"/>
        <v>0</v>
      </c>
      <c r="AQ23" s="853" t="s">
        <v>2111</v>
      </c>
      <c r="AR23" s="853" t="e">
        <f t="shared" si="4"/>
        <v>#VALUE!</v>
      </c>
    </row>
    <row r="24" spans="5:44" ht="15" customHeight="1">
      <c r="E24" s="851">
        <f t="shared" si="5"/>
        <v>17</v>
      </c>
      <c r="F24" s="852"/>
      <c r="G24" s="853"/>
      <c r="H24" s="853"/>
      <c r="I24" s="853"/>
      <c r="J24" s="851"/>
      <c r="K24" s="854"/>
      <c r="L24" s="851"/>
      <c r="M24" s="854"/>
      <c r="N24" s="851"/>
      <c r="O24" s="854"/>
      <c r="P24" s="851"/>
      <c r="Q24" s="854"/>
      <c r="R24" s="851"/>
      <c r="S24" s="854"/>
      <c r="T24" s="851"/>
      <c r="U24" s="854"/>
      <c r="V24" s="851"/>
      <c r="W24" s="854"/>
      <c r="X24" s="851"/>
      <c r="Y24" s="854"/>
      <c r="Z24" s="851"/>
      <c r="AA24" s="854"/>
      <c r="AB24" s="851"/>
      <c r="AC24" s="854"/>
      <c r="AD24" s="851"/>
      <c r="AE24" s="854"/>
      <c r="AF24" s="851"/>
      <c r="AG24" s="854"/>
      <c r="AH24" s="851"/>
      <c r="AI24" s="854"/>
      <c r="AJ24" s="851"/>
      <c r="AK24" s="854"/>
      <c r="AL24" s="851">
        <f t="shared" si="0"/>
        <v>0</v>
      </c>
      <c r="AM24" s="851">
        <f t="shared" si="1"/>
        <v>0</v>
      </c>
      <c r="AN24" s="855">
        <f t="shared" ref="AN24:AO34" si="6">H24*AL24</f>
        <v>0</v>
      </c>
      <c r="AO24" s="855">
        <f t="shared" si="6"/>
        <v>0</v>
      </c>
      <c r="AP24" s="855">
        <f t="shared" si="3"/>
        <v>0</v>
      </c>
      <c r="AQ24" s="853" t="s">
        <v>2111</v>
      </c>
      <c r="AR24" s="853" t="e">
        <f t="shared" si="4"/>
        <v>#VALUE!</v>
      </c>
    </row>
    <row r="25" spans="5:44" ht="15" customHeight="1">
      <c r="E25" s="851">
        <f t="shared" si="5"/>
        <v>18</v>
      </c>
      <c r="F25" s="852"/>
      <c r="G25" s="853"/>
      <c r="H25" s="853"/>
      <c r="I25" s="853"/>
      <c r="J25" s="851"/>
      <c r="K25" s="854"/>
      <c r="L25" s="851"/>
      <c r="M25" s="854"/>
      <c r="N25" s="851"/>
      <c r="O25" s="854"/>
      <c r="P25" s="851"/>
      <c r="Q25" s="854"/>
      <c r="R25" s="851"/>
      <c r="S25" s="854"/>
      <c r="T25" s="851"/>
      <c r="U25" s="854"/>
      <c r="V25" s="851"/>
      <c r="W25" s="854"/>
      <c r="X25" s="851"/>
      <c r="Y25" s="854"/>
      <c r="Z25" s="851"/>
      <c r="AA25" s="854"/>
      <c r="AB25" s="851"/>
      <c r="AC25" s="854"/>
      <c r="AD25" s="851"/>
      <c r="AE25" s="854"/>
      <c r="AF25" s="851"/>
      <c r="AG25" s="854"/>
      <c r="AH25" s="851"/>
      <c r="AI25" s="854"/>
      <c r="AJ25" s="851"/>
      <c r="AK25" s="854"/>
      <c r="AL25" s="851">
        <f t="shared" si="0"/>
        <v>0</v>
      </c>
      <c r="AM25" s="851">
        <f t="shared" si="1"/>
        <v>0</v>
      </c>
      <c r="AN25" s="855">
        <f t="shared" si="6"/>
        <v>0</v>
      </c>
      <c r="AO25" s="855">
        <f t="shared" si="6"/>
        <v>0</v>
      </c>
      <c r="AP25" s="855">
        <f t="shared" si="3"/>
        <v>0</v>
      </c>
      <c r="AQ25" s="853" t="s">
        <v>2111</v>
      </c>
      <c r="AR25" s="853" t="e">
        <f t="shared" si="4"/>
        <v>#VALUE!</v>
      </c>
    </row>
    <row r="26" spans="5:44" ht="15" customHeight="1">
      <c r="E26" s="851">
        <f t="shared" si="5"/>
        <v>19</v>
      </c>
      <c r="F26" s="852"/>
      <c r="G26" s="853"/>
      <c r="H26" s="853"/>
      <c r="I26" s="853"/>
      <c r="J26" s="851"/>
      <c r="K26" s="854"/>
      <c r="L26" s="851"/>
      <c r="M26" s="854"/>
      <c r="N26" s="851"/>
      <c r="O26" s="854"/>
      <c r="P26" s="851"/>
      <c r="Q26" s="854"/>
      <c r="R26" s="851"/>
      <c r="S26" s="854"/>
      <c r="T26" s="851"/>
      <c r="U26" s="854"/>
      <c r="V26" s="851"/>
      <c r="W26" s="854"/>
      <c r="X26" s="851"/>
      <c r="Y26" s="854"/>
      <c r="Z26" s="851"/>
      <c r="AA26" s="854"/>
      <c r="AB26" s="851"/>
      <c r="AC26" s="854"/>
      <c r="AD26" s="851"/>
      <c r="AE26" s="854"/>
      <c r="AF26" s="851"/>
      <c r="AG26" s="854"/>
      <c r="AH26" s="851"/>
      <c r="AI26" s="854"/>
      <c r="AJ26" s="851"/>
      <c r="AK26" s="854"/>
      <c r="AL26" s="851">
        <f t="shared" si="0"/>
        <v>0</v>
      </c>
      <c r="AM26" s="851">
        <f t="shared" si="1"/>
        <v>0</v>
      </c>
      <c r="AN26" s="855">
        <f t="shared" si="6"/>
        <v>0</v>
      </c>
      <c r="AO26" s="855">
        <f t="shared" si="6"/>
        <v>0</v>
      </c>
      <c r="AP26" s="855">
        <f t="shared" si="3"/>
        <v>0</v>
      </c>
      <c r="AQ26" s="853" t="s">
        <v>2111</v>
      </c>
      <c r="AR26" s="853" t="e">
        <f t="shared" si="4"/>
        <v>#VALUE!</v>
      </c>
    </row>
    <row r="27" spans="5:44" ht="15" customHeight="1">
      <c r="E27" s="851">
        <f t="shared" si="5"/>
        <v>20</v>
      </c>
      <c r="F27" s="852"/>
      <c r="G27" s="853"/>
      <c r="H27" s="853"/>
      <c r="I27" s="853"/>
      <c r="J27" s="851"/>
      <c r="K27" s="854"/>
      <c r="L27" s="851"/>
      <c r="M27" s="854"/>
      <c r="N27" s="851"/>
      <c r="O27" s="854"/>
      <c r="P27" s="851"/>
      <c r="Q27" s="854"/>
      <c r="R27" s="851"/>
      <c r="S27" s="854"/>
      <c r="T27" s="851"/>
      <c r="U27" s="854"/>
      <c r="V27" s="851"/>
      <c r="W27" s="854"/>
      <c r="X27" s="851"/>
      <c r="Y27" s="854"/>
      <c r="Z27" s="851"/>
      <c r="AA27" s="854"/>
      <c r="AB27" s="851"/>
      <c r="AC27" s="854"/>
      <c r="AD27" s="851"/>
      <c r="AE27" s="854"/>
      <c r="AF27" s="851"/>
      <c r="AG27" s="854"/>
      <c r="AH27" s="851"/>
      <c r="AI27" s="854"/>
      <c r="AJ27" s="851"/>
      <c r="AK27" s="854"/>
      <c r="AL27" s="851">
        <f t="shared" si="0"/>
        <v>0</v>
      </c>
      <c r="AM27" s="851">
        <f t="shared" si="1"/>
        <v>0</v>
      </c>
      <c r="AN27" s="855">
        <f t="shared" si="6"/>
        <v>0</v>
      </c>
      <c r="AO27" s="855">
        <f t="shared" si="6"/>
        <v>0</v>
      </c>
      <c r="AP27" s="855">
        <f t="shared" si="3"/>
        <v>0</v>
      </c>
      <c r="AQ27" s="853" t="s">
        <v>2111</v>
      </c>
      <c r="AR27" s="853" t="e">
        <f t="shared" si="4"/>
        <v>#VALUE!</v>
      </c>
    </row>
    <row r="28" spans="5:44" ht="15" customHeight="1">
      <c r="E28" s="851">
        <f t="shared" si="5"/>
        <v>21</v>
      </c>
      <c r="F28" s="852"/>
      <c r="G28" s="853"/>
      <c r="H28" s="853"/>
      <c r="I28" s="853"/>
      <c r="J28" s="851"/>
      <c r="K28" s="854"/>
      <c r="L28" s="851"/>
      <c r="M28" s="854"/>
      <c r="N28" s="851"/>
      <c r="O28" s="854"/>
      <c r="P28" s="851"/>
      <c r="Q28" s="854"/>
      <c r="R28" s="851"/>
      <c r="S28" s="854"/>
      <c r="T28" s="851"/>
      <c r="U28" s="854"/>
      <c r="V28" s="851"/>
      <c r="W28" s="854"/>
      <c r="X28" s="851"/>
      <c r="Y28" s="854"/>
      <c r="Z28" s="851"/>
      <c r="AA28" s="854"/>
      <c r="AB28" s="851"/>
      <c r="AC28" s="854"/>
      <c r="AD28" s="851"/>
      <c r="AE28" s="854"/>
      <c r="AF28" s="851"/>
      <c r="AG28" s="854"/>
      <c r="AH28" s="851"/>
      <c r="AI28" s="854"/>
      <c r="AJ28" s="851"/>
      <c r="AK28" s="854"/>
      <c r="AL28" s="851">
        <f t="shared" si="0"/>
        <v>0</v>
      </c>
      <c r="AM28" s="851">
        <f t="shared" si="1"/>
        <v>0</v>
      </c>
      <c r="AN28" s="855">
        <f t="shared" si="6"/>
        <v>0</v>
      </c>
      <c r="AO28" s="855">
        <f t="shared" si="6"/>
        <v>0</v>
      </c>
      <c r="AP28" s="855">
        <f t="shared" si="3"/>
        <v>0</v>
      </c>
      <c r="AQ28" s="853" t="s">
        <v>2111</v>
      </c>
      <c r="AR28" s="853" t="e">
        <f t="shared" si="4"/>
        <v>#VALUE!</v>
      </c>
    </row>
    <row r="29" spans="5:44" ht="15" customHeight="1">
      <c r="E29" s="851">
        <f t="shared" si="5"/>
        <v>22</v>
      </c>
      <c r="F29" s="852"/>
      <c r="G29" s="853"/>
      <c r="H29" s="853"/>
      <c r="I29" s="853"/>
      <c r="J29" s="851"/>
      <c r="K29" s="854"/>
      <c r="L29" s="851"/>
      <c r="M29" s="854"/>
      <c r="N29" s="851"/>
      <c r="O29" s="854"/>
      <c r="P29" s="851"/>
      <c r="Q29" s="854"/>
      <c r="R29" s="851"/>
      <c r="S29" s="854"/>
      <c r="T29" s="851"/>
      <c r="U29" s="854"/>
      <c r="V29" s="851"/>
      <c r="W29" s="854"/>
      <c r="X29" s="851"/>
      <c r="Y29" s="854"/>
      <c r="Z29" s="851"/>
      <c r="AA29" s="854"/>
      <c r="AB29" s="851"/>
      <c r="AC29" s="854"/>
      <c r="AD29" s="851"/>
      <c r="AE29" s="854"/>
      <c r="AF29" s="851"/>
      <c r="AG29" s="854"/>
      <c r="AH29" s="851"/>
      <c r="AI29" s="854"/>
      <c r="AJ29" s="851"/>
      <c r="AK29" s="854"/>
      <c r="AL29" s="851">
        <f t="shared" si="0"/>
        <v>0</v>
      </c>
      <c r="AM29" s="851">
        <f t="shared" si="1"/>
        <v>0</v>
      </c>
      <c r="AN29" s="855">
        <f t="shared" si="6"/>
        <v>0</v>
      </c>
      <c r="AO29" s="855">
        <f t="shared" si="6"/>
        <v>0</v>
      </c>
      <c r="AP29" s="855">
        <f t="shared" si="3"/>
        <v>0</v>
      </c>
      <c r="AQ29" s="853" t="s">
        <v>2111</v>
      </c>
      <c r="AR29" s="853" t="e">
        <f t="shared" si="4"/>
        <v>#VALUE!</v>
      </c>
    </row>
    <row r="30" spans="5:44" ht="15" customHeight="1">
      <c r="E30" s="851">
        <f t="shared" si="5"/>
        <v>23</v>
      </c>
      <c r="F30" s="852"/>
      <c r="G30" s="853"/>
      <c r="H30" s="853"/>
      <c r="I30" s="853"/>
      <c r="J30" s="851"/>
      <c r="K30" s="854"/>
      <c r="L30" s="851"/>
      <c r="M30" s="854"/>
      <c r="N30" s="851"/>
      <c r="O30" s="854"/>
      <c r="P30" s="851"/>
      <c r="Q30" s="854"/>
      <c r="R30" s="851"/>
      <c r="S30" s="854"/>
      <c r="T30" s="851"/>
      <c r="U30" s="854"/>
      <c r="V30" s="851"/>
      <c r="W30" s="854"/>
      <c r="X30" s="851"/>
      <c r="Y30" s="854"/>
      <c r="Z30" s="851"/>
      <c r="AA30" s="854"/>
      <c r="AB30" s="851"/>
      <c r="AC30" s="854"/>
      <c r="AD30" s="851"/>
      <c r="AE30" s="854"/>
      <c r="AF30" s="851"/>
      <c r="AG30" s="854"/>
      <c r="AH30" s="851"/>
      <c r="AI30" s="854"/>
      <c r="AJ30" s="851"/>
      <c r="AK30" s="854"/>
      <c r="AL30" s="851">
        <f t="shared" si="0"/>
        <v>0</v>
      </c>
      <c r="AM30" s="851">
        <f t="shared" si="1"/>
        <v>0</v>
      </c>
      <c r="AN30" s="855">
        <f t="shared" si="6"/>
        <v>0</v>
      </c>
      <c r="AO30" s="855">
        <f t="shared" si="6"/>
        <v>0</v>
      </c>
      <c r="AP30" s="855">
        <f t="shared" si="3"/>
        <v>0</v>
      </c>
      <c r="AQ30" s="853" t="s">
        <v>2111</v>
      </c>
      <c r="AR30" s="853" t="e">
        <f t="shared" si="4"/>
        <v>#VALUE!</v>
      </c>
    </row>
    <row r="31" spans="5:44" ht="15" customHeight="1">
      <c r="E31" s="851">
        <f t="shared" si="5"/>
        <v>24</v>
      </c>
      <c r="F31" s="852"/>
      <c r="G31" s="853"/>
      <c r="H31" s="853"/>
      <c r="I31" s="853"/>
      <c r="J31" s="851"/>
      <c r="K31" s="854"/>
      <c r="L31" s="851"/>
      <c r="M31" s="854"/>
      <c r="N31" s="851"/>
      <c r="O31" s="854"/>
      <c r="P31" s="851"/>
      <c r="Q31" s="854"/>
      <c r="R31" s="851"/>
      <c r="S31" s="854"/>
      <c r="T31" s="851"/>
      <c r="U31" s="854"/>
      <c r="V31" s="851"/>
      <c r="W31" s="854"/>
      <c r="X31" s="851"/>
      <c r="Y31" s="854"/>
      <c r="Z31" s="851"/>
      <c r="AA31" s="854"/>
      <c r="AB31" s="851"/>
      <c r="AC31" s="854"/>
      <c r="AD31" s="851"/>
      <c r="AE31" s="854"/>
      <c r="AF31" s="851"/>
      <c r="AG31" s="854"/>
      <c r="AH31" s="851"/>
      <c r="AI31" s="854"/>
      <c r="AJ31" s="851"/>
      <c r="AK31" s="854"/>
      <c r="AL31" s="851">
        <f t="shared" si="0"/>
        <v>0</v>
      </c>
      <c r="AM31" s="851">
        <f t="shared" si="1"/>
        <v>0</v>
      </c>
      <c r="AN31" s="855">
        <f t="shared" si="6"/>
        <v>0</v>
      </c>
      <c r="AO31" s="855">
        <f t="shared" si="6"/>
        <v>0</v>
      </c>
      <c r="AP31" s="855">
        <f t="shared" si="3"/>
        <v>0</v>
      </c>
      <c r="AQ31" s="853" t="s">
        <v>2111</v>
      </c>
      <c r="AR31" s="853" t="e">
        <f t="shared" si="4"/>
        <v>#VALUE!</v>
      </c>
    </row>
    <row r="32" spans="5:44" ht="15" customHeight="1">
      <c r="E32" s="851">
        <f t="shared" si="5"/>
        <v>25</v>
      </c>
      <c r="F32" s="852"/>
      <c r="G32" s="853"/>
      <c r="H32" s="853"/>
      <c r="I32" s="853"/>
      <c r="J32" s="851"/>
      <c r="K32" s="854"/>
      <c r="L32" s="851"/>
      <c r="M32" s="854"/>
      <c r="N32" s="851"/>
      <c r="O32" s="854"/>
      <c r="P32" s="851"/>
      <c r="Q32" s="854"/>
      <c r="R32" s="851"/>
      <c r="S32" s="854"/>
      <c r="T32" s="851"/>
      <c r="U32" s="854"/>
      <c r="V32" s="851"/>
      <c r="W32" s="854"/>
      <c r="X32" s="851"/>
      <c r="Y32" s="854"/>
      <c r="Z32" s="851"/>
      <c r="AA32" s="854"/>
      <c r="AB32" s="851"/>
      <c r="AC32" s="854"/>
      <c r="AD32" s="851"/>
      <c r="AE32" s="854"/>
      <c r="AF32" s="851"/>
      <c r="AG32" s="854"/>
      <c r="AH32" s="851"/>
      <c r="AI32" s="854"/>
      <c r="AJ32" s="851"/>
      <c r="AK32" s="854"/>
      <c r="AL32" s="851">
        <f t="shared" si="0"/>
        <v>0</v>
      </c>
      <c r="AM32" s="851">
        <f t="shared" si="1"/>
        <v>0</v>
      </c>
      <c r="AN32" s="855">
        <f t="shared" si="6"/>
        <v>0</v>
      </c>
      <c r="AO32" s="855">
        <f t="shared" si="6"/>
        <v>0</v>
      </c>
      <c r="AP32" s="855">
        <f t="shared" si="3"/>
        <v>0</v>
      </c>
      <c r="AQ32" s="853" t="s">
        <v>2111</v>
      </c>
      <c r="AR32" s="853" t="e">
        <f t="shared" si="4"/>
        <v>#VALUE!</v>
      </c>
    </row>
    <row r="33" spans="5:44" ht="15" customHeight="1">
      <c r="E33" s="851">
        <f t="shared" si="5"/>
        <v>26</v>
      </c>
      <c r="F33" s="856"/>
      <c r="G33" s="857"/>
      <c r="H33" s="853"/>
      <c r="I33" s="853"/>
      <c r="J33" s="851"/>
      <c r="K33" s="854"/>
      <c r="L33" s="851"/>
      <c r="M33" s="854"/>
      <c r="N33" s="851"/>
      <c r="O33" s="854"/>
      <c r="P33" s="851"/>
      <c r="Q33" s="854"/>
      <c r="R33" s="851"/>
      <c r="S33" s="854"/>
      <c r="T33" s="851"/>
      <c r="U33" s="854"/>
      <c r="V33" s="851"/>
      <c r="W33" s="854"/>
      <c r="X33" s="851"/>
      <c r="Y33" s="854"/>
      <c r="Z33" s="851"/>
      <c r="AA33" s="854"/>
      <c r="AB33" s="851"/>
      <c r="AC33" s="854"/>
      <c r="AD33" s="851"/>
      <c r="AE33" s="854"/>
      <c r="AF33" s="851"/>
      <c r="AG33" s="854"/>
      <c r="AH33" s="851"/>
      <c r="AI33" s="854"/>
      <c r="AJ33" s="851"/>
      <c r="AK33" s="854"/>
      <c r="AL33" s="851">
        <f t="shared" si="0"/>
        <v>0</v>
      </c>
      <c r="AM33" s="851">
        <f t="shared" si="1"/>
        <v>0</v>
      </c>
      <c r="AN33" s="855">
        <f t="shared" si="6"/>
        <v>0</v>
      </c>
      <c r="AO33" s="855">
        <f t="shared" si="6"/>
        <v>0</v>
      </c>
      <c r="AP33" s="855">
        <f t="shared" si="3"/>
        <v>0</v>
      </c>
      <c r="AQ33" s="853" t="s">
        <v>2111</v>
      </c>
      <c r="AR33" s="853" t="e">
        <f t="shared" si="4"/>
        <v>#VALUE!</v>
      </c>
    </row>
    <row r="34" spans="5:44" ht="15" customHeight="1">
      <c r="E34" s="851">
        <f t="shared" si="5"/>
        <v>27</v>
      </c>
      <c r="F34" s="856"/>
      <c r="G34" s="857"/>
      <c r="H34" s="853"/>
      <c r="I34" s="853"/>
      <c r="J34" s="851"/>
      <c r="K34" s="854"/>
      <c r="L34" s="851"/>
      <c r="M34" s="854"/>
      <c r="N34" s="851"/>
      <c r="O34" s="854"/>
      <c r="P34" s="851"/>
      <c r="Q34" s="854"/>
      <c r="R34" s="851"/>
      <c r="S34" s="854"/>
      <c r="T34" s="851"/>
      <c r="U34" s="854"/>
      <c r="V34" s="851"/>
      <c r="W34" s="854"/>
      <c r="X34" s="851"/>
      <c r="Y34" s="854"/>
      <c r="Z34" s="851"/>
      <c r="AA34" s="854"/>
      <c r="AB34" s="851"/>
      <c r="AC34" s="854"/>
      <c r="AD34" s="851"/>
      <c r="AE34" s="854"/>
      <c r="AF34" s="851"/>
      <c r="AG34" s="854"/>
      <c r="AH34" s="851"/>
      <c r="AI34" s="854"/>
      <c r="AJ34" s="851"/>
      <c r="AK34" s="854"/>
      <c r="AL34" s="851">
        <f t="shared" si="0"/>
        <v>0</v>
      </c>
      <c r="AM34" s="851">
        <f t="shared" si="1"/>
        <v>0</v>
      </c>
      <c r="AN34" s="855">
        <f t="shared" si="6"/>
        <v>0</v>
      </c>
      <c r="AO34" s="855">
        <f t="shared" si="6"/>
        <v>0</v>
      </c>
      <c r="AP34" s="855">
        <f t="shared" si="3"/>
        <v>0</v>
      </c>
      <c r="AQ34" s="853" t="s">
        <v>2111</v>
      </c>
      <c r="AR34" s="853" t="e">
        <f t="shared" si="4"/>
        <v>#VALUE!</v>
      </c>
    </row>
    <row r="35" spans="5:44" ht="15" customHeight="1">
      <c r="E35" s="858"/>
      <c r="F35" s="859"/>
      <c r="G35" s="860"/>
      <c r="H35" s="860"/>
      <c r="I35" s="860"/>
      <c r="J35" s="861"/>
      <c r="K35" s="861"/>
      <c r="L35" s="861"/>
      <c r="M35" s="861"/>
      <c r="N35" s="861"/>
      <c r="O35" s="861"/>
      <c r="P35" s="861"/>
      <c r="Q35" s="861"/>
      <c r="R35" s="861"/>
      <c r="S35" s="861"/>
      <c r="T35" s="861"/>
      <c r="U35" s="861"/>
      <c r="V35" s="862"/>
      <c r="W35" s="862"/>
      <c r="X35" s="862"/>
      <c r="Y35" s="862"/>
      <c r="Z35" s="862"/>
      <c r="AA35" s="862"/>
      <c r="AB35" s="862"/>
      <c r="AC35" s="862"/>
      <c r="AD35" s="862"/>
      <c r="AE35" s="862"/>
      <c r="AF35" s="862"/>
      <c r="AG35" s="862"/>
      <c r="AH35" s="862"/>
      <c r="AI35" s="862" t="s">
        <v>2314</v>
      </c>
      <c r="AJ35" s="862"/>
      <c r="AK35" s="862"/>
      <c r="AL35" s="863"/>
      <c r="AM35" s="864"/>
      <c r="AN35" s="865">
        <f>SUM(AN8:AN34)</f>
        <v>1850000</v>
      </c>
      <c r="AO35" s="865"/>
      <c r="AP35" s="865"/>
      <c r="AQ35" s="866">
        <f>SUM(AQ8:AQ34)</f>
        <v>1055000</v>
      </c>
      <c r="AR35" s="866">
        <f>SUMIF(AR8:AR34,"&gt;0")</f>
        <v>2065000</v>
      </c>
    </row>
    <row r="36" spans="5:44" ht="15" customHeight="1">
      <c r="F36" s="867"/>
      <c r="G36" s="868"/>
      <c r="H36" s="868"/>
      <c r="I36" s="868"/>
    </row>
    <row r="37" spans="5:44" ht="15" customHeight="1">
      <c r="F37" s="867" t="s">
        <v>2315</v>
      </c>
      <c r="G37" s="868"/>
      <c r="H37" s="868"/>
      <c r="I37" s="868"/>
    </row>
    <row r="38" spans="5:44" ht="15" customHeight="1">
      <c r="E38" s="869" t="s">
        <v>2024</v>
      </c>
      <c r="F38" s="848" t="s">
        <v>2316</v>
      </c>
      <c r="G38" s="868"/>
      <c r="H38" s="868"/>
      <c r="I38" s="868"/>
    </row>
    <row r="39" spans="5:44" ht="15" customHeight="1">
      <c r="E39" s="869" t="s">
        <v>2024</v>
      </c>
      <c r="F39" s="848" t="s">
        <v>2317</v>
      </c>
      <c r="G39" s="868"/>
      <c r="H39" s="868"/>
      <c r="I39" s="868"/>
    </row>
    <row r="40" spans="5:44" ht="15" customHeight="1">
      <c r="E40" s="869" t="s">
        <v>2024</v>
      </c>
      <c r="F40" s="848" t="s">
        <v>2318</v>
      </c>
      <c r="G40" s="868"/>
      <c r="H40" s="868"/>
      <c r="I40" s="868"/>
    </row>
    <row r="41" spans="5:44" ht="15" customHeight="1">
      <c r="E41" s="869" t="s">
        <v>2024</v>
      </c>
      <c r="F41" s="848" t="s">
        <v>2319</v>
      </c>
      <c r="G41" s="868"/>
      <c r="H41" s="868"/>
      <c r="I41" s="868"/>
    </row>
    <row r="42" spans="5:44" ht="15" customHeight="1">
      <c r="E42" s="869" t="s">
        <v>2024</v>
      </c>
      <c r="F42" s="848" t="s">
        <v>2320</v>
      </c>
      <c r="G42" s="868"/>
      <c r="H42" s="868"/>
      <c r="I42" s="868"/>
    </row>
    <row r="43" spans="5:44" ht="15" customHeight="1">
      <c r="E43" s="869" t="s">
        <v>2024</v>
      </c>
      <c r="F43" s="848" t="s">
        <v>2321</v>
      </c>
      <c r="G43" s="868"/>
      <c r="H43" s="868"/>
      <c r="I43" s="868"/>
    </row>
    <row r="44" spans="5:44" ht="15" customHeight="1">
      <c r="E44" s="867"/>
      <c r="F44" s="848" t="s">
        <v>2322</v>
      </c>
      <c r="G44" s="868"/>
      <c r="H44" s="868"/>
      <c r="I44" s="868"/>
    </row>
    <row r="45" spans="5:44" ht="15" customHeight="1">
      <c r="G45" s="868"/>
      <c r="H45" s="868"/>
      <c r="I45" s="868"/>
    </row>
    <row r="46" spans="5:44" ht="15" customHeight="1">
      <c r="G46" s="868"/>
      <c r="H46" s="868"/>
      <c r="I46" s="868"/>
    </row>
    <row r="47" spans="5:44" ht="15" customHeight="1">
      <c r="G47" s="868"/>
      <c r="H47" s="868"/>
      <c r="I47" s="868"/>
    </row>
    <row r="48" spans="5:44" ht="15" customHeight="1">
      <c r="G48" s="868"/>
      <c r="H48" s="868"/>
      <c r="I48" s="868"/>
    </row>
    <row r="49" spans="7:9" ht="15" customHeight="1">
      <c r="G49" s="868"/>
      <c r="H49" s="868"/>
      <c r="I49" s="868"/>
    </row>
    <row r="50" spans="7:9" ht="15" customHeight="1">
      <c r="G50" s="868"/>
      <c r="H50" s="868"/>
      <c r="I50" s="868"/>
    </row>
    <row r="51" spans="7:9" ht="15" customHeight="1">
      <c r="G51" s="868"/>
      <c r="H51" s="868"/>
      <c r="I51" s="868"/>
    </row>
    <row r="52" spans="7:9" ht="15" customHeight="1">
      <c r="G52" s="868"/>
      <c r="H52" s="868"/>
      <c r="I52" s="868"/>
    </row>
    <row r="53" spans="7:9" ht="15" customHeight="1">
      <c r="G53" s="868"/>
      <c r="H53" s="868"/>
      <c r="I53" s="868"/>
    </row>
    <row r="54" spans="7:9" ht="15" customHeight="1">
      <c r="G54" s="868"/>
      <c r="H54" s="868"/>
      <c r="I54" s="868"/>
    </row>
    <row r="55" spans="7:9" ht="15" customHeight="1">
      <c r="G55" s="868"/>
      <c r="H55" s="868"/>
      <c r="I55" s="868"/>
    </row>
    <row r="56" spans="7:9" ht="15" customHeight="1">
      <c r="G56" s="868"/>
      <c r="H56" s="868"/>
      <c r="I56" s="868"/>
    </row>
    <row r="57" spans="7:9" ht="15" customHeight="1">
      <c r="G57" s="868"/>
      <c r="H57" s="868"/>
      <c r="I57" s="868"/>
    </row>
    <row r="58" spans="7:9" ht="15" customHeight="1">
      <c r="G58" s="868"/>
      <c r="H58" s="868"/>
      <c r="I58" s="868"/>
    </row>
    <row r="59" spans="7:9" ht="15" customHeight="1">
      <c r="G59" s="868"/>
      <c r="H59" s="868"/>
      <c r="I59" s="868"/>
    </row>
    <row r="60" spans="7:9" ht="15" customHeight="1">
      <c r="G60" s="868"/>
      <c r="H60" s="868"/>
      <c r="I60" s="868"/>
    </row>
    <row r="61" spans="7:9" ht="15" customHeight="1">
      <c r="G61" s="868"/>
      <c r="H61" s="868"/>
      <c r="I61" s="868"/>
    </row>
    <row r="62" spans="7:9" ht="15" customHeight="1">
      <c r="G62" s="868"/>
      <c r="H62" s="868"/>
      <c r="I62" s="868"/>
    </row>
    <row r="63" spans="7:9" ht="15" customHeight="1">
      <c r="G63" s="868"/>
      <c r="H63" s="868"/>
      <c r="I63" s="868"/>
    </row>
    <row r="64" spans="7:9" ht="15" customHeight="1">
      <c r="G64" s="868"/>
      <c r="H64" s="868"/>
      <c r="I64" s="868"/>
    </row>
    <row r="65" spans="7:9" ht="15" customHeight="1">
      <c r="G65" s="868"/>
      <c r="H65" s="868"/>
      <c r="I65" s="868"/>
    </row>
    <row r="66" spans="7:9" ht="15" customHeight="1">
      <c r="G66" s="868"/>
      <c r="H66" s="868"/>
      <c r="I66" s="868"/>
    </row>
    <row r="67" spans="7:9" ht="15" customHeight="1">
      <c r="G67" s="868"/>
      <c r="H67" s="868"/>
      <c r="I67" s="868"/>
    </row>
    <row r="68" spans="7:9" ht="15" customHeight="1">
      <c r="G68" s="868"/>
      <c r="H68" s="868"/>
      <c r="I68" s="868"/>
    </row>
    <row r="69" spans="7:9" ht="15" customHeight="1">
      <c r="G69" s="868"/>
      <c r="H69" s="868"/>
      <c r="I69" s="868"/>
    </row>
    <row r="70" spans="7:9" ht="15" customHeight="1">
      <c r="G70" s="868"/>
      <c r="H70" s="868"/>
      <c r="I70" s="868"/>
    </row>
    <row r="71" spans="7:9" ht="15" customHeight="1">
      <c r="G71" s="868"/>
      <c r="H71" s="868"/>
      <c r="I71" s="868"/>
    </row>
    <row r="72" spans="7:9" ht="15" customHeight="1">
      <c r="G72" s="868"/>
      <c r="H72" s="868"/>
      <c r="I72" s="868"/>
    </row>
    <row r="73" spans="7:9" ht="15" customHeight="1">
      <c r="G73" s="868"/>
      <c r="H73" s="868"/>
      <c r="I73" s="868"/>
    </row>
    <row r="74" spans="7:9" ht="15" customHeight="1">
      <c r="G74" s="868"/>
      <c r="H74" s="868"/>
      <c r="I74" s="868"/>
    </row>
    <row r="75" spans="7:9" ht="15" customHeight="1">
      <c r="G75" s="868"/>
      <c r="H75" s="868"/>
      <c r="I75" s="868"/>
    </row>
    <row r="76" spans="7:9" ht="15" customHeight="1">
      <c r="G76" s="868"/>
      <c r="H76" s="868"/>
      <c r="I76" s="868"/>
    </row>
    <row r="77" spans="7:9" ht="15" customHeight="1">
      <c r="G77" s="868"/>
      <c r="H77" s="868"/>
      <c r="I77" s="868"/>
    </row>
    <row r="78" spans="7:9" ht="15" customHeight="1">
      <c r="G78" s="868"/>
      <c r="H78" s="868"/>
      <c r="I78" s="868"/>
    </row>
    <row r="79" spans="7:9" ht="15" customHeight="1">
      <c r="G79" s="868"/>
      <c r="H79" s="868"/>
      <c r="I79" s="868"/>
    </row>
    <row r="80" spans="7:9" ht="15" customHeight="1">
      <c r="G80" s="868"/>
      <c r="H80" s="868"/>
      <c r="I80" s="868"/>
    </row>
    <row r="81" spans="7:9" ht="15" customHeight="1">
      <c r="G81" s="868"/>
      <c r="H81" s="868"/>
      <c r="I81" s="868"/>
    </row>
    <row r="82" spans="7:9" ht="15" customHeight="1">
      <c r="G82" s="868"/>
      <c r="H82" s="868"/>
      <c r="I82" s="868"/>
    </row>
    <row r="83" spans="7:9" ht="15" customHeight="1">
      <c r="G83" s="868"/>
      <c r="H83" s="868"/>
      <c r="I83" s="868"/>
    </row>
    <row r="84" spans="7:9" ht="15" customHeight="1">
      <c r="G84" s="868"/>
      <c r="H84" s="868"/>
      <c r="I84" s="868"/>
    </row>
    <row r="85" spans="7:9" ht="15" customHeight="1">
      <c r="G85" s="868"/>
      <c r="H85" s="868"/>
      <c r="I85" s="868"/>
    </row>
    <row r="86" spans="7:9" ht="15" customHeight="1">
      <c r="G86" s="868"/>
      <c r="H86" s="868"/>
      <c r="I86" s="868"/>
    </row>
    <row r="87" spans="7:9" ht="15" customHeight="1">
      <c r="G87" s="868"/>
      <c r="H87" s="868"/>
      <c r="I87" s="868"/>
    </row>
    <row r="88" spans="7:9" ht="15" customHeight="1">
      <c r="G88" s="868"/>
      <c r="H88" s="868"/>
      <c r="I88" s="868"/>
    </row>
    <row r="89" spans="7:9" ht="15" customHeight="1">
      <c r="G89" s="868"/>
      <c r="H89" s="868"/>
      <c r="I89" s="868"/>
    </row>
    <row r="90" spans="7:9" ht="15" customHeight="1">
      <c r="G90" s="868"/>
      <c r="H90" s="868"/>
      <c r="I90" s="868"/>
    </row>
    <row r="91" spans="7:9" ht="15" customHeight="1">
      <c r="G91" s="868"/>
      <c r="H91" s="868"/>
      <c r="I91" s="868"/>
    </row>
    <row r="92" spans="7:9" ht="15" customHeight="1">
      <c r="G92" s="868"/>
      <c r="H92" s="868"/>
      <c r="I92" s="868"/>
    </row>
    <row r="93" spans="7:9" ht="15" customHeight="1">
      <c r="G93" s="868"/>
      <c r="H93" s="868"/>
      <c r="I93" s="868"/>
    </row>
    <row r="94" spans="7:9" ht="15" customHeight="1">
      <c r="G94" s="868"/>
      <c r="H94" s="868"/>
      <c r="I94" s="868"/>
    </row>
    <row r="95" spans="7:9" ht="15" customHeight="1">
      <c r="G95" s="868"/>
      <c r="H95" s="868"/>
      <c r="I95" s="868"/>
    </row>
    <row r="96" spans="7:9" ht="15" customHeight="1">
      <c r="G96" s="868"/>
      <c r="H96" s="868"/>
      <c r="I96" s="868"/>
    </row>
    <row r="97" spans="7:9" ht="15" customHeight="1">
      <c r="G97" s="868"/>
      <c r="H97" s="868"/>
      <c r="I97" s="868"/>
    </row>
    <row r="98" spans="7:9" ht="15" customHeight="1">
      <c r="G98" s="868"/>
      <c r="H98" s="868"/>
      <c r="I98" s="868"/>
    </row>
    <row r="99" spans="7:9" ht="15" customHeight="1">
      <c r="G99" s="868"/>
      <c r="H99" s="868"/>
      <c r="I99" s="868"/>
    </row>
    <row r="100" spans="7:9" ht="15" customHeight="1">
      <c r="G100" s="868"/>
      <c r="H100" s="868"/>
      <c r="I100" s="868"/>
    </row>
    <row r="101" spans="7:9" ht="15" customHeight="1">
      <c r="G101" s="868"/>
      <c r="H101" s="868"/>
      <c r="I101" s="868"/>
    </row>
    <row r="102" spans="7:9" ht="15" customHeight="1">
      <c r="G102" s="868"/>
      <c r="H102" s="868"/>
      <c r="I102" s="868"/>
    </row>
    <row r="103" spans="7:9" ht="15" customHeight="1">
      <c r="G103" s="868"/>
      <c r="H103" s="868"/>
      <c r="I103" s="868"/>
    </row>
    <row r="104" spans="7:9" ht="15" customHeight="1">
      <c r="G104" s="868"/>
      <c r="H104" s="868"/>
      <c r="I104" s="868"/>
    </row>
    <row r="105" spans="7:9" ht="15" customHeight="1">
      <c r="G105" s="868"/>
      <c r="H105" s="868"/>
      <c r="I105" s="868"/>
    </row>
    <row r="106" spans="7:9" ht="15" customHeight="1">
      <c r="G106" s="868"/>
      <c r="H106" s="868"/>
      <c r="I106" s="868"/>
    </row>
    <row r="107" spans="7:9" ht="15" customHeight="1">
      <c r="G107" s="868"/>
      <c r="H107" s="868"/>
      <c r="I107" s="868"/>
    </row>
    <row r="108" spans="7:9" ht="15" customHeight="1">
      <c r="G108" s="868"/>
      <c r="H108" s="868"/>
      <c r="I108" s="868"/>
    </row>
    <row r="109" spans="7:9" ht="15" customHeight="1">
      <c r="G109" s="868"/>
      <c r="H109" s="868"/>
      <c r="I109" s="868"/>
    </row>
    <row r="110" spans="7:9" ht="15" customHeight="1">
      <c r="G110" s="868"/>
      <c r="H110" s="868"/>
      <c r="I110" s="868"/>
    </row>
    <row r="111" spans="7:9" ht="15" customHeight="1">
      <c r="G111" s="868"/>
      <c r="H111" s="868"/>
      <c r="I111" s="868"/>
    </row>
    <row r="112" spans="7:9" ht="15" customHeight="1">
      <c r="G112" s="868"/>
      <c r="H112" s="868"/>
      <c r="I112" s="868"/>
    </row>
    <row r="113" spans="7:9" ht="15" customHeight="1">
      <c r="G113" s="868"/>
      <c r="H113" s="868"/>
      <c r="I113" s="868"/>
    </row>
    <row r="114" spans="7:9" ht="15" customHeight="1">
      <c r="G114" s="868"/>
      <c r="H114" s="868"/>
      <c r="I114" s="868"/>
    </row>
    <row r="115" spans="7:9" ht="15" customHeight="1">
      <c r="G115" s="868"/>
      <c r="H115" s="868"/>
      <c r="I115" s="868"/>
    </row>
    <row r="116" spans="7:9" ht="15" customHeight="1">
      <c r="G116" s="868"/>
      <c r="H116" s="868"/>
      <c r="I116" s="868"/>
    </row>
    <row r="117" spans="7:9" ht="15" customHeight="1">
      <c r="G117" s="868"/>
      <c r="H117" s="868"/>
      <c r="I117" s="868"/>
    </row>
    <row r="118" spans="7:9" ht="15" customHeight="1">
      <c r="G118" s="868"/>
      <c r="H118" s="868"/>
      <c r="I118" s="868"/>
    </row>
    <row r="119" spans="7:9" ht="15" customHeight="1">
      <c r="G119" s="868"/>
      <c r="H119" s="868"/>
      <c r="I119" s="868"/>
    </row>
    <row r="120" spans="7:9" ht="15" customHeight="1">
      <c r="G120" s="868"/>
      <c r="H120" s="868"/>
      <c r="I120" s="868"/>
    </row>
    <row r="121" spans="7:9" ht="15" customHeight="1">
      <c r="G121" s="868"/>
      <c r="H121" s="868"/>
      <c r="I121" s="868"/>
    </row>
    <row r="122" spans="7:9" ht="15" customHeight="1">
      <c r="G122" s="868"/>
      <c r="H122" s="868"/>
      <c r="I122" s="868"/>
    </row>
    <row r="123" spans="7:9" ht="15" customHeight="1">
      <c r="G123" s="868"/>
      <c r="H123" s="868"/>
      <c r="I123" s="868"/>
    </row>
    <row r="124" spans="7:9" ht="15" customHeight="1">
      <c r="G124" s="868"/>
      <c r="H124" s="868"/>
      <c r="I124" s="868"/>
    </row>
    <row r="125" spans="7:9" ht="15" customHeight="1">
      <c r="G125" s="868"/>
      <c r="H125" s="868"/>
      <c r="I125" s="868"/>
    </row>
    <row r="126" spans="7:9" ht="15" customHeight="1">
      <c r="G126" s="868"/>
      <c r="H126" s="868"/>
      <c r="I126" s="868"/>
    </row>
    <row r="127" spans="7:9" ht="15" customHeight="1">
      <c r="G127" s="868"/>
      <c r="H127" s="868"/>
      <c r="I127" s="868"/>
    </row>
    <row r="128" spans="7:9" ht="15" customHeight="1">
      <c r="G128" s="868"/>
      <c r="H128" s="868"/>
      <c r="I128" s="868"/>
    </row>
    <row r="129" spans="7:9" ht="15" customHeight="1">
      <c r="G129" s="868"/>
      <c r="H129" s="868"/>
      <c r="I129" s="868"/>
    </row>
    <row r="130" spans="7:9" ht="15" customHeight="1">
      <c r="G130" s="868"/>
      <c r="H130" s="868"/>
      <c r="I130" s="868"/>
    </row>
    <row r="131" spans="7:9" ht="15" customHeight="1">
      <c r="G131" s="868"/>
      <c r="H131" s="868"/>
      <c r="I131" s="868"/>
    </row>
    <row r="132" spans="7:9" ht="15" customHeight="1">
      <c r="G132" s="868"/>
      <c r="H132" s="868"/>
      <c r="I132" s="868"/>
    </row>
    <row r="133" spans="7:9" ht="15" customHeight="1">
      <c r="G133" s="868"/>
      <c r="H133" s="868"/>
      <c r="I133" s="868"/>
    </row>
    <row r="134" spans="7:9" ht="15" customHeight="1">
      <c r="G134" s="868"/>
      <c r="H134" s="868"/>
      <c r="I134" s="868"/>
    </row>
    <row r="135" spans="7:9" ht="15" customHeight="1">
      <c r="G135" s="868"/>
      <c r="H135" s="868"/>
      <c r="I135" s="868"/>
    </row>
    <row r="136" spans="7:9" ht="15" customHeight="1">
      <c r="G136" s="868"/>
      <c r="H136" s="868"/>
      <c r="I136" s="868"/>
    </row>
    <row r="137" spans="7:9" ht="15" customHeight="1">
      <c r="G137" s="868"/>
      <c r="H137" s="868"/>
      <c r="I137" s="868"/>
    </row>
    <row r="138" spans="7:9" ht="15" customHeight="1">
      <c r="G138" s="868"/>
      <c r="H138" s="868"/>
      <c r="I138" s="868"/>
    </row>
    <row r="139" spans="7:9" ht="15" customHeight="1">
      <c r="G139" s="868"/>
      <c r="H139" s="868"/>
      <c r="I139" s="868"/>
    </row>
    <row r="140" spans="7:9" ht="15" customHeight="1">
      <c r="G140" s="868"/>
      <c r="H140" s="868"/>
      <c r="I140" s="868"/>
    </row>
    <row r="141" spans="7:9" ht="15" customHeight="1">
      <c r="G141" s="868"/>
      <c r="H141" s="868"/>
      <c r="I141" s="868"/>
    </row>
    <row r="142" spans="7:9" ht="15" customHeight="1">
      <c r="G142" s="868"/>
      <c r="H142" s="868"/>
      <c r="I142" s="868"/>
    </row>
    <row r="143" spans="7:9" ht="15" customHeight="1">
      <c r="G143" s="868"/>
      <c r="H143" s="868"/>
      <c r="I143" s="868"/>
    </row>
    <row r="144" spans="7:9" ht="15" customHeight="1">
      <c r="G144" s="868"/>
      <c r="H144" s="868"/>
      <c r="I144" s="868"/>
    </row>
    <row r="145" spans="7:9" ht="15" customHeight="1">
      <c r="G145" s="868"/>
      <c r="H145" s="868"/>
      <c r="I145" s="868"/>
    </row>
    <row r="146" spans="7:9" ht="15" customHeight="1">
      <c r="G146" s="868"/>
      <c r="H146" s="868"/>
      <c r="I146" s="868"/>
    </row>
    <row r="147" spans="7:9" ht="15" customHeight="1">
      <c r="G147" s="868"/>
      <c r="H147" s="868"/>
      <c r="I147" s="868"/>
    </row>
    <row r="148" spans="7:9" ht="15" customHeight="1">
      <c r="G148" s="868"/>
      <c r="H148" s="868"/>
      <c r="I148" s="868"/>
    </row>
    <row r="149" spans="7:9" ht="15" customHeight="1">
      <c r="G149" s="868"/>
      <c r="H149" s="868"/>
      <c r="I149" s="868"/>
    </row>
    <row r="150" spans="7:9" ht="15" customHeight="1">
      <c r="G150" s="868"/>
      <c r="H150" s="868"/>
      <c r="I150" s="868"/>
    </row>
    <row r="151" spans="7:9" ht="15" customHeight="1">
      <c r="G151" s="868"/>
      <c r="H151" s="868"/>
      <c r="I151" s="868"/>
    </row>
    <row r="152" spans="7:9" ht="15" customHeight="1">
      <c r="G152" s="868"/>
      <c r="H152" s="868"/>
      <c r="I152" s="868"/>
    </row>
    <row r="153" spans="7:9" ht="15" customHeight="1">
      <c r="G153" s="868"/>
      <c r="H153" s="868"/>
      <c r="I153" s="868"/>
    </row>
    <row r="154" spans="7:9" ht="15" customHeight="1">
      <c r="G154" s="868"/>
      <c r="H154" s="868"/>
      <c r="I154" s="868"/>
    </row>
    <row r="155" spans="7:9" ht="15" customHeight="1">
      <c r="G155" s="868"/>
      <c r="H155" s="868"/>
      <c r="I155" s="868"/>
    </row>
    <row r="156" spans="7:9" ht="15" customHeight="1">
      <c r="G156" s="868"/>
      <c r="H156" s="868"/>
      <c r="I156" s="868"/>
    </row>
    <row r="157" spans="7:9" ht="15" customHeight="1">
      <c r="G157" s="868"/>
      <c r="H157" s="868"/>
      <c r="I157" s="868"/>
    </row>
    <row r="158" spans="7:9" ht="15" customHeight="1">
      <c r="G158" s="868"/>
      <c r="H158" s="868"/>
      <c r="I158" s="868"/>
    </row>
    <row r="159" spans="7:9" ht="15" customHeight="1">
      <c r="G159" s="868"/>
      <c r="H159" s="868"/>
      <c r="I159" s="868"/>
    </row>
    <row r="160" spans="7:9" ht="15" customHeight="1">
      <c r="G160" s="868"/>
      <c r="H160" s="868"/>
      <c r="I160" s="868"/>
    </row>
    <row r="161" spans="7:9" ht="15" customHeight="1">
      <c r="G161" s="868"/>
      <c r="H161" s="868"/>
      <c r="I161" s="868"/>
    </row>
    <row r="162" spans="7:9" ht="15" customHeight="1">
      <c r="G162" s="868"/>
      <c r="H162" s="868"/>
      <c r="I162" s="868"/>
    </row>
    <row r="163" spans="7:9" ht="15" customHeight="1">
      <c r="G163" s="868"/>
      <c r="H163" s="868"/>
      <c r="I163" s="868"/>
    </row>
    <row r="164" spans="7:9" ht="15" customHeight="1">
      <c r="G164" s="868"/>
      <c r="H164" s="868"/>
      <c r="I164" s="868"/>
    </row>
    <row r="165" spans="7:9" ht="15" customHeight="1">
      <c r="G165" s="868"/>
      <c r="H165" s="868"/>
      <c r="I165" s="868"/>
    </row>
    <row r="166" spans="7:9" ht="15" customHeight="1">
      <c r="G166" s="868"/>
      <c r="H166" s="868"/>
      <c r="I166" s="868"/>
    </row>
    <row r="167" spans="7:9" ht="15" customHeight="1">
      <c r="G167" s="868"/>
      <c r="H167" s="868"/>
      <c r="I167" s="868"/>
    </row>
    <row r="168" spans="7:9" ht="15" customHeight="1">
      <c r="G168" s="868"/>
      <c r="H168" s="868"/>
      <c r="I168" s="868"/>
    </row>
    <row r="169" spans="7:9" ht="15" customHeight="1">
      <c r="G169" s="868"/>
      <c r="H169" s="868"/>
      <c r="I169" s="868"/>
    </row>
    <row r="170" spans="7:9" ht="15" customHeight="1">
      <c r="G170" s="868"/>
      <c r="H170" s="868"/>
      <c r="I170" s="868"/>
    </row>
    <row r="171" spans="7:9" ht="15" customHeight="1">
      <c r="G171" s="868"/>
      <c r="H171" s="868"/>
      <c r="I171" s="868"/>
    </row>
    <row r="172" spans="7:9" ht="15" customHeight="1">
      <c r="G172" s="868"/>
      <c r="H172" s="868"/>
      <c r="I172" s="868"/>
    </row>
    <row r="173" spans="7:9" ht="15" customHeight="1">
      <c r="G173" s="868"/>
      <c r="H173" s="868"/>
      <c r="I173" s="868"/>
    </row>
    <row r="174" spans="7:9" ht="15" customHeight="1">
      <c r="G174" s="868"/>
      <c r="H174" s="868"/>
      <c r="I174" s="868"/>
    </row>
    <row r="175" spans="7:9" ht="15" customHeight="1">
      <c r="G175" s="868"/>
      <c r="H175" s="868"/>
      <c r="I175" s="868"/>
    </row>
    <row r="176" spans="7:9" ht="15" customHeight="1">
      <c r="G176" s="868"/>
      <c r="H176" s="868"/>
      <c r="I176" s="868"/>
    </row>
    <row r="177" spans="7:9" ht="15" customHeight="1">
      <c r="G177" s="868"/>
      <c r="H177" s="868"/>
      <c r="I177" s="868"/>
    </row>
    <row r="178" spans="7:9" ht="15" customHeight="1">
      <c r="G178" s="868"/>
      <c r="H178" s="868"/>
      <c r="I178" s="868"/>
    </row>
    <row r="179" spans="7:9" ht="15" customHeight="1">
      <c r="G179" s="868"/>
      <c r="H179" s="868"/>
      <c r="I179" s="868"/>
    </row>
    <row r="180" spans="7:9" ht="15" customHeight="1">
      <c r="G180" s="868"/>
      <c r="H180" s="868"/>
      <c r="I180" s="868"/>
    </row>
    <row r="181" spans="7:9" ht="15" customHeight="1">
      <c r="G181" s="868"/>
      <c r="H181" s="868"/>
      <c r="I181" s="868"/>
    </row>
    <row r="182" spans="7:9" ht="15" customHeight="1">
      <c r="G182" s="868"/>
      <c r="H182" s="868"/>
      <c r="I182" s="868"/>
    </row>
    <row r="183" spans="7:9" ht="15" customHeight="1">
      <c r="G183" s="868"/>
      <c r="H183" s="868"/>
      <c r="I183" s="868"/>
    </row>
    <row r="184" spans="7:9" ht="15" customHeight="1">
      <c r="G184" s="868"/>
      <c r="H184" s="868"/>
      <c r="I184" s="868"/>
    </row>
    <row r="185" spans="7:9" ht="15" customHeight="1">
      <c r="G185" s="868"/>
      <c r="H185" s="868"/>
      <c r="I185" s="868"/>
    </row>
    <row r="186" spans="7:9" ht="15" customHeight="1">
      <c r="G186" s="868"/>
      <c r="H186" s="868"/>
      <c r="I186" s="868"/>
    </row>
    <row r="187" spans="7:9" ht="15" customHeight="1">
      <c r="G187" s="868"/>
      <c r="H187" s="868"/>
      <c r="I187" s="868"/>
    </row>
    <row r="188" spans="7:9" ht="15" customHeight="1">
      <c r="G188" s="868"/>
      <c r="H188" s="868"/>
      <c r="I188" s="868"/>
    </row>
    <row r="189" spans="7:9" ht="15" customHeight="1">
      <c r="G189" s="868"/>
      <c r="H189" s="868"/>
      <c r="I189" s="868"/>
    </row>
    <row r="190" spans="7:9" ht="15" customHeight="1">
      <c r="G190" s="868"/>
      <c r="H190" s="868"/>
      <c r="I190" s="868"/>
    </row>
    <row r="191" spans="7:9" ht="15" customHeight="1">
      <c r="G191" s="868"/>
      <c r="H191" s="868"/>
      <c r="I191" s="868"/>
    </row>
    <row r="192" spans="7:9" ht="15" customHeight="1">
      <c r="G192" s="868"/>
      <c r="H192" s="868"/>
      <c r="I192" s="868"/>
    </row>
    <row r="193" spans="7:9" ht="15" customHeight="1">
      <c r="G193" s="868"/>
      <c r="H193" s="868"/>
      <c r="I193" s="868"/>
    </row>
    <row r="194" spans="7:9" ht="15" customHeight="1">
      <c r="G194" s="868"/>
      <c r="H194" s="868"/>
      <c r="I194" s="868"/>
    </row>
    <row r="195" spans="7:9" ht="15" customHeight="1">
      <c r="G195" s="868"/>
      <c r="H195" s="868"/>
      <c r="I195" s="868"/>
    </row>
    <row r="196" spans="7:9" ht="15" customHeight="1">
      <c r="G196" s="868"/>
      <c r="H196" s="868"/>
      <c r="I196" s="868"/>
    </row>
    <row r="197" spans="7:9" ht="15" customHeight="1">
      <c r="G197" s="868"/>
      <c r="H197" s="868"/>
      <c r="I197" s="868"/>
    </row>
    <row r="198" spans="7:9" ht="15" customHeight="1">
      <c r="G198" s="868"/>
      <c r="H198" s="868"/>
      <c r="I198" s="868"/>
    </row>
    <row r="199" spans="7:9" ht="15" customHeight="1">
      <c r="G199" s="868"/>
      <c r="H199" s="868"/>
      <c r="I199" s="868"/>
    </row>
    <row r="200" spans="7:9" ht="15" customHeight="1">
      <c r="G200" s="868"/>
      <c r="H200" s="868"/>
      <c r="I200" s="868"/>
    </row>
    <row r="201" spans="7:9" ht="15" customHeight="1">
      <c r="G201" s="868"/>
      <c r="H201" s="868"/>
      <c r="I201" s="868"/>
    </row>
    <row r="202" spans="7:9" ht="15" customHeight="1">
      <c r="G202" s="868"/>
      <c r="H202" s="868"/>
      <c r="I202" s="868"/>
    </row>
    <row r="203" spans="7:9" ht="15" customHeight="1">
      <c r="G203" s="868"/>
      <c r="H203" s="868"/>
      <c r="I203" s="868"/>
    </row>
    <row r="204" spans="7:9" ht="15" customHeight="1">
      <c r="G204" s="868"/>
      <c r="H204" s="868"/>
      <c r="I204" s="868"/>
    </row>
    <row r="205" spans="7:9" ht="15" customHeight="1">
      <c r="G205" s="868"/>
      <c r="H205" s="868"/>
      <c r="I205" s="868"/>
    </row>
    <row r="206" spans="7:9" ht="15" customHeight="1">
      <c r="G206" s="868"/>
      <c r="H206" s="868"/>
      <c r="I206" s="868"/>
    </row>
    <row r="207" spans="7:9" ht="15" customHeight="1">
      <c r="G207" s="868"/>
      <c r="H207" s="868"/>
      <c r="I207" s="868"/>
    </row>
    <row r="208" spans="7:9" ht="15" customHeight="1">
      <c r="G208" s="868"/>
      <c r="H208" s="868"/>
      <c r="I208" s="868"/>
    </row>
    <row r="209" spans="7:9" ht="15" customHeight="1">
      <c r="G209" s="868"/>
      <c r="H209" s="868"/>
      <c r="I209" s="868"/>
    </row>
    <row r="210" spans="7:9" ht="15" customHeight="1">
      <c r="G210" s="868"/>
      <c r="H210" s="868"/>
      <c r="I210" s="868"/>
    </row>
    <row r="211" spans="7:9" ht="15" customHeight="1">
      <c r="G211" s="868"/>
      <c r="H211" s="868"/>
      <c r="I211" s="868"/>
    </row>
    <row r="212" spans="7:9" ht="15" customHeight="1">
      <c r="G212" s="868"/>
      <c r="H212" s="868"/>
      <c r="I212" s="868"/>
    </row>
    <row r="213" spans="7:9" ht="15" customHeight="1">
      <c r="G213" s="868"/>
      <c r="H213" s="868"/>
      <c r="I213" s="868"/>
    </row>
    <row r="214" spans="7:9" ht="15" customHeight="1">
      <c r="G214" s="868"/>
      <c r="H214" s="868"/>
      <c r="I214" s="868"/>
    </row>
    <row r="215" spans="7:9" ht="15" customHeight="1">
      <c r="G215" s="868"/>
      <c r="H215" s="868"/>
      <c r="I215" s="868"/>
    </row>
    <row r="216" spans="7:9" ht="15" customHeight="1">
      <c r="G216" s="868"/>
      <c r="H216" s="868"/>
      <c r="I216" s="868"/>
    </row>
    <row r="217" spans="7:9" ht="15" customHeight="1">
      <c r="G217" s="868"/>
      <c r="H217" s="868"/>
      <c r="I217" s="868"/>
    </row>
    <row r="218" spans="7:9" ht="15" customHeight="1">
      <c r="G218" s="868"/>
      <c r="H218" s="868"/>
      <c r="I218" s="868"/>
    </row>
    <row r="219" spans="7:9" ht="15" customHeight="1">
      <c r="G219" s="868"/>
      <c r="H219" s="868"/>
      <c r="I219" s="868"/>
    </row>
    <row r="220" spans="7:9" ht="15" customHeight="1">
      <c r="G220" s="868"/>
      <c r="H220" s="868"/>
      <c r="I220" s="868"/>
    </row>
    <row r="221" spans="7:9" ht="15" customHeight="1">
      <c r="G221" s="868"/>
      <c r="H221" s="868"/>
      <c r="I221" s="868"/>
    </row>
    <row r="222" spans="7:9" ht="15" customHeight="1">
      <c r="G222" s="868"/>
      <c r="H222" s="868"/>
      <c r="I222" s="868"/>
    </row>
    <row r="223" spans="7:9" ht="15" customHeight="1">
      <c r="G223" s="868"/>
      <c r="H223" s="868"/>
      <c r="I223" s="868"/>
    </row>
    <row r="224" spans="7:9" ht="15" customHeight="1">
      <c r="G224" s="868"/>
      <c r="H224" s="868"/>
      <c r="I224" s="868"/>
    </row>
    <row r="225" spans="7:9" ht="15" customHeight="1">
      <c r="G225" s="868"/>
      <c r="H225" s="868"/>
      <c r="I225" s="868"/>
    </row>
    <row r="226" spans="7:9" ht="15" customHeight="1">
      <c r="G226" s="868"/>
      <c r="H226" s="868"/>
      <c r="I226" s="868"/>
    </row>
    <row r="227" spans="7:9" ht="15" customHeight="1">
      <c r="G227" s="868"/>
      <c r="H227" s="868"/>
      <c r="I227" s="868"/>
    </row>
    <row r="228" spans="7:9" ht="15" customHeight="1">
      <c r="G228" s="868"/>
      <c r="H228" s="868"/>
      <c r="I228" s="868"/>
    </row>
    <row r="229" spans="7:9" ht="15" customHeight="1">
      <c r="G229" s="868"/>
      <c r="H229" s="868"/>
      <c r="I229" s="868"/>
    </row>
    <row r="230" spans="7:9" ht="15" customHeight="1">
      <c r="G230" s="868"/>
      <c r="H230" s="868"/>
      <c r="I230" s="868"/>
    </row>
    <row r="231" spans="7:9" ht="15" customHeight="1">
      <c r="G231" s="868"/>
      <c r="H231" s="868"/>
      <c r="I231" s="868"/>
    </row>
    <row r="232" spans="7:9" ht="15" customHeight="1">
      <c r="G232" s="868"/>
      <c r="H232" s="868"/>
      <c r="I232" s="868"/>
    </row>
    <row r="233" spans="7:9" ht="15" customHeight="1">
      <c r="G233" s="868"/>
      <c r="H233" s="868"/>
      <c r="I233" s="868"/>
    </row>
    <row r="234" spans="7:9" ht="15" customHeight="1">
      <c r="G234" s="868"/>
      <c r="H234" s="868"/>
      <c r="I234" s="868"/>
    </row>
    <row r="235" spans="7:9" ht="15" customHeight="1">
      <c r="G235" s="868"/>
      <c r="H235" s="868"/>
      <c r="I235" s="868"/>
    </row>
    <row r="236" spans="7:9" ht="15" customHeight="1">
      <c r="G236" s="868"/>
      <c r="H236" s="868"/>
      <c r="I236" s="868"/>
    </row>
    <row r="237" spans="7:9" ht="15" customHeight="1">
      <c r="G237" s="868"/>
      <c r="H237" s="868"/>
      <c r="I237" s="868"/>
    </row>
    <row r="238" spans="7:9" ht="15" customHeight="1">
      <c r="G238" s="868"/>
      <c r="H238" s="868"/>
      <c r="I238" s="868"/>
    </row>
    <row r="239" spans="7:9" ht="15" customHeight="1">
      <c r="G239" s="868"/>
      <c r="H239" s="868"/>
      <c r="I239" s="868"/>
    </row>
    <row r="240" spans="7:9" ht="15" customHeight="1">
      <c r="G240" s="868"/>
      <c r="H240" s="868"/>
      <c r="I240" s="868"/>
    </row>
    <row r="241" spans="7:9" ht="15" customHeight="1">
      <c r="G241" s="868"/>
      <c r="H241" s="868"/>
      <c r="I241" s="868"/>
    </row>
    <row r="242" spans="7:9" ht="15" customHeight="1">
      <c r="G242" s="868"/>
      <c r="H242" s="868"/>
      <c r="I242" s="868"/>
    </row>
    <row r="243" spans="7:9" ht="15" customHeight="1">
      <c r="G243" s="868"/>
      <c r="H243" s="868"/>
      <c r="I243" s="868"/>
    </row>
    <row r="244" spans="7:9" ht="15" customHeight="1">
      <c r="G244" s="868"/>
      <c r="H244" s="868"/>
      <c r="I244" s="868"/>
    </row>
    <row r="245" spans="7:9" ht="15" customHeight="1">
      <c r="G245" s="868"/>
      <c r="H245" s="868"/>
      <c r="I245" s="868"/>
    </row>
    <row r="246" spans="7:9" ht="15" customHeight="1">
      <c r="G246" s="868"/>
      <c r="H246" s="868"/>
      <c r="I246" s="868"/>
    </row>
    <row r="247" spans="7:9" ht="15" customHeight="1">
      <c r="G247" s="868"/>
      <c r="H247" s="868"/>
      <c r="I247" s="868"/>
    </row>
    <row r="248" spans="7:9" ht="15" customHeight="1">
      <c r="G248" s="868"/>
      <c r="H248" s="868"/>
      <c r="I248" s="868"/>
    </row>
    <row r="249" spans="7:9" ht="15" customHeight="1">
      <c r="G249" s="868"/>
      <c r="H249" s="868"/>
      <c r="I249" s="868"/>
    </row>
    <row r="250" spans="7:9" ht="15" customHeight="1">
      <c r="G250" s="868"/>
      <c r="H250" s="868"/>
      <c r="I250" s="868"/>
    </row>
    <row r="251" spans="7:9" ht="15" customHeight="1">
      <c r="G251" s="868"/>
      <c r="H251" s="868"/>
      <c r="I251" s="868"/>
    </row>
    <row r="252" spans="7:9" ht="15" customHeight="1">
      <c r="G252" s="868"/>
      <c r="H252" s="868"/>
      <c r="I252" s="868"/>
    </row>
    <row r="253" spans="7:9" ht="15" customHeight="1">
      <c r="G253" s="868"/>
      <c r="H253" s="868"/>
      <c r="I253" s="868"/>
    </row>
    <row r="254" spans="7:9" ht="15" customHeight="1">
      <c r="G254" s="868"/>
      <c r="H254" s="868"/>
      <c r="I254" s="868"/>
    </row>
    <row r="255" spans="7:9" ht="15" customHeight="1">
      <c r="G255" s="868"/>
      <c r="H255" s="868"/>
      <c r="I255" s="868"/>
    </row>
    <row r="256" spans="7:9" ht="15" customHeight="1">
      <c r="G256" s="868"/>
      <c r="H256" s="868"/>
      <c r="I256" s="868"/>
    </row>
    <row r="257" spans="7:9" ht="15" customHeight="1">
      <c r="G257" s="868"/>
      <c r="H257" s="868"/>
      <c r="I257" s="868"/>
    </row>
    <row r="258" spans="7:9" ht="15" customHeight="1">
      <c r="G258" s="868"/>
      <c r="H258" s="868"/>
      <c r="I258" s="868"/>
    </row>
    <row r="259" spans="7:9" ht="15" customHeight="1">
      <c r="G259" s="868"/>
      <c r="H259" s="868"/>
      <c r="I259" s="868"/>
    </row>
    <row r="260" spans="7:9" ht="15" customHeight="1">
      <c r="G260" s="868"/>
      <c r="H260" s="868"/>
      <c r="I260" s="868"/>
    </row>
    <row r="261" spans="7:9" ht="15" customHeight="1">
      <c r="G261" s="868"/>
      <c r="H261" s="868"/>
      <c r="I261" s="868"/>
    </row>
    <row r="262" spans="7:9" ht="15" customHeight="1">
      <c r="G262" s="868"/>
      <c r="H262" s="868"/>
      <c r="I262" s="868"/>
    </row>
    <row r="263" spans="7:9" ht="15" customHeight="1">
      <c r="G263" s="868"/>
      <c r="H263" s="868"/>
      <c r="I263" s="868"/>
    </row>
    <row r="264" spans="7:9" ht="15" customHeight="1">
      <c r="G264" s="868"/>
      <c r="H264" s="868"/>
      <c r="I264" s="868"/>
    </row>
    <row r="265" spans="7:9" ht="15" customHeight="1">
      <c r="G265" s="868"/>
      <c r="H265" s="868"/>
      <c r="I265" s="868"/>
    </row>
    <row r="266" spans="7:9" ht="15" customHeight="1">
      <c r="G266" s="868"/>
      <c r="H266" s="868"/>
      <c r="I266" s="868"/>
    </row>
    <row r="267" spans="7:9" ht="15" customHeight="1">
      <c r="G267" s="868"/>
      <c r="H267" s="868"/>
      <c r="I267" s="868"/>
    </row>
    <row r="268" spans="7:9" ht="15" customHeight="1">
      <c r="G268" s="868"/>
      <c r="H268" s="868"/>
      <c r="I268" s="868"/>
    </row>
    <row r="269" spans="7:9" ht="15" customHeight="1">
      <c r="G269" s="868"/>
      <c r="H269" s="868"/>
      <c r="I269" s="868"/>
    </row>
    <row r="270" spans="7:9" ht="15" customHeight="1">
      <c r="G270" s="868"/>
      <c r="H270" s="868"/>
      <c r="I270" s="868"/>
    </row>
    <row r="271" spans="7:9" ht="15" customHeight="1">
      <c r="G271" s="868"/>
      <c r="H271" s="868"/>
      <c r="I271" s="868"/>
    </row>
    <row r="272" spans="7:9" ht="15" customHeight="1">
      <c r="G272" s="868"/>
      <c r="H272" s="868"/>
      <c r="I272" s="868"/>
    </row>
    <row r="273" spans="7:9" ht="15" customHeight="1">
      <c r="G273" s="868"/>
      <c r="H273" s="868"/>
      <c r="I273" s="868"/>
    </row>
    <row r="274" spans="7:9" ht="15" customHeight="1">
      <c r="G274" s="868"/>
      <c r="H274" s="868"/>
      <c r="I274" s="868"/>
    </row>
    <row r="275" spans="7:9" ht="15" customHeight="1">
      <c r="G275" s="868"/>
      <c r="H275" s="868"/>
      <c r="I275" s="868"/>
    </row>
    <row r="276" spans="7:9" ht="15" customHeight="1">
      <c r="G276" s="868"/>
      <c r="H276" s="868"/>
      <c r="I276" s="868"/>
    </row>
    <row r="277" spans="7:9" ht="15" customHeight="1">
      <c r="G277" s="868"/>
      <c r="H277" s="868"/>
      <c r="I277" s="868"/>
    </row>
    <row r="278" spans="7:9" ht="15" customHeight="1">
      <c r="G278" s="868"/>
      <c r="H278" s="868"/>
      <c r="I278" s="868"/>
    </row>
    <row r="279" spans="7:9" ht="15" customHeight="1">
      <c r="G279" s="868"/>
      <c r="H279" s="868"/>
      <c r="I279" s="868"/>
    </row>
    <row r="280" spans="7:9" ht="15" customHeight="1">
      <c r="G280" s="868"/>
      <c r="H280" s="868"/>
      <c r="I280" s="868"/>
    </row>
    <row r="281" spans="7:9" ht="15" customHeight="1">
      <c r="G281" s="868"/>
      <c r="H281" s="868"/>
      <c r="I281" s="868"/>
    </row>
    <row r="282" spans="7:9" ht="15" customHeight="1">
      <c r="G282" s="868"/>
      <c r="H282" s="868"/>
      <c r="I282" s="868"/>
    </row>
    <row r="283" spans="7:9" ht="15" customHeight="1">
      <c r="G283" s="868"/>
      <c r="H283" s="868"/>
      <c r="I283" s="868"/>
    </row>
    <row r="284" spans="7:9" ht="15" customHeight="1">
      <c r="G284" s="868"/>
      <c r="H284" s="868"/>
      <c r="I284" s="868"/>
    </row>
    <row r="285" spans="7:9" ht="15" customHeight="1">
      <c r="G285" s="868"/>
      <c r="H285" s="868"/>
      <c r="I285" s="868"/>
    </row>
    <row r="286" spans="7:9" ht="15" customHeight="1">
      <c r="G286" s="868"/>
      <c r="H286" s="868"/>
      <c r="I286" s="868"/>
    </row>
    <row r="287" spans="7:9" ht="15" customHeight="1">
      <c r="G287" s="868"/>
      <c r="H287" s="868"/>
      <c r="I287" s="868"/>
    </row>
    <row r="288" spans="7:9" ht="15" customHeight="1">
      <c r="G288" s="868"/>
      <c r="H288" s="868"/>
      <c r="I288" s="868"/>
    </row>
    <row r="289" spans="7:9" ht="15" customHeight="1">
      <c r="G289" s="868"/>
      <c r="H289" s="868"/>
      <c r="I289" s="868"/>
    </row>
    <row r="290" spans="7:9" ht="15" customHeight="1">
      <c r="G290" s="868"/>
      <c r="H290" s="868"/>
      <c r="I290" s="868"/>
    </row>
    <row r="291" spans="7:9" ht="15" customHeight="1">
      <c r="G291" s="868"/>
      <c r="H291" s="868"/>
      <c r="I291" s="868"/>
    </row>
    <row r="292" spans="7:9" ht="15" customHeight="1">
      <c r="G292" s="868"/>
      <c r="H292" s="868"/>
      <c r="I292" s="868"/>
    </row>
    <row r="293" spans="7:9" ht="15" customHeight="1">
      <c r="G293" s="868"/>
      <c r="H293" s="868"/>
      <c r="I293" s="868"/>
    </row>
    <row r="294" spans="7:9" ht="15" customHeight="1">
      <c r="G294" s="868"/>
      <c r="H294" s="868"/>
      <c r="I294" s="868"/>
    </row>
    <row r="295" spans="7:9" ht="15" customHeight="1">
      <c r="G295" s="868"/>
      <c r="H295" s="868"/>
      <c r="I295" s="868"/>
    </row>
    <row r="296" spans="7:9" ht="15" customHeight="1">
      <c r="G296" s="868"/>
      <c r="H296" s="868"/>
      <c r="I296" s="868"/>
    </row>
    <row r="297" spans="7:9" ht="15" customHeight="1">
      <c r="G297" s="868"/>
      <c r="H297" s="868"/>
      <c r="I297" s="868"/>
    </row>
    <row r="298" spans="7:9" ht="15" customHeight="1">
      <c r="G298" s="868"/>
      <c r="H298" s="868"/>
      <c r="I298" s="868"/>
    </row>
    <row r="299" spans="7:9" ht="15" customHeight="1">
      <c r="G299" s="868"/>
      <c r="H299" s="868"/>
      <c r="I299" s="868"/>
    </row>
    <row r="300" spans="7:9" ht="15" customHeight="1">
      <c r="G300" s="868"/>
      <c r="H300" s="868"/>
      <c r="I300" s="868"/>
    </row>
    <row r="301" spans="7:9" ht="15" customHeight="1">
      <c r="G301" s="868"/>
      <c r="H301" s="868"/>
      <c r="I301" s="868"/>
    </row>
    <row r="302" spans="7:9" ht="15" customHeight="1">
      <c r="G302" s="868"/>
      <c r="H302" s="868"/>
      <c r="I302" s="868"/>
    </row>
    <row r="303" spans="7:9" ht="15" customHeight="1">
      <c r="G303" s="868"/>
      <c r="H303" s="868"/>
      <c r="I303" s="868"/>
    </row>
    <row r="304" spans="7:9" ht="15" customHeight="1">
      <c r="G304" s="868"/>
      <c r="H304" s="868"/>
      <c r="I304" s="868"/>
    </row>
    <row r="305" spans="7:9" ht="15" customHeight="1">
      <c r="G305" s="868"/>
      <c r="H305" s="868"/>
      <c r="I305" s="868"/>
    </row>
    <row r="306" spans="7:9" ht="15" customHeight="1">
      <c r="G306" s="868"/>
      <c r="H306" s="868"/>
      <c r="I306" s="868"/>
    </row>
    <row r="307" spans="7:9" ht="15" customHeight="1">
      <c r="G307" s="868"/>
      <c r="H307" s="868"/>
      <c r="I307" s="868"/>
    </row>
    <row r="308" spans="7:9" ht="15" customHeight="1">
      <c r="G308" s="868"/>
      <c r="H308" s="868"/>
      <c r="I308" s="868"/>
    </row>
    <row r="309" spans="7:9" ht="15" customHeight="1">
      <c r="G309" s="868"/>
      <c r="H309" s="868"/>
      <c r="I309" s="868"/>
    </row>
    <row r="310" spans="7:9" ht="15" customHeight="1">
      <c r="G310" s="868"/>
      <c r="H310" s="868"/>
      <c r="I310" s="868"/>
    </row>
    <row r="311" spans="7:9" ht="15" customHeight="1">
      <c r="G311" s="868"/>
      <c r="H311" s="868"/>
      <c r="I311" s="868"/>
    </row>
    <row r="312" spans="7:9" ht="15" customHeight="1">
      <c r="G312" s="868"/>
      <c r="H312" s="868"/>
      <c r="I312" s="868"/>
    </row>
    <row r="313" spans="7:9" ht="15" customHeight="1">
      <c r="G313" s="868"/>
      <c r="H313" s="868"/>
      <c r="I313" s="868"/>
    </row>
    <row r="314" spans="7:9" ht="15" customHeight="1">
      <c r="G314" s="868"/>
      <c r="H314" s="868"/>
      <c r="I314" s="868"/>
    </row>
    <row r="315" spans="7:9" ht="15" customHeight="1">
      <c r="G315" s="868"/>
      <c r="H315" s="868"/>
      <c r="I315" s="868"/>
    </row>
    <row r="316" spans="7:9" ht="15" customHeight="1">
      <c r="G316" s="868"/>
      <c r="H316" s="868"/>
      <c r="I316" s="868"/>
    </row>
    <row r="317" spans="7:9" ht="15" customHeight="1">
      <c r="G317" s="868"/>
      <c r="H317" s="868"/>
      <c r="I317" s="868"/>
    </row>
    <row r="318" spans="7:9" ht="15" customHeight="1">
      <c r="G318" s="868"/>
      <c r="H318" s="868"/>
      <c r="I318" s="868"/>
    </row>
    <row r="319" spans="7:9" ht="15" customHeight="1">
      <c r="G319" s="868"/>
      <c r="H319" s="868"/>
      <c r="I319" s="868"/>
    </row>
    <row r="320" spans="7:9" ht="15" customHeight="1">
      <c r="G320" s="868"/>
      <c r="H320" s="868"/>
      <c r="I320" s="868"/>
    </row>
    <row r="321" spans="7:9" ht="15" customHeight="1">
      <c r="G321" s="868"/>
      <c r="H321" s="868"/>
      <c r="I321" s="868"/>
    </row>
    <row r="322" spans="7:9" ht="15" customHeight="1">
      <c r="G322" s="868"/>
      <c r="H322" s="868"/>
      <c r="I322" s="868"/>
    </row>
    <row r="323" spans="7:9" ht="15" customHeight="1">
      <c r="G323" s="868"/>
      <c r="H323" s="868"/>
      <c r="I323" s="868"/>
    </row>
    <row r="324" spans="7:9" ht="15" customHeight="1">
      <c r="G324" s="868"/>
      <c r="H324" s="868"/>
      <c r="I324" s="868"/>
    </row>
    <row r="325" spans="7:9" ht="15" customHeight="1">
      <c r="G325" s="868"/>
      <c r="H325" s="868"/>
      <c r="I325" s="868"/>
    </row>
    <row r="326" spans="7:9" ht="15" customHeight="1">
      <c r="G326" s="868"/>
      <c r="H326" s="868"/>
      <c r="I326" s="868"/>
    </row>
    <row r="327" spans="7:9" ht="15" customHeight="1">
      <c r="G327" s="868"/>
      <c r="H327" s="868"/>
      <c r="I327" s="868"/>
    </row>
    <row r="328" spans="7:9" ht="15" customHeight="1">
      <c r="G328" s="868"/>
      <c r="H328" s="868"/>
      <c r="I328" s="868"/>
    </row>
    <row r="329" spans="7:9" ht="15" customHeight="1">
      <c r="G329" s="868"/>
      <c r="H329" s="868"/>
      <c r="I329" s="868"/>
    </row>
    <row r="330" spans="7:9" ht="15" customHeight="1">
      <c r="G330" s="868"/>
      <c r="H330" s="868"/>
      <c r="I330" s="868"/>
    </row>
    <row r="331" spans="7:9" ht="15" customHeight="1">
      <c r="G331" s="868"/>
      <c r="H331" s="868"/>
      <c r="I331" s="868"/>
    </row>
    <row r="332" spans="7:9" ht="15" customHeight="1">
      <c r="G332" s="868"/>
      <c r="H332" s="868"/>
      <c r="I332" s="868"/>
    </row>
    <row r="333" spans="7:9" ht="15" customHeight="1">
      <c r="G333" s="868"/>
      <c r="H333" s="868"/>
      <c r="I333" s="868"/>
    </row>
    <row r="334" spans="7:9" ht="15" customHeight="1">
      <c r="G334" s="868"/>
      <c r="H334" s="868"/>
      <c r="I334" s="868"/>
    </row>
    <row r="335" spans="7:9" ht="15" customHeight="1">
      <c r="G335" s="868"/>
      <c r="H335" s="868"/>
      <c r="I335" s="868"/>
    </row>
    <row r="336" spans="7:9" ht="15" customHeight="1">
      <c r="G336" s="868"/>
      <c r="H336" s="868"/>
      <c r="I336" s="868"/>
    </row>
    <row r="337" spans="7:9" ht="15" customHeight="1">
      <c r="G337" s="868"/>
      <c r="H337" s="868"/>
      <c r="I337" s="868"/>
    </row>
    <row r="338" spans="7:9" ht="15" customHeight="1">
      <c r="G338" s="868"/>
      <c r="H338" s="868"/>
      <c r="I338" s="868"/>
    </row>
    <row r="339" spans="7:9" ht="15" customHeight="1">
      <c r="G339" s="868"/>
      <c r="H339" s="868"/>
      <c r="I339" s="868"/>
    </row>
    <row r="340" spans="7:9" ht="15" customHeight="1">
      <c r="G340" s="868"/>
      <c r="H340" s="868"/>
      <c r="I340" s="868"/>
    </row>
    <row r="341" spans="7:9" ht="15" customHeight="1">
      <c r="G341" s="868"/>
      <c r="H341" s="868"/>
      <c r="I341" s="868"/>
    </row>
    <row r="342" spans="7:9" ht="15" customHeight="1">
      <c r="G342" s="868"/>
      <c r="H342" s="868"/>
      <c r="I342" s="868"/>
    </row>
    <row r="343" spans="7:9" ht="15" customHeight="1">
      <c r="G343" s="868"/>
      <c r="H343" s="868"/>
      <c r="I343" s="868"/>
    </row>
    <row r="344" spans="7:9" ht="15" customHeight="1">
      <c r="G344" s="868"/>
      <c r="H344" s="868"/>
      <c r="I344" s="868"/>
    </row>
    <row r="345" spans="7:9" ht="15" customHeight="1">
      <c r="G345" s="868"/>
      <c r="H345" s="868"/>
      <c r="I345" s="868"/>
    </row>
    <row r="346" spans="7:9" ht="15" customHeight="1">
      <c r="G346" s="868"/>
      <c r="H346" s="868"/>
      <c r="I346" s="868"/>
    </row>
    <row r="347" spans="7:9" ht="15" customHeight="1">
      <c r="G347" s="868"/>
      <c r="H347" s="868"/>
      <c r="I347" s="868"/>
    </row>
    <row r="348" spans="7:9" ht="15" customHeight="1">
      <c r="G348" s="868"/>
      <c r="H348" s="868"/>
      <c r="I348" s="868"/>
    </row>
    <row r="349" spans="7:9" ht="15" customHeight="1">
      <c r="G349" s="868"/>
      <c r="H349" s="868"/>
      <c r="I349" s="868"/>
    </row>
    <row r="350" spans="7:9" ht="15" customHeight="1">
      <c r="G350" s="868"/>
      <c r="H350" s="868"/>
      <c r="I350" s="868"/>
    </row>
    <row r="351" spans="7:9" ht="15" customHeight="1">
      <c r="G351" s="868"/>
      <c r="H351" s="868"/>
      <c r="I351" s="868"/>
    </row>
    <row r="352" spans="7:9" ht="15" customHeight="1">
      <c r="G352" s="868"/>
      <c r="H352" s="868"/>
      <c r="I352" s="868"/>
    </row>
    <row r="353" spans="7:9" ht="15" customHeight="1">
      <c r="G353" s="868"/>
      <c r="H353" s="868"/>
      <c r="I353" s="868"/>
    </row>
    <row r="354" spans="7:9" ht="15" customHeight="1">
      <c r="G354" s="868"/>
      <c r="H354" s="868"/>
      <c r="I354" s="868"/>
    </row>
    <row r="355" spans="7:9" ht="15" customHeight="1">
      <c r="G355" s="868"/>
      <c r="H355" s="868"/>
      <c r="I355" s="868"/>
    </row>
    <row r="356" spans="7:9" ht="15" customHeight="1">
      <c r="G356" s="868"/>
      <c r="H356" s="868"/>
      <c r="I356" s="868"/>
    </row>
    <row r="357" spans="7:9" ht="15" customHeight="1">
      <c r="G357" s="868"/>
      <c r="H357" s="868"/>
      <c r="I357" s="868"/>
    </row>
    <row r="358" spans="7:9" ht="15" customHeight="1">
      <c r="G358" s="868"/>
      <c r="H358" s="868"/>
      <c r="I358" s="868"/>
    </row>
    <row r="359" spans="7:9" ht="15" customHeight="1">
      <c r="G359" s="868"/>
      <c r="H359" s="868"/>
      <c r="I359" s="868"/>
    </row>
    <row r="360" spans="7:9" ht="15" customHeight="1">
      <c r="G360" s="868"/>
      <c r="H360" s="868"/>
      <c r="I360" s="868"/>
    </row>
    <row r="361" spans="7:9" ht="15" customHeight="1">
      <c r="G361" s="868"/>
      <c r="H361" s="868"/>
      <c r="I361" s="868"/>
    </row>
    <row r="362" spans="7:9" ht="15" customHeight="1">
      <c r="G362" s="868"/>
      <c r="H362" s="868"/>
      <c r="I362" s="868"/>
    </row>
    <row r="363" spans="7:9" ht="15" customHeight="1">
      <c r="G363" s="868"/>
      <c r="H363" s="868"/>
      <c r="I363" s="868"/>
    </row>
    <row r="364" spans="7:9" ht="15" customHeight="1">
      <c r="G364" s="868"/>
      <c r="H364" s="868"/>
      <c r="I364" s="868"/>
    </row>
    <row r="365" spans="7:9" ht="15" customHeight="1">
      <c r="G365" s="868"/>
      <c r="H365" s="868"/>
      <c r="I365" s="868"/>
    </row>
    <row r="366" spans="7:9" ht="15" customHeight="1">
      <c r="G366" s="868"/>
      <c r="H366" s="868"/>
      <c r="I366" s="868"/>
    </row>
    <row r="367" spans="7:9" ht="15" customHeight="1">
      <c r="G367" s="868"/>
      <c r="H367" s="868"/>
      <c r="I367" s="868"/>
    </row>
    <row r="368" spans="7:9" ht="15" customHeight="1">
      <c r="G368" s="868"/>
      <c r="H368" s="868"/>
      <c r="I368" s="868"/>
    </row>
    <row r="369" spans="7:9" ht="15" customHeight="1">
      <c r="G369" s="868"/>
      <c r="H369" s="868"/>
      <c r="I369" s="868"/>
    </row>
    <row r="370" spans="7:9" ht="15" customHeight="1">
      <c r="G370" s="868"/>
      <c r="H370" s="868"/>
      <c r="I370" s="868"/>
    </row>
    <row r="371" spans="7:9" ht="15" customHeight="1">
      <c r="G371" s="868"/>
      <c r="H371" s="868"/>
      <c r="I371" s="868"/>
    </row>
    <row r="372" spans="7:9" ht="15" customHeight="1">
      <c r="G372" s="868"/>
      <c r="H372" s="868"/>
      <c r="I372" s="868"/>
    </row>
    <row r="373" spans="7:9" ht="15" customHeight="1">
      <c r="G373" s="868"/>
      <c r="H373" s="868"/>
      <c r="I373" s="868"/>
    </row>
    <row r="374" spans="7:9" ht="15" customHeight="1">
      <c r="G374" s="868"/>
      <c r="H374" s="868"/>
      <c r="I374" s="868"/>
    </row>
    <row r="375" spans="7:9" ht="15" customHeight="1">
      <c r="G375" s="868"/>
      <c r="H375" s="868"/>
      <c r="I375" s="868"/>
    </row>
    <row r="376" spans="7:9" ht="15" customHeight="1">
      <c r="G376" s="868"/>
      <c r="H376" s="868"/>
      <c r="I376" s="868"/>
    </row>
    <row r="377" spans="7:9" ht="15" customHeight="1">
      <c r="G377" s="868"/>
      <c r="H377" s="868"/>
      <c r="I377" s="868"/>
    </row>
    <row r="378" spans="7:9" ht="15" customHeight="1">
      <c r="G378" s="868"/>
      <c r="H378" s="868"/>
      <c r="I378" s="868"/>
    </row>
    <row r="379" spans="7:9" ht="15" customHeight="1">
      <c r="G379" s="868"/>
      <c r="H379" s="868"/>
      <c r="I379" s="868"/>
    </row>
    <row r="380" spans="7:9" ht="15" customHeight="1">
      <c r="G380" s="868"/>
      <c r="H380" s="868"/>
      <c r="I380" s="868"/>
    </row>
    <row r="381" spans="7:9" ht="15" customHeight="1">
      <c r="G381" s="868"/>
      <c r="H381" s="868"/>
      <c r="I381" s="868"/>
    </row>
    <row r="382" spans="7:9" ht="15" customHeight="1">
      <c r="G382" s="868"/>
      <c r="H382" s="868"/>
      <c r="I382" s="868"/>
    </row>
    <row r="383" spans="7:9" ht="15" customHeight="1">
      <c r="G383" s="868"/>
      <c r="H383" s="868"/>
      <c r="I383" s="868"/>
    </row>
    <row r="384" spans="7:9" ht="15" customHeight="1">
      <c r="G384" s="868"/>
      <c r="H384" s="868"/>
      <c r="I384" s="868"/>
    </row>
    <row r="385" spans="7:9" ht="15" customHeight="1">
      <c r="G385" s="868"/>
      <c r="H385" s="868"/>
      <c r="I385" s="868"/>
    </row>
    <row r="386" spans="7:9" ht="15" customHeight="1">
      <c r="G386" s="868"/>
      <c r="H386" s="868"/>
      <c r="I386" s="868"/>
    </row>
    <row r="387" spans="7:9" ht="15" customHeight="1">
      <c r="G387" s="868"/>
      <c r="H387" s="868"/>
      <c r="I387" s="868"/>
    </row>
    <row r="388" spans="7:9" ht="15" customHeight="1">
      <c r="G388" s="868"/>
      <c r="H388" s="868"/>
      <c r="I388" s="868"/>
    </row>
    <row r="389" spans="7:9" ht="15" customHeight="1">
      <c r="G389" s="868"/>
      <c r="H389" s="868"/>
      <c r="I389" s="868"/>
    </row>
    <row r="390" spans="7:9" ht="15" customHeight="1">
      <c r="G390" s="868"/>
      <c r="H390" s="868"/>
      <c r="I390" s="868"/>
    </row>
    <row r="391" spans="7:9" ht="15" customHeight="1">
      <c r="G391" s="868"/>
      <c r="H391" s="868"/>
      <c r="I391" s="868"/>
    </row>
    <row r="392" spans="7:9" ht="15" customHeight="1">
      <c r="G392" s="868"/>
      <c r="H392" s="868"/>
      <c r="I392" s="868"/>
    </row>
    <row r="393" spans="7:9" ht="15" customHeight="1">
      <c r="G393" s="868"/>
      <c r="H393" s="868"/>
      <c r="I393" s="868"/>
    </row>
    <row r="394" spans="7:9" ht="15" customHeight="1">
      <c r="G394" s="868"/>
      <c r="H394" s="868"/>
      <c r="I394" s="868"/>
    </row>
    <row r="395" spans="7:9" ht="15" customHeight="1">
      <c r="G395" s="868"/>
      <c r="H395" s="868"/>
      <c r="I395" s="868"/>
    </row>
    <row r="396" spans="7:9" ht="15" customHeight="1">
      <c r="G396" s="868"/>
      <c r="H396" s="868"/>
      <c r="I396" s="868"/>
    </row>
    <row r="397" spans="7:9" ht="15" customHeight="1">
      <c r="G397" s="868"/>
      <c r="H397" s="868"/>
      <c r="I397" s="868"/>
    </row>
    <row r="398" spans="7:9" ht="15" customHeight="1">
      <c r="G398" s="868"/>
      <c r="H398" s="868"/>
      <c r="I398" s="868"/>
    </row>
    <row r="399" spans="7:9" ht="15" customHeight="1">
      <c r="G399" s="868"/>
      <c r="H399" s="868"/>
      <c r="I399" s="868"/>
    </row>
    <row r="400" spans="7:9" ht="15" customHeight="1">
      <c r="G400" s="868"/>
      <c r="H400" s="868"/>
      <c r="I400" s="868"/>
    </row>
    <row r="401" spans="7:9" ht="15" customHeight="1">
      <c r="G401" s="868"/>
      <c r="H401" s="868"/>
      <c r="I401" s="868"/>
    </row>
    <row r="402" spans="7:9" ht="15" customHeight="1">
      <c r="G402" s="868"/>
      <c r="H402" s="868"/>
      <c r="I402" s="868"/>
    </row>
    <row r="403" spans="7:9" ht="15" customHeight="1">
      <c r="G403" s="868"/>
      <c r="H403" s="868"/>
      <c r="I403" s="868"/>
    </row>
    <row r="404" spans="7:9" ht="15" customHeight="1">
      <c r="G404" s="868"/>
      <c r="H404" s="868"/>
      <c r="I404" s="868"/>
    </row>
    <row r="405" spans="7:9" ht="15" customHeight="1">
      <c r="G405" s="868"/>
      <c r="H405" s="868"/>
      <c r="I405" s="868"/>
    </row>
    <row r="406" spans="7:9" ht="15" customHeight="1">
      <c r="G406" s="868"/>
      <c r="H406" s="868"/>
      <c r="I406" s="868"/>
    </row>
    <row r="407" spans="7:9" ht="15" customHeight="1">
      <c r="G407" s="868"/>
      <c r="H407" s="868"/>
      <c r="I407" s="868"/>
    </row>
    <row r="408" spans="7:9" ht="15" customHeight="1">
      <c r="G408" s="868"/>
      <c r="H408" s="868"/>
      <c r="I408" s="868"/>
    </row>
    <row r="409" spans="7:9" ht="15" customHeight="1">
      <c r="G409" s="868"/>
      <c r="H409" s="868"/>
      <c r="I409" s="868"/>
    </row>
    <row r="410" spans="7:9" ht="15" customHeight="1">
      <c r="G410" s="868"/>
      <c r="H410" s="868"/>
      <c r="I410" s="868"/>
    </row>
    <row r="411" spans="7:9" ht="15" customHeight="1">
      <c r="G411" s="868"/>
      <c r="H411" s="868"/>
      <c r="I411" s="868"/>
    </row>
    <row r="412" spans="7:9" ht="15" customHeight="1">
      <c r="G412" s="868"/>
      <c r="H412" s="868"/>
      <c r="I412" s="868"/>
    </row>
    <row r="413" spans="7:9" ht="15" customHeight="1">
      <c r="G413" s="868"/>
      <c r="H413" s="868"/>
      <c r="I413" s="868"/>
    </row>
    <row r="414" spans="7:9" ht="15" customHeight="1">
      <c r="G414" s="868"/>
      <c r="H414" s="868"/>
      <c r="I414" s="868"/>
    </row>
    <row r="415" spans="7:9" ht="15" customHeight="1">
      <c r="G415" s="868"/>
      <c r="H415" s="868"/>
      <c r="I415" s="868"/>
    </row>
    <row r="416" spans="7:9" ht="15" customHeight="1">
      <c r="G416" s="868"/>
      <c r="H416" s="868"/>
      <c r="I416" s="868"/>
    </row>
    <row r="417" spans="7:9" ht="15" customHeight="1">
      <c r="G417" s="868"/>
      <c r="H417" s="868"/>
      <c r="I417" s="868"/>
    </row>
    <row r="418" spans="7:9" ht="15" customHeight="1">
      <c r="G418" s="868"/>
      <c r="H418" s="868"/>
      <c r="I418" s="868"/>
    </row>
    <row r="419" spans="7:9" ht="15" customHeight="1">
      <c r="G419" s="868"/>
      <c r="H419" s="868"/>
      <c r="I419" s="868"/>
    </row>
    <row r="420" spans="7:9" ht="15" customHeight="1">
      <c r="G420" s="868"/>
      <c r="H420" s="868"/>
      <c r="I420" s="868"/>
    </row>
    <row r="421" spans="7:9" ht="15" customHeight="1">
      <c r="G421" s="868"/>
      <c r="H421" s="868"/>
      <c r="I421" s="868"/>
    </row>
    <row r="422" spans="7:9" ht="15" customHeight="1">
      <c r="G422" s="868"/>
      <c r="H422" s="868"/>
      <c r="I422" s="868"/>
    </row>
    <row r="423" spans="7:9" ht="15" customHeight="1">
      <c r="G423" s="868"/>
      <c r="H423" s="868"/>
      <c r="I423" s="868"/>
    </row>
    <row r="424" spans="7:9" ht="15" customHeight="1">
      <c r="G424" s="868"/>
      <c r="H424" s="868"/>
      <c r="I424" s="868"/>
    </row>
    <row r="425" spans="7:9" ht="15" customHeight="1">
      <c r="G425" s="868"/>
      <c r="H425" s="868"/>
      <c r="I425" s="868"/>
    </row>
    <row r="426" spans="7:9" ht="15" customHeight="1">
      <c r="G426" s="868"/>
      <c r="H426" s="868"/>
      <c r="I426" s="868"/>
    </row>
    <row r="427" spans="7:9" ht="15" customHeight="1">
      <c r="G427" s="868"/>
      <c r="H427" s="868"/>
      <c r="I427" s="868"/>
    </row>
    <row r="428" spans="7:9" ht="15" customHeight="1">
      <c r="G428" s="868"/>
      <c r="H428" s="868"/>
      <c r="I428" s="868"/>
    </row>
    <row r="429" spans="7:9" ht="15" customHeight="1">
      <c r="G429" s="868"/>
      <c r="H429" s="868"/>
      <c r="I429" s="868"/>
    </row>
    <row r="430" spans="7:9" ht="15" customHeight="1">
      <c r="G430" s="868"/>
      <c r="H430" s="868"/>
      <c r="I430" s="868"/>
    </row>
    <row r="431" spans="7:9" ht="15" customHeight="1">
      <c r="G431" s="868"/>
      <c r="H431" s="868"/>
      <c r="I431" s="868"/>
    </row>
    <row r="432" spans="7:9" ht="15" customHeight="1">
      <c r="G432" s="868"/>
      <c r="H432" s="868"/>
      <c r="I432" s="868"/>
    </row>
    <row r="433" spans="7:9" ht="15" customHeight="1">
      <c r="G433" s="868"/>
      <c r="H433" s="868"/>
      <c r="I433" s="868"/>
    </row>
    <row r="434" spans="7:9" ht="15" customHeight="1">
      <c r="G434" s="868"/>
      <c r="H434" s="868"/>
      <c r="I434" s="868"/>
    </row>
    <row r="435" spans="7:9" ht="15" customHeight="1">
      <c r="G435" s="868"/>
      <c r="H435" s="868"/>
      <c r="I435" s="868"/>
    </row>
    <row r="436" spans="7:9" ht="15" customHeight="1">
      <c r="G436" s="868"/>
      <c r="H436" s="868"/>
      <c r="I436" s="868"/>
    </row>
    <row r="437" spans="7:9" ht="15" customHeight="1">
      <c r="G437" s="868"/>
      <c r="H437" s="868"/>
      <c r="I437" s="868"/>
    </row>
    <row r="438" spans="7:9" ht="15" customHeight="1">
      <c r="G438" s="868"/>
      <c r="H438" s="868"/>
      <c r="I438" s="868"/>
    </row>
    <row r="439" spans="7:9" ht="15" customHeight="1">
      <c r="G439" s="868"/>
      <c r="H439" s="868"/>
      <c r="I439" s="868"/>
    </row>
    <row r="440" spans="7:9" ht="15" customHeight="1">
      <c r="G440" s="868"/>
      <c r="H440" s="868"/>
      <c r="I440" s="868"/>
    </row>
    <row r="441" spans="7:9" ht="15" customHeight="1">
      <c r="G441" s="868"/>
      <c r="H441" s="868"/>
      <c r="I441" s="868"/>
    </row>
    <row r="442" spans="7:9" ht="15" customHeight="1">
      <c r="G442" s="868"/>
      <c r="H442" s="868"/>
      <c r="I442" s="868"/>
    </row>
    <row r="443" spans="7:9" ht="15" customHeight="1">
      <c r="G443" s="868"/>
      <c r="H443" s="868"/>
      <c r="I443" s="868"/>
    </row>
    <row r="444" spans="7:9" ht="15" customHeight="1">
      <c r="G444" s="868"/>
      <c r="H444" s="868"/>
      <c r="I444" s="868"/>
    </row>
    <row r="445" spans="7:9" ht="15" customHeight="1">
      <c r="G445" s="868"/>
      <c r="H445" s="868"/>
      <c r="I445" s="868"/>
    </row>
    <row r="446" spans="7:9" ht="15" customHeight="1">
      <c r="G446" s="868"/>
      <c r="H446" s="868"/>
      <c r="I446" s="868"/>
    </row>
    <row r="447" spans="7:9" ht="15" customHeight="1">
      <c r="G447" s="868"/>
      <c r="H447" s="868"/>
      <c r="I447" s="868"/>
    </row>
    <row r="448" spans="7:9" ht="15" customHeight="1">
      <c r="G448" s="868"/>
      <c r="H448" s="868"/>
      <c r="I448" s="868"/>
    </row>
    <row r="449" spans="7:9" ht="15" customHeight="1">
      <c r="G449" s="868"/>
      <c r="H449" s="868"/>
      <c r="I449" s="868"/>
    </row>
    <row r="450" spans="7:9" ht="15" customHeight="1">
      <c r="G450" s="868"/>
      <c r="H450" s="868"/>
      <c r="I450" s="868"/>
    </row>
    <row r="451" spans="7:9" ht="15" customHeight="1">
      <c r="G451" s="868"/>
      <c r="H451" s="868"/>
      <c r="I451" s="868"/>
    </row>
    <row r="452" spans="7:9" ht="15" customHeight="1">
      <c r="G452" s="868"/>
      <c r="H452" s="868"/>
      <c r="I452" s="868"/>
    </row>
    <row r="453" spans="7:9" ht="15" customHeight="1">
      <c r="G453" s="868"/>
      <c r="H453" s="868"/>
      <c r="I453" s="868"/>
    </row>
    <row r="454" spans="7:9" ht="15" customHeight="1">
      <c r="G454" s="868"/>
      <c r="H454" s="868"/>
      <c r="I454" s="868"/>
    </row>
    <row r="455" spans="7:9" ht="15" customHeight="1">
      <c r="G455" s="868"/>
      <c r="H455" s="868"/>
      <c r="I455" s="868"/>
    </row>
    <row r="456" spans="7:9" ht="15" customHeight="1">
      <c r="G456" s="868"/>
      <c r="H456" s="868"/>
      <c r="I456" s="868"/>
    </row>
    <row r="457" spans="7:9" ht="15" customHeight="1">
      <c r="G457" s="868"/>
      <c r="H457" s="868"/>
      <c r="I457" s="868"/>
    </row>
    <row r="458" spans="7:9" ht="15" customHeight="1">
      <c r="G458" s="868"/>
      <c r="H458" s="868"/>
      <c r="I458" s="868"/>
    </row>
    <row r="459" spans="7:9" ht="15" customHeight="1">
      <c r="G459" s="868"/>
      <c r="H459" s="868"/>
      <c r="I459" s="868"/>
    </row>
    <row r="460" spans="7:9" ht="15" customHeight="1">
      <c r="G460" s="868"/>
      <c r="H460" s="868"/>
      <c r="I460" s="868"/>
    </row>
    <row r="461" spans="7:9" ht="15" customHeight="1">
      <c r="G461" s="868"/>
      <c r="H461" s="868"/>
      <c r="I461" s="868"/>
    </row>
    <row r="462" spans="7:9" ht="15" customHeight="1">
      <c r="G462" s="868"/>
      <c r="H462" s="868"/>
      <c r="I462" s="868"/>
    </row>
    <row r="463" spans="7:9" ht="15" customHeight="1">
      <c r="G463" s="868"/>
      <c r="H463" s="868"/>
      <c r="I463" s="868"/>
    </row>
    <row r="464" spans="7:9" ht="15" customHeight="1">
      <c r="G464" s="868"/>
      <c r="H464" s="868"/>
      <c r="I464" s="868"/>
    </row>
    <row r="465" spans="7:9" ht="15" customHeight="1">
      <c r="G465" s="868"/>
      <c r="H465" s="868"/>
      <c r="I465" s="868"/>
    </row>
    <row r="466" spans="7:9" ht="15" customHeight="1">
      <c r="G466" s="868"/>
      <c r="H466" s="868"/>
      <c r="I466" s="868"/>
    </row>
    <row r="467" spans="7:9" ht="15" customHeight="1">
      <c r="G467" s="868"/>
      <c r="H467" s="868"/>
      <c r="I467" s="868"/>
    </row>
    <row r="468" spans="7:9" ht="15" customHeight="1">
      <c r="G468" s="868"/>
      <c r="H468" s="868"/>
      <c r="I468" s="868"/>
    </row>
    <row r="469" spans="7:9" ht="15" customHeight="1">
      <c r="G469" s="868"/>
      <c r="H469" s="868"/>
      <c r="I469" s="868"/>
    </row>
    <row r="470" spans="7:9" ht="15" customHeight="1">
      <c r="G470" s="868"/>
      <c r="H470" s="868"/>
      <c r="I470" s="868"/>
    </row>
    <row r="471" spans="7:9" ht="15" customHeight="1">
      <c r="G471" s="868"/>
      <c r="H471" s="868"/>
      <c r="I471" s="868"/>
    </row>
    <row r="472" spans="7:9" ht="15" customHeight="1">
      <c r="G472" s="868"/>
      <c r="H472" s="868"/>
      <c r="I472" s="868"/>
    </row>
    <row r="473" spans="7:9" ht="15" customHeight="1">
      <c r="G473" s="868"/>
      <c r="H473" s="868"/>
      <c r="I473" s="868"/>
    </row>
    <row r="474" spans="7:9" ht="15" customHeight="1">
      <c r="G474" s="868"/>
      <c r="H474" s="868"/>
      <c r="I474" s="868"/>
    </row>
    <row r="475" spans="7:9" ht="15" customHeight="1">
      <c r="G475" s="868"/>
      <c r="H475" s="868"/>
      <c r="I475" s="868"/>
    </row>
    <row r="476" spans="7:9" ht="15" customHeight="1">
      <c r="G476" s="868"/>
      <c r="H476" s="868"/>
      <c r="I476" s="868"/>
    </row>
    <row r="477" spans="7:9" ht="15" customHeight="1">
      <c r="G477" s="868"/>
      <c r="H477" s="868"/>
      <c r="I477" s="868"/>
    </row>
    <row r="478" spans="7:9" ht="15" customHeight="1">
      <c r="G478" s="868"/>
      <c r="H478" s="868"/>
      <c r="I478" s="868"/>
    </row>
    <row r="479" spans="7:9" ht="15" customHeight="1">
      <c r="G479" s="868"/>
      <c r="H479" s="868"/>
      <c r="I479" s="868"/>
    </row>
    <row r="480" spans="7:9" ht="15" customHeight="1">
      <c r="G480" s="868"/>
      <c r="H480" s="868"/>
      <c r="I480" s="868"/>
    </row>
    <row r="481" spans="7:9" ht="15" customHeight="1">
      <c r="G481" s="868"/>
      <c r="H481" s="868"/>
      <c r="I481" s="868"/>
    </row>
    <row r="482" spans="7:9" ht="15" customHeight="1">
      <c r="G482" s="868"/>
      <c r="H482" s="868"/>
      <c r="I482" s="868"/>
    </row>
    <row r="483" spans="7:9" ht="15" customHeight="1">
      <c r="G483" s="868"/>
      <c r="H483" s="868"/>
      <c r="I483" s="868"/>
    </row>
    <row r="484" spans="7:9" ht="15" customHeight="1">
      <c r="G484" s="868"/>
      <c r="H484" s="868"/>
      <c r="I484" s="868"/>
    </row>
    <row r="485" spans="7:9" ht="15" customHeight="1">
      <c r="G485" s="868"/>
      <c r="H485" s="868"/>
      <c r="I485" s="868"/>
    </row>
    <row r="486" spans="7:9" ht="15" customHeight="1">
      <c r="G486" s="868"/>
      <c r="H486" s="868"/>
      <c r="I486" s="868"/>
    </row>
    <row r="487" spans="7:9" ht="15" customHeight="1">
      <c r="G487" s="868"/>
      <c r="H487" s="868"/>
      <c r="I487" s="868"/>
    </row>
    <row r="488" spans="7:9" ht="15" customHeight="1">
      <c r="G488" s="868"/>
      <c r="H488" s="868"/>
      <c r="I488" s="868"/>
    </row>
    <row r="489" spans="7:9" ht="15" customHeight="1">
      <c r="G489" s="868"/>
      <c r="H489" s="868"/>
      <c r="I489" s="868"/>
    </row>
    <row r="490" spans="7:9" ht="15" customHeight="1">
      <c r="G490" s="868"/>
      <c r="H490" s="868"/>
      <c r="I490" s="868"/>
    </row>
    <row r="491" spans="7:9" ht="15" customHeight="1">
      <c r="G491" s="868"/>
      <c r="H491" s="868"/>
      <c r="I491" s="868"/>
    </row>
    <row r="492" spans="7:9" ht="15" customHeight="1">
      <c r="G492" s="868"/>
      <c r="H492" s="868"/>
      <c r="I492" s="868"/>
    </row>
    <row r="493" spans="7:9" ht="15" customHeight="1">
      <c r="G493" s="868"/>
      <c r="H493" s="868"/>
      <c r="I493" s="868"/>
    </row>
    <row r="494" spans="7:9" ht="15" customHeight="1">
      <c r="G494" s="868"/>
      <c r="H494" s="868"/>
      <c r="I494" s="868"/>
    </row>
    <row r="495" spans="7:9" ht="15" customHeight="1">
      <c r="G495" s="868"/>
      <c r="H495" s="868"/>
      <c r="I495" s="868"/>
    </row>
    <row r="496" spans="7:9" ht="15" customHeight="1">
      <c r="G496" s="868"/>
      <c r="H496" s="868"/>
      <c r="I496" s="868"/>
    </row>
    <row r="497" spans="7:9" ht="15" customHeight="1">
      <c r="G497" s="868"/>
      <c r="H497" s="868"/>
      <c r="I497" s="868"/>
    </row>
    <row r="498" spans="7:9" ht="15" customHeight="1">
      <c r="G498" s="868"/>
      <c r="H498" s="868"/>
      <c r="I498" s="868"/>
    </row>
    <row r="499" spans="7:9" ht="15" customHeight="1">
      <c r="G499" s="868"/>
      <c r="H499" s="868"/>
      <c r="I499" s="868"/>
    </row>
    <row r="500" spans="7:9" ht="15" customHeight="1">
      <c r="G500" s="868"/>
      <c r="H500" s="868"/>
      <c r="I500" s="868"/>
    </row>
    <row r="501" spans="7:9" ht="15" customHeight="1">
      <c r="G501" s="868"/>
      <c r="H501" s="868"/>
      <c r="I501" s="868"/>
    </row>
    <row r="502" spans="7:9" ht="15" customHeight="1">
      <c r="G502" s="868"/>
      <c r="H502" s="868"/>
      <c r="I502" s="868"/>
    </row>
    <row r="503" spans="7:9" ht="15" customHeight="1">
      <c r="G503" s="868"/>
      <c r="H503" s="868"/>
      <c r="I503" s="868"/>
    </row>
    <row r="504" spans="7:9" ht="15" customHeight="1">
      <c r="G504" s="868"/>
      <c r="H504" s="868"/>
      <c r="I504" s="868"/>
    </row>
    <row r="505" spans="7:9" ht="15" customHeight="1">
      <c r="G505" s="868"/>
      <c r="H505" s="868"/>
      <c r="I505" s="868"/>
    </row>
    <row r="506" spans="7:9" ht="15" customHeight="1">
      <c r="G506" s="868"/>
      <c r="H506" s="868"/>
      <c r="I506" s="868"/>
    </row>
    <row r="507" spans="7:9" ht="15" customHeight="1">
      <c r="G507" s="868"/>
      <c r="H507" s="868"/>
      <c r="I507" s="868"/>
    </row>
    <row r="508" spans="7:9" ht="15" customHeight="1">
      <c r="G508" s="868"/>
      <c r="H508" s="868"/>
      <c r="I508" s="868"/>
    </row>
    <row r="509" spans="7:9" ht="15" customHeight="1">
      <c r="G509" s="868"/>
      <c r="H509" s="868"/>
      <c r="I509" s="868"/>
    </row>
    <row r="510" spans="7:9" ht="15" customHeight="1">
      <c r="G510" s="868"/>
      <c r="H510" s="868"/>
      <c r="I510" s="868"/>
    </row>
    <row r="511" spans="7:9" ht="15" customHeight="1">
      <c r="G511" s="868"/>
      <c r="H511" s="868"/>
      <c r="I511" s="868"/>
    </row>
    <row r="512" spans="7:9" ht="15" customHeight="1">
      <c r="G512" s="868"/>
      <c r="H512" s="868"/>
      <c r="I512" s="868"/>
    </row>
    <row r="513" spans="7:9" ht="15" customHeight="1">
      <c r="G513" s="868"/>
      <c r="H513" s="868"/>
      <c r="I513" s="868"/>
    </row>
    <row r="514" spans="7:9" ht="15" customHeight="1">
      <c r="G514" s="868"/>
      <c r="H514" s="868"/>
      <c r="I514" s="868"/>
    </row>
    <row r="515" spans="7:9" ht="15" customHeight="1">
      <c r="G515" s="868"/>
      <c r="H515" s="868"/>
      <c r="I515" s="868"/>
    </row>
    <row r="516" spans="7:9" ht="15" customHeight="1">
      <c r="G516" s="868"/>
      <c r="H516" s="868"/>
      <c r="I516" s="868"/>
    </row>
    <row r="517" spans="7:9" ht="15" customHeight="1">
      <c r="G517" s="868"/>
      <c r="H517" s="868"/>
      <c r="I517" s="868"/>
    </row>
    <row r="518" spans="7:9" ht="15" customHeight="1">
      <c r="G518" s="868"/>
      <c r="H518" s="868"/>
      <c r="I518" s="868"/>
    </row>
    <row r="519" spans="7:9" ht="15" customHeight="1">
      <c r="G519" s="868"/>
      <c r="H519" s="868"/>
      <c r="I519" s="868"/>
    </row>
    <row r="520" spans="7:9" ht="15" customHeight="1">
      <c r="G520" s="868"/>
      <c r="H520" s="868"/>
      <c r="I520" s="868"/>
    </row>
    <row r="521" spans="7:9" ht="15" customHeight="1">
      <c r="G521" s="868"/>
      <c r="H521" s="868"/>
      <c r="I521" s="868"/>
    </row>
    <row r="522" spans="7:9" ht="15" customHeight="1">
      <c r="G522" s="868"/>
      <c r="H522" s="868"/>
      <c r="I522" s="868"/>
    </row>
    <row r="523" spans="7:9" ht="15" customHeight="1">
      <c r="G523" s="868"/>
      <c r="H523" s="868"/>
      <c r="I523" s="868"/>
    </row>
    <row r="524" spans="7:9" ht="15" customHeight="1">
      <c r="G524" s="868"/>
      <c r="H524" s="868"/>
      <c r="I524" s="868"/>
    </row>
    <row r="525" spans="7:9" ht="15" customHeight="1">
      <c r="G525" s="868"/>
      <c r="H525" s="868"/>
      <c r="I525" s="868"/>
    </row>
    <row r="526" spans="7:9" ht="15" customHeight="1">
      <c r="G526" s="868"/>
      <c r="H526" s="868"/>
      <c r="I526" s="868"/>
    </row>
    <row r="527" spans="7:9" ht="15" customHeight="1">
      <c r="G527" s="868"/>
      <c r="H527" s="868"/>
      <c r="I527" s="868"/>
    </row>
    <row r="528" spans="7:9" ht="15" customHeight="1">
      <c r="G528" s="868"/>
      <c r="H528" s="868"/>
      <c r="I528" s="868"/>
    </row>
    <row r="529" spans="7:9" ht="15" customHeight="1">
      <c r="G529" s="868"/>
      <c r="H529" s="868"/>
      <c r="I529" s="868"/>
    </row>
    <row r="530" spans="7:9" ht="15" customHeight="1">
      <c r="G530" s="868"/>
      <c r="H530" s="868"/>
      <c r="I530" s="868"/>
    </row>
    <row r="531" spans="7:9" ht="15" customHeight="1">
      <c r="G531" s="868"/>
      <c r="H531" s="868"/>
      <c r="I531" s="868"/>
    </row>
    <row r="532" spans="7:9" ht="15" customHeight="1">
      <c r="G532" s="868"/>
      <c r="H532" s="868"/>
      <c r="I532" s="868"/>
    </row>
    <row r="533" spans="7:9" ht="15" customHeight="1">
      <c r="G533" s="868"/>
      <c r="H533" s="868"/>
      <c r="I533" s="868"/>
    </row>
    <row r="534" spans="7:9" ht="15" customHeight="1">
      <c r="G534" s="868"/>
      <c r="H534" s="868"/>
      <c r="I534" s="868"/>
    </row>
    <row r="535" spans="7:9" ht="15" customHeight="1">
      <c r="G535" s="868"/>
      <c r="H535" s="868"/>
      <c r="I535" s="868"/>
    </row>
    <row r="536" spans="7:9" ht="15" customHeight="1">
      <c r="G536" s="868"/>
      <c r="H536" s="868"/>
      <c r="I536" s="868"/>
    </row>
    <row r="537" spans="7:9" ht="15" customHeight="1">
      <c r="G537" s="868"/>
      <c r="H537" s="868"/>
      <c r="I537" s="868"/>
    </row>
    <row r="538" spans="7:9" ht="15" customHeight="1">
      <c r="G538" s="868"/>
      <c r="H538" s="868"/>
      <c r="I538" s="868"/>
    </row>
    <row r="539" spans="7:9" ht="15" customHeight="1">
      <c r="G539" s="868"/>
      <c r="H539" s="868"/>
      <c r="I539" s="868"/>
    </row>
    <row r="540" spans="7:9" ht="15" customHeight="1">
      <c r="G540" s="868"/>
      <c r="H540" s="868"/>
      <c r="I540" s="868"/>
    </row>
    <row r="541" spans="7:9" ht="15" customHeight="1">
      <c r="G541" s="868"/>
      <c r="H541" s="868"/>
      <c r="I541" s="868"/>
    </row>
    <row r="542" spans="7:9" ht="15" customHeight="1">
      <c r="G542" s="868"/>
      <c r="H542" s="868"/>
      <c r="I542" s="868"/>
    </row>
    <row r="543" spans="7:9" ht="15" customHeight="1">
      <c r="G543" s="868"/>
      <c r="H543" s="868"/>
      <c r="I543" s="868"/>
    </row>
    <row r="544" spans="7:9" ht="15" customHeight="1">
      <c r="G544" s="868"/>
      <c r="H544" s="868"/>
      <c r="I544" s="868"/>
    </row>
    <row r="545" spans="7:9" ht="15" customHeight="1">
      <c r="G545" s="868"/>
      <c r="H545" s="868"/>
      <c r="I545" s="868"/>
    </row>
    <row r="546" spans="7:9" ht="15" customHeight="1">
      <c r="G546" s="868"/>
      <c r="H546" s="868"/>
      <c r="I546" s="868"/>
    </row>
    <row r="547" spans="7:9" ht="15" customHeight="1">
      <c r="G547" s="868"/>
      <c r="H547" s="868"/>
      <c r="I547" s="868"/>
    </row>
    <row r="548" spans="7:9" ht="15" customHeight="1">
      <c r="G548" s="868"/>
      <c r="H548" s="868"/>
      <c r="I548" s="868"/>
    </row>
    <row r="549" spans="7:9" ht="15" customHeight="1">
      <c r="G549" s="868"/>
      <c r="H549" s="868"/>
      <c r="I549" s="868"/>
    </row>
    <row r="550" spans="7:9" ht="15" customHeight="1">
      <c r="G550" s="868"/>
      <c r="H550" s="868"/>
      <c r="I550" s="868"/>
    </row>
    <row r="551" spans="7:9" ht="15" customHeight="1">
      <c r="G551" s="868"/>
      <c r="H551" s="868"/>
      <c r="I551" s="868"/>
    </row>
    <row r="552" spans="7:9" ht="15" customHeight="1">
      <c r="G552" s="868"/>
      <c r="H552" s="868"/>
      <c r="I552" s="868"/>
    </row>
    <row r="553" spans="7:9" ht="15" customHeight="1">
      <c r="G553" s="868"/>
      <c r="H553" s="868"/>
      <c r="I553" s="868"/>
    </row>
    <row r="554" spans="7:9" ht="15" customHeight="1">
      <c r="G554" s="868"/>
      <c r="H554" s="868"/>
      <c r="I554" s="868"/>
    </row>
    <row r="555" spans="7:9" ht="15" customHeight="1">
      <c r="G555" s="868"/>
      <c r="H555" s="868"/>
      <c r="I555" s="868"/>
    </row>
    <row r="556" spans="7:9" ht="15" customHeight="1">
      <c r="G556" s="868"/>
      <c r="H556" s="868"/>
      <c r="I556" s="868"/>
    </row>
    <row r="557" spans="7:9" ht="15" customHeight="1">
      <c r="G557" s="868"/>
      <c r="H557" s="868"/>
      <c r="I557" s="868"/>
    </row>
    <row r="558" spans="7:9" ht="15" customHeight="1">
      <c r="G558" s="868"/>
      <c r="H558" s="868"/>
      <c r="I558" s="868"/>
    </row>
    <row r="559" spans="7:9" ht="15" customHeight="1">
      <c r="G559" s="868"/>
      <c r="H559" s="868"/>
      <c r="I559" s="868"/>
    </row>
    <row r="560" spans="7:9" ht="15" customHeight="1">
      <c r="G560" s="868"/>
      <c r="H560" s="868"/>
      <c r="I560" s="868"/>
    </row>
    <row r="561" spans="7:9" ht="15" customHeight="1">
      <c r="G561" s="868"/>
      <c r="H561" s="868"/>
      <c r="I561" s="868"/>
    </row>
    <row r="562" spans="7:9" ht="15" customHeight="1">
      <c r="G562" s="868"/>
      <c r="H562" s="868"/>
      <c r="I562" s="868"/>
    </row>
    <row r="563" spans="7:9" ht="15" customHeight="1">
      <c r="G563" s="868"/>
      <c r="H563" s="868"/>
      <c r="I563" s="868"/>
    </row>
    <row r="564" spans="7:9" ht="15" customHeight="1">
      <c r="G564" s="868"/>
      <c r="H564" s="868"/>
      <c r="I564" s="868"/>
    </row>
    <row r="565" spans="7:9" ht="15" customHeight="1">
      <c r="G565" s="868"/>
      <c r="H565" s="868"/>
      <c r="I565" s="868"/>
    </row>
    <row r="566" spans="7:9" ht="15" customHeight="1">
      <c r="G566" s="868"/>
      <c r="H566" s="868"/>
      <c r="I566" s="868"/>
    </row>
    <row r="567" spans="7:9" ht="15" customHeight="1">
      <c r="G567" s="868"/>
      <c r="H567" s="868"/>
      <c r="I567" s="868"/>
    </row>
    <row r="568" spans="7:9" ht="15" customHeight="1">
      <c r="G568" s="868"/>
      <c r="H568" s="868"/>
      <c r="I568" s="868"/>
    </row>
    <row r="569" spans="7:9" ht="15" customHeight="1">
      <c r="G569" s="868"/>
      <c r="H569" s="868"/>
      <c r="I569" s="868"/>
    </row>
    <row r="570" spans="7:9" ht="15" customHeight="1">
      <c r="G570" s="868"/>
      <c r="H570" s="868"/>
      <c r="I570" s="868"/>
    </row>
    <row r="571" spans="7:9" ht="15" customHeight="1">
      <c r="G571" s="868"/>
      <c r="H571" s="868"/>
      <c r="I571" s="868"/>
    </row>
    <row r="572" spans="7:9" ht="15" customHeight="1">
      <c r="G572" s="868"/>
      <c r="H572" s="868"/>
      <c r="I572" s="868"/>
    </row>
    <row r="573" spans="7:9" ht="15" customHeight="1">
      <c r="G573" s="868"/>
      <c r="H573" s="868"/>
      <c r="I573" s="868"/>
    </row>
    <row r="574" spans="7:9" ht="15" customHeight="1">
      <c r="G574" s="868"/>
      <c r="H574" s="868"/>
      <c r="I574" s="868"/>
    </row>
    <row r="575" spans="7:9" ht="15" customHeight="1">
      <c r="G575" s="868"/>
      <c r="H575" s="868"/>
      <c r="I575" s="868"/>
    </row>
    <row r="576" spans="7:9" ht="15" customHeight="1">
      <c r="G576" s="868"/>
      <c r="H576" s="868"/>
      <c r="I576" s="868"/>
    </row>
    <row r="577" spans="7:9" ht="15" customHeight="1">
      <c r="G577" s="868"/>
      <c r="H577" s="868"/>
      <c r="I577" s="868"/>
    </row>
    <row r="578" spans="7:9" ht="15" customHeight="1">
      <c r="G578" s="868"/>
      <c r="H578" s="868"/>
      <c r="I578" s="868"/>
    </row>
    <row r="579" spans="7:9" ht="15" customHeight="1">
      <c r="G579" s="868"/>
      <c r="H579" s="868"/>
      <c r="I579" s="868"/>
    </row>
    <row r="580" spans="7:9" ht="15" customHeight="1">
      <c r="G580" s="868"/>
      <c r="H580" s="868"/>
      <c r="I580" s="868"/>
    </row>
    <row r="581" spans="7:9" ht="15" customHeight="1">
      <c r="G581" s="868"/>
      <c r="H581" s="868"/>
      <c r="I581" s="868"/>
    </row>
    <row r="582" spans="7:9" ht="15" customHeight="1">
      <c r="G582" s="868"/>
      <c r="H582" s="868"/>
      <c r="I582" s="868"/>
    </row>
    <row r="583" spans="7:9" ht="15" customHeight="1">
      <c r="G583" s="868"/>
      <c r="H583" s="868"/>
      <c r="I583" s="868"/>
    </row>
    <row r="584" spans="7:9" ht="15" customHeight="1">
      <c r="G584" s="868"/>
      <c r="H584" s="868"/>
      <c r="I584" s="868"/>
    </row>
    <row r="585" spans="7:9" ht="15" customHeight="1">
      <c r="G585" s="868"/>
      <c r="H585" s="868"/>
      <c r="I585" s="868"/>
    </row>
    <row r="586" spans="7:9" ht="15" customHeight="1">
      <c r="G586" s="868"/>
      <c r="H586" s="868"/>
      <c r="I586" s="868"/>
    </row>
    <row r="587" spans="7:9" ht="15" customHeight="1">
      <c r="G587" s="868"/>
      <c r="H587" s="868"/>
      <c r="I587" s="868"/>
    </row>
    <row r="588" spans="7:9" ht="15" customHeight="1">
      <c r="G588" s="868"/>
      <c r="H588" s="868"/>
      <c r="I588" s="868"/>
    </row>
    <row r="589" spans="7:9" ht="15" customHeight="1">
      <c r="G589" s="868"/>
      <c r="H589" s="868"/>
      <c r="I589" s="868"/>
    </row>
    <row r="590" spans="7:9" ht="15" customHeight="1">
      <c r="G590" s="868"/>
      <c r="H590" s="868"/>
      <c r="I590" s="868"/>
    </row>
    <row r="591" spans="7:9" ht="15" customHeight="1">
      <c r="G591" s="868"/>
      <c r="H591" s="868"/>
      <c r="I591" s="868"/>
    </row>
    <row r="592" spans="7:9" ht="15" customHeight="1">
      <c r="G592" s="868"/>
      <c r="H592" s="868"/>
      <c r="I592" s="868"/>
    </row>
    <row r="593" spans="7:9" ht="15" customHeight="1">
      <c r="G593" s="868"/>
      <c r="H593" s="868"/>
      <c r="I593" s="868"/>
    </row>
    <row r="594" spans="7:9" ht="15" customHeight="1">
      <c r="G594" s="868"/>
      <c r="H594" s="868"/>
      <c r="I594" s="868"/>
    </row>
    <row r="595" spans="7:9" ht="15" customHeight="1">
      <c r="G595" s="868"/>
      <c r="H595" s="868"/>
      <c r="I595" s="868"/>
    </row>
    <row r="596" spans="7:9" ht="15" customHeight="1">
      <c r="G596" s="868"/>
      <c r="H596" s="868"/>
      <c r="I596" s="868"/>
    </row>
    <row r="597" spans="7:9" ht="15" customHeight="1">
      <c r="G597" s="868"/>
      <c r="H597" s="868"/>
      <c r="I597" s="868"/>
    </row>
    <row r="598" spans="7:9" ht="15" customHeight="1">
      <c r="G598" s="868"/>
      <c r="H598" s="868"/>
      <c r="I598" s="868"/>
    </row>
    <row r="599" spans="7:9" ht="15" customHeight="1">
      <c r="G599" s="868"/>
      <c r="H599" s="868"/>
      <c r="I599" s="868"/>
    </row>
    <row r="600" spans="7:9" ht="15" customHeight="1">
      <c r="G600" s="868"/>
      <c r="H600" s="868"/>
      <c r="I600" s="868"/>
    </row>
    <row r="601" spans="7:9" ht="15" customHeight="1">
      <c r="G601" s="868"/>
      <c r="H601" s="868"/>
      <c r="I601" s="868"/>
    </row>
    <row r="602" spans="7:9" ht="15" customHeight="1">
      <c r="G602" s="868"/>
      <c r="H602" s="868"/>
      <c r="I602" s="868"/>
    </row>
    <row r="603" spans="7:9" ht="15" customHeight="1">
      <c r="G603" s="868"/>
      <c r="H603" s="868"/>
      <c r="I603" s="868"/>
    </row>
    <row r="604" spans="7:9" ht="15" customHeight="1">
      <c r="G604" s="868"/>
      <c r="H604" s="868"/>
      <c r="I604" s="868"/>
    </row>
    <row r="605" spans="7:9" ht="15" customHeight="1">
      <c r="G605" s="868"/>
      <c r="H605" s="868"/>
      <c r="I605" s="868"/>
    </row>
    <row r="606" spans="7:9" ht="15" customHeight="1">
      <c r="G606" s="868"/>
      <c r="H606" s="868"/>
      <c r="I606" s="868"/>
    </row>
    <row r="607" spans="7:9" ht="15" customHeight="1">
      <c r="G607" s="868"/>
      <c r="H607" s="868"/>
      <c r="I607" s="868"/>
    </row>
    <row r="608" spans="7:9" ht="15" customHeight="1">
      <c r="G608" s="868"/>
      <c r="H608" s="868"/>
      <c r="I608" s="868"/>
    </row>
    <row r="609" spans="7:9" ht="15" customHeight="1">
      <c r="G609" s="868"/>
      <c r="H609" s="868"/>
      <c r="I609" s="868"/>
    </row>
    <row r="610" spans="7:9" ht="15" customHeight="1">
      <c r="G610" s="868"/>
      <c r="H610" s="868"/>
      <c r="I610" s="868"/>
    </row>
    <row r="611" spans="7:9" ht="15" customHeight="1">
      <c r="G611" s="868"/>
      <c r="H611" s="868"/>
      <c r="I611" s="868"/>
    </row>
    <row r="612" spans="7:9" ht="15" customHeight="1">
      <c r="G612" s="868"/>
      <c r="H612" s="868"/>
      <c r="I612" s="868"/>
    </row>
    <row r="613" spans="7:9" ht="15" customHeight="1">
      <c r="G613" s="868"/>
      <c r="H613" s="868"/>
      <c r="I613" s="868"/>
    </row>
    <row r="614" spans="7:9" ht="15" customHeight="1">
      <c r="G614" s="868"/>
      <c r="H614" s="868"/>
      <c r="I614" s="868"/>
    </row>
    <row r="615" spans="7:9" ht="15" customHeight="1">
      <c r="G615" s="868"/>
      <c r="H615" s="868"/>
      <c r="I615" s="868"/>
    </row>
    <row r="616" spans="7:9" ht="15" customHeight="1">
      <c r="G616" s="868"/>
      <c r="H616" s="868"/>
      <c r="I616" s="868"/>
    </row>
    <row r="617" spans="7:9" ht="15" customHeight="1">
      <c r="G617" s="868"/>
      <c r="H617" s="868"/>
      <c r="I617" s="868"/>
    </row>
    <row r="618" spans="7:9" ht="15" customHeight="1">
      <c r="G618" s="868"/>
      <c r="H618" s="868"/>
      <c r="I618" s="868"/>
    </row>
    <row r="619" spans="7:9" ht="15" customHeight="1">
      <c r="G619" s="868"/>
      <c r="H619" s="868"/>
      <c r="I619" s="868"/>
    </row>
    <row r="620" spans="7:9" ht="15" customHeight="1">
      <c r="G620" s="868"/>
      <c r="H620" s="868"/>
      <c r="I620" s="868"/>
    </row>
    <row r="621" spans="7:9" ht="15" customHeight="1">
      <c r="G621" s="868"/>
      <c r="H621" s="868"/>
      <c r="I621" s="868"/>
    </row>
    <row r="622" spans="7:9" ht="15" customHeight="1">
      <c r="G622" s="868"/>
      <c r="H622" s="868"/>
      <c r="I622" s="868"/>
    </row>
    <row r="623" spans="7:9" ht="15" customHeight="1">
      <c r="G623" s="868"/>
      <c r="H623" s="868"/>
      <c r="I623" s="868"/>
    </row>
    <row r="624" spans="7:9" ht="15" customHeight="1">
      <c r="G624" s="868"/>
      <c r="H624" s="868"/>
      <c r="I624" s="868"/>
    </row>
    <row r="625" spans="7:9" ht="15" customHeight="1">
      <c r="G625" s="868"/>
      <c r="H625" s="868"/>
      <c r="I625" s="868"/>
    </row>
    <row r="626" spans="7:9" ht="15" customHeight="1">
      <c r="G626" s="868"/>
      <c r="H626" s="868"/>
      <c r="I626" s="868"/>
    </row>
    <row r="627" spans="7:9" ht="15" customHeight="1">
      <c r="G627" s="868"/>
      <c r="H627" s="868"/>
      <c r="I627" s="868"/>
    </row>
    <row r="628" spans="7:9" ht="15" customHeight="1">
      <c r="G628" s="868"/>
      <c r="H628" s="868"/>
      <c r="I628" s="868"/>
    </row>
    <row r="629" spans="7:9" ht="15" customHeight="1">
      <c r="G629" s="868"/>
      <c r="H629" s="868"/>
      <c r="I629" s="868"/>
    </row>
    <row r="630" spans="7:9" ht="15" customHeight="1">
      <c r="G630" s="868"/>
      <c r="H630" s="868"/>
      <c r="I630" s="868"/>
    </row>
    <row r="631" spans="7:9" ht="15" customHeight="1">
      <c r="G631" s="868"/>
      <c r="H631" s="868"/>
      <c r="I631" s="868"/>
    </row>
    <row r="632" spans="7:9" ht="15" customHeight="1">
      <c r="G632" s="868"/>
      <c r="H632" s="868"/>
      <c r="I632" s="868"/>
    </row>
    <row r="633" spans="7:9" ht="15" customHeight="1">
      <c r="G633" s="868"/>
      <c r="H633" s="868"/>
      <c r="I633" s="868"/>
    </row>
    <row r="634" spans="7:9" ht="15" customHeight="1">
      <c r="G634" s="868"/>
      <c r="H634" s="868"/>
      <c r="I634" s="868"/>
    </row>
    <row r="635" spans="7:9" ht="15" customHeight="1">
      <c r="G635" s="868"/>
      <c r="H635" s="868"/>
      <c r="I635" s="868"/>
    </row>
    <row r="636" spans="7:9" ht="15" customHeight="1">
      <c r="G636" s="868"/>
      <c r="H636" s="868"/>
      <c r="I636" s="868"/>
    </row>
    <row r="637" spans="7:9" ht="15" customHeight="1">
      <c r="G637" s="868"/>
      <c r="H637" s="868"/>
      <c r="I637" s="868"/>
    </row>
    <row r="638" spans="7:9" ht="15" customHeight="1">
      <c r="G638" s="868"/>
      <c r="H638" s="868"/>
      <c r="I638" s="868"/>
    </row>
    <row r="639" spans="7:9" ht="15" customHeight="1">
      <c r="G639" s="868"/>
      <c r="H639" s="868"/>
      <c r="I639" s="868"/>
    </row>
    <row r="640" spans="7:9" ht="15" customHeight="1">
      <c r="G640" s="868"/>
      <c r="H640" s="868"/>
      <c r="I640" s="868"/>
    </row>
    <row r="641" spans="7:9" ht="15" customHeight="1">
      <c r="G641" s="868"/>
      <c r="H641" s="868"/>
      <c r="I641" s="868"/>
    </row>
    <row r="642" spans="7:9" ht="15" customHeight="1">
      <c r="G642" s="868"/>
      <c r="H642" s="868"/>
      <c r="I642" s="868"/>
    </row>
    <row r="643" spans="7:9" ht="15" customHeight="1">
      <c r="G643" s="868"/>
      <c r="H643" s="868"/>
      <c r="I643" s="868"/>
    </row>
    <row r="644" spans="7:9" ht="15" customHeight="1">
      <c r="G644" s="868"/>
      <c r="H644" s="868"/>
      <c r="I644" s="868"/>
    </row>
    <row r="645" spans="7:9" ht="15" customHeight="1">
      <c r="G645" s="868"/>
      <c r="H645" s="868"/>
      <c r="I645" s="868"/>
    </row>
    <row r="646" spans="7:9" ht="15" customHeight="1">
      <c r="G646" s="868"/>
      <c r="H646" s="868"/>
      <c r="I646" s="868"/>
    </row>
    <row r="647" spans="7:9" ht="15" customHeight="1">
      <c r="G647" s="868"/>
      <c r="H647" s="868"/>
      <c r="I647" s="868"/>
    </row>
    <row r="648" spans="7:9" ht="15" customHeight="1">
      <c r="G648" s="868"/>
      <c r="H648" s="868"/>
      <c r="I648" s="868"/>
    </row>
    <row r="649" spans="7:9" ht="15" customHeight="1">
      <c r="G649" s="868"/>
      <c r="H649" s="868"/>
      <c r="I649" s="868"/>
    </row>
    <row r="650" spans="7:9" ht="15" customHeight="1">
      <c r="G650" s="868"/>
      <c r="H650" s="868"/>
      <c r="I650" s="868"/>
    </row>
    <row r="651" spans="7:9" ht="15" customHeight="1">
      <c r="G651" s="868"/>
      <c r="H651" s="868"/>
      <c r="I651" s="868"/>
    </row>
    <row r="652" spans="7:9" ht="15" customHeight="1">
      <c r="G652" s="868"/>
      <c r="H652" s="868"/>
      <c r="I652" s="868"/>
    </row>
    <row r="653" spans="7:9" ht="15" customHeight="1">
      <c r="G653" s="868"/>
      <c r="H653" s="868"/>
      <c r="I653" s="868"/>
    </row>
    <row r="654" spans="7:9" ht="15" customHeight="1">
      <c r="G654" s="868"/>
      <c r="H654" s="868"/>
      <c r="I654" s="868"/>
    </row>
    <row r="655" spans="7:9" ht="15" customHeight="1">
      <c r="G655" s="868"/>
      <c r="H655" s="868"/>
      <c r="I655" s="868"/>
    </row>
    <row r="656" spans="7:9" ht="15" customHeight="1">
      <c r="G656" s="868"/>
      <c r="H656" s="868"/>
      <c r="I656" s="868"/>
    </row>
    <row r="657" spans="7:9" ht="15" customHeight="1">
      <c r="G657" s="868"/>
      <c r="H657" s="868"/>
      <c r="I657" s="868"/>
    </row>
    <row r="658" spans="7:9" ht="15" customHeight="1">
      <c r="G658" s="868"/>
      <c r="H658" s="868"/>
      <c r="I658" s="868"/>
    </row>
    <row r="659" spans="7:9" ht="15" customHeight="1">
      <c r="G659" s="868"/>
      <c r="H659" s="868"/>
      <c r="I659" s="868"/>
    </row>
    <row r="660" spans="7:9" ht="15" customHeight="1">
      <c r="G660" s="868"/>
      <c r="H660" s="868"/>
      <c r="I660" s="868"/>
    </row>
    <row r="661" spans="7:9" ht="15" customHeight="1">
      <c r="G661" s="868"/>
      <c r="H661" s="868"/>
      <c r="I661" s="868"/>
    </row>
    <row r="662" spans="7:9" ht="15" customHeight="1">
      <c r="G662" s="868"/>
      <c r="H662" s="868"/>
      <c r="I662" s="868"/>
    </row>
    <row r="663" spans="7:9" ht="15" customHeight="1">
      <c r="G663" s="868"/>
      <c r="H663" s="868"/>
      <c r="I663" s="868"/>
    </row>
    <row r="664" spans="7:9" ht="15" customHeight="1">
      <c r="G664" s="868"/>
      <c r="H664" s="868"/>
      <c r="I664" s="868"/>
    </row>
    <row r="665" spans="7:9" ht="15" customHeight="1">
      <c r="G665" s="868"/>
      <c r="H665" s="868"/>
      <c r="I665" s="868"/>
    </row>
    <row r="666" spans="7:9" ht="15" customHeight="1">
      <c r="G666" s="868"/>
      <c r="H666" s="868"/>
      <c r="I666" s="868"/>
    </row>
    <row r="667" spans="7:9" ht="15" customHeight="1">
      <c r="G667" s="868"/>
      <c r="H667" s="868"/>
      <c r="I667" s="868"/>
    </row>
    <row r="668" spans="7:9" ht="15" customHeight="1">
      <c r="G668" s="868"/>
      <c r="H668" s="868"/>
      <c r="I668" s="868"/>
    </row>
    <row r="669" spans="7:9" ht="15" customHeight="1">
      <c r="G669" s="868"/>
      <c r="H669" s="868"/>
      <c r="I669" s="868"/>
    </row>
    <row r="670" spans="7:9" ht="15" customHeight="1">
      <c r="G670" s="868"/>
      <c r="H670" s="868"/>
      <c r="I670" s="868"/>
    </row>
    <row r="671" spans="7:9" ht="15" customHeight="1">
      <c r="G671" s="868"/>
      <c r="H671" s="868"/>
      <c r="I671" s="868"/>
    </row>
    <row r="672" spans="7:9" ht="15" customHeight="1">
      <c r="G672" s="868"/>
      <c r="H672" s="868"/>
      <c r="I672" s="868"/>
    </row>
    <row r="673" spans="7:9" ht="15" customHeight="1">
      <c r="G673" s="868"/>
      <c r="H673" s="868"/>
      <c r="I673" s="868"/>
    </row>
    <row r="674" spans="7:9" ht="15" customHeight="1">
      <c r="G674" s="868"/>
      <c r="H674" s="868"/>
      <c r="I674" s="868"/>
    </row>
    <row r="675" spans="7:9" ht="15" customHeight="1">
      <c r="G675" s="868"/>
      <c r="H675" s="868"/>
      <c r="I675" s="868"/>
    </row>
    <row r="676" spans="7:9" ht="15" customHeight="1">
      <c r="G676" s="868"/>
      <c r="H676" s="868"/>
      <c r="I676" s="868"/>
    </row>
    <row r="677" spans="7:9" ht="15" customHeight="1">
      <c r="G677" s="868"/>
      <c r="H677" s="868"/>
      <c r="I677" s="868"/>
    </row>
    <row r="678" spans="7:9" ht="15" customHeight="1">
      <c r="G678" s="868"/>
      <c r="H678" s="868"/>
      <c r="I678" s="868"/>
    </row>
    <row r="679" spans="7:9" ht="15" customHeight="1">
      <c r="G679" s="868"/>
      <c r="H679" s="868"/>
      <c r="I679" s="868"/>
    </row>
    <row r="680" spans="7:9" ht="15" customHeight="1">
      <c r="G680" s="868"/>
      <c r="H680" s="868"/>
      <c r="I680" s="868"/>
    </row>
    <row r="681" spans="7:9" ht="15" customHeight="1">
      <c r="G681" s="868"/>
      <c r="H681" s="868"/>
      <c r="I681" s="868"/>
    </row>
    <row r="682" spans="7:9" ht="15" customHeight="1">
      <c r="G682" s="868"/>
      <c r="H682" s="868"/>
      <c r="I682" s="868"/>
    </row>
    <row r="683" spans="7:9" ht="15" customHeight="1">
      <c r="G683" s="868"/>
      <c r="H683" s="868"/>
      <c r="I683" s="868"/>
    </row>
    <row r="684" spans="7:9" ht="15" customHeight="1">
      <c r="G684" s="868"/>
      <c r="H684" s="868"/>
      <c r="I684" s="868"/>
    </row>
    <row r="685" spans="7:9" ht="15" customHeight="1">
      <c r="G685" s="868"/>
      <c r="H685" s="868"/>
      <c r="I685" s="868"/>
    </row>
    <row r="686" spans="7:9" ht="15" customHeight="1">
      <c r="G686" s="868"/>
      <c r="H686" s="868"/>
      <c r="I686" s="868"/>
    </row>
    <row r="687" spans="7:9" ht="15" customHeight="1">
      <c r="G687" s="868"/>
      <c r="H687" s="868"/>
      <c r="I687" s="868"/>
    </row>
    <row r="688" spans="7:9" ht="15" customHeight="1">
      <c r="G688" s="868"/>
      <c r="H688" s="868"/>
      <c r="I688" s="868"/>
    </row>
    <row r="689" spans="7:9" ht="15" customHeight="1">
      <c r="G689" s="868"/>
      <c r="H689" s="868"/>
      <c r="I689" s="868"/>
    </row>
    <row r="690" spans="7:9" ht="15" customHeight="1">
      <c r="G690" s="868"/>
      <c r="H690" s="868"/>
      <c r="I690" s="868"/>
    </row>
    <row r="691" spans="7:9" ht="15" customHeight="1">
      <c r="G691" s="868"/>
      <c r="H691" s="868"/>
      <c r="I691" s="868"/>
    </row>
    <row r="692" spans="7:9" ht="15" customHeight="1">
      <c r="G692" s="868"/>
      <c r="H692" s="868"/>
      <c r="I692" s="868"/>
    </row>
    <row r="693" spans="7:9" ht="15" customHeight="1">
      <c r="G693" s="868"/>
      <c r="H693" s="868"/>
      <c r="I693" s="868"/>
    </row>
    <row r="694" spans="7:9" ht="15" customHeight="1">
      <c r="G694" s="868"/>
      <c r="H694" s="868"/>
      <c r="I694" s="868"/>
    </row>
    <row r="695" spans="7:9" ht="15" customHeight="1">
      <c r="G695" s="868"/>
      <c r="H695" s="868"/>
      <c r="I695" s="868"/>
    </row>
    <row r="696" spans="7:9" ht="15" customHeight="1">
      <c r="G696" s="868"/>
      <c r="H696" s="868"/>
      <c r="I696" s="868"/>
    </row>
    <row r="697" spans="7:9" ht="15" customHeight="1">
      <c r="G697" s="868"/>
      <c r="H697" s="868"/>
      <c r="I697" s="868"/>
    </row>
    <row r="698" spans="7:9" ht="15" customHeight="1">
      <c r="G698" s="868"/>
      <c r="H698" s="868"/>
      <c r="I698" s="868"/>
    </row>
    <row r="699" spans="7:9" ht="15" customHeight="1">
      <c r="G699" s="868"/>
      <c r="H699" s="868"/>
      <c r="I699" s="868"/>
    </row>
    <row r="700" spans="7:9" ht="15" customHeight="1">
      <c r="G700" s="868"/>
      <c r="H700" s="868"/>
      <c r="I700" s="868"/>
    </row>
    <row r="701" spans="7:9" ht="15" customHeight="1">
      <c r="G701" s="868"/>
      <c r="H701" s="868"/>
      <c r="I701" s="868"/>
    </row>
    <row r="702" spans="7:9" ht="15" customHeight="1">
      <c r="G702" s="868"/>
      <c r="H702" s="868"/>
      <c r="I702" s="868"/>
    </row>
    <row r="703" spans="7:9" ht="15" customHeight="1">
      <c r="G703" s="868"/>
      <c r="H703" s="868"/>
      <c r="I703" s="868"/>
    </row>
    <row r="704" spans="7:9" ht="15" customHeight="1">
      <c r="G704" s="868"/>
      <c r="H704" s="868"/>
      <c r="I704" s="868"/>
    </row>
    <row r="705" spans="7:9" ht="15" customHeight="1">
      <c r="G705" s="868"/>
      <c r="H705" s="868"/>
      <c r="I705" s="868"/>
    </row>
    <row r="706" spans="7:9" ht="15" customHeight="1">
      <c r="G706" s="868"/>
      <c r="H706" s="868"/>
      <c r="I706" s="868"/>
    </row>
    <row r="707" spans="7:9" ht="15" customHeight="1">
      <c r="G707" s="868"/>
      <c r="H707" s="868"/>
      <c r="I707" s="868"/>
    </row>
    <row r="708" spans="7:9" ht="15" customHeight="1">
      <c r="G708" s="868"/>
      <c r="H708" s="868"/>
      <c r="I708" s="868"/>
    </row>
    <row r="709" spans="7:9" ht="15" customHeight="1">
      <c r="G709" s="868"/>
      <c r="H709" s="868"/>
      <c r="I709" s="868"/>
    </row>
    <row r="710" spans="7:9" ht="15" customHeight="1">
      <c r="G710" s="868"/>
      <c r="H710" s="868"/>
      <c r="I710" s="868"/>
    </row>
    <row r="711" spans="7:9" ht="15" customHeight="1">
      <c r="G711" s="868"/>
      <c r="H711" s="868"/>
      <c r="I711" s="868"/>
    </row>
    <row r="712" spans="7:9" ht="15" customHeight="1">
      <c r="G712" s="868"/>
      <c r="H712" s="868"/>
      <c r="I712" s="868"/>
    </row>
    <row r="713" spans="7:9" ht="15" customHeight="1">
      <c r="G713" s="868"/>
      <c r="H713" s="868"/>
      <c r="I713" s="868"/>
    </row>
    <row r="714" spans="7:9" ht="15" customHeight="1">
      <c r="G714" s="868"/>
      <c r="H714" s="868"/>
      <c r="I714" s="868"/>
    </row>
    <row r="715" spans="7:9" ht="15" customHeight="1">
      <c r="G715" s="868"/>
      <c r="H715" s="868"/>
      <c r="I715" s="868"/>
    </row>
    <row r="716" spans="7:9" ht="15" customHeight="1">
      <c r="G716" s="868"/>
      <c r="H716" s="868"/>
      <c r="I716" s="868"/>
    </row>
    <row r="717" spans="7:9" ht="15" customHeight="1">
      <c r="G717" s="868"/>
      <c r="H717" s="868"/>
      <c r="I717" s="868"/>
    </row>
    <row r="718" spans="7:9" ht="15" customHeight="1">
      <c r="G718" s="868"/>
      <c r="H718" s="868"/>
      <c r="I718" s="868"/>
    </row>
    <row r="719" spans="7:9" ht="15" customHeight="1">
      <c r="G719" s="868"/>
      <c r="H719" s="868"/>
      <c r="I719" s="868"/>
    </row>
    <row r="720" spans="7:9" ht="15" customHeight="1">
      <c r="G720" s="868"/>
      <c r="H720" s="868"/>
      <c r="I720" s="868"/>
    </row>
    <row r="721" spans="7:9" ht="15" customHeight="1">
      <c r="G721" s="868"/>
      <c r="H721" s="868"/>
      <c r="I721" s="868"/>
    </row>
    <row r="722" spans="7:9" ht="15" customHeight="1">
      <c r="G722" s="868"/>
      <c r="H722" s="868"/>
      <c r="I722" s="868"/>
    </row>
    <row r="723" spans="7:9" ht="15" customHeight="1">
      <c r="G723" s="868"/>
      <c r="H723" s="868"/>
      <c r="I723" s="868"/>
    </row>
    <row r="724" spans="7:9" ht="15" customHeight="1">
      <c r="G724" s="868"/>
      <c r="H724" s="868"/>
      <c r="I724" s="868"/>
    </row>
    <row r="725" spans="7:9" ht="15" customHeight="1">
      <c r="G725" s="868"/>
      <c r="H725" s="868"/>
      <c r="I725" s="868"/>
    </row>
    <row r="726" spans="7:9" ht="15" customHeight="1">
      <c r="G726" s="868"/>
      <c r="H726" s="868"/>
      <c r="I726" s="868"/>
    </row>
    <row r="727" spans="7:9" ht="15" customHeight="1">
      <c r="G727" s="868"/>
      <c r="H727" s="868"/>
      <c r="I727" s="868"/>
    </row>
    <row r="728" spans="7:9" ht="15" customHeight="1">
      <c r="G728" s="868"/>
      <c r="H728" s="868"/>
      <c r="I728" s="868"/>
    </row>
    <row r="729" spans="7:9" ht="15" customHeight="1">
      <c r="G729" s="868"/>
      <c r="H729" s="868"/>
      <c r="I729" s="868"/>
    </row>
    <row r="730" spans="7:9" ht="15" customHeight="1">
      <c r="G730" s="868"/>
      <c r="H730" s="868"/>
      <c r="I730" s="868"/>
    </row>
    <row r="731" spans="7:9" ht="15" customHeight="1">
      <c r="G731" s="868"/>
      <c r="H731" s="868"/>
      <c r="I731" s="868"/>
    </row>
    <row r="732" spans="7:9" ht="15" customHeight="1">
      <c r="G732" s="868"/>
      <c r="H732" s="868"/>
      <c r="I732" s="868"/>
    </row>
    <row r="733" spans="7:9" ht="15" customHeight="1">
      <c r="G733" s="868"/>
      <c r="H733" s="868"/>
      <c r="I733" s="868"/>
    </row>
    <row r="734" spans="7:9" ht="15" customHeight="1">
      <c r="G734" s="868"/>
      <c r="H734" s="868"/>
      <c r="I734" s="868"/>
    </row>
    <row r="735" spans="7:9" ht="15" customHeight="1">
      <c r="G735" s="868"/>
      <c r="H735" s="868"/>
      <c r="I735" s="868"/>
    </row>
    <row r="736" spans="7:9" ht="15" customHeight="1">
      <c r="G736" s="868"/>
      <c r="H736" s="868"/>
      <c r="I736" s="868"/>
    </row>
    <row r="737" spans="7:9" ht="15" customHeight="1">
      <c r="G737" s="868"/>
      <c r="H737" s="868"/>
      <c r="I737" s="868"/>
    </row>
    <row r="738" spans="7:9" ht="15" customHeight="1">
      <c r="G738" s="868"/>
      <c r="H738" s="868"/>
      <c r="I738" s="868"/>
    </row>
    <row r="739" spans="7:9" ht="15" customHeight="1">
      <c r="G739" s="868"/>
      <c r="H739" s="868"/>
      <c r="I739" s="868"/>
    </row>
    <row r="740" spans="7:9" ht="15" customHeight="1">
      <c r="G740" s="868"/>
      <c r="H740" s="868"/>
      <c r="I740" s="868"/>
    </row>
    <row r="741" spans="7:9" ht="15" customHeight="1">
      <c r="G741" s="868"/>
      <c r="H741" s="868"/>
      <c r="I741" s="868"/>
    </row>
    <row r="742" spans="7:9" ht="15" customHeight="1">
      <c r="G742" s="868"/>
      <c r="H742" s="868"/>
      <c r="I742" s="868"/>
    </row>
    <row r="743" spans="7:9" ht="15" customHeight="1">
      <c r="G743" s="868"/>
      <c r="H743" s="868"/>
      <c r="I743" s="868"/>
    </row>
    <row r="744" spans="7:9" ht="15" customHeight="1">
      <c r="G744" s="868"/>
      <c r="H744" s="868"/>
      <c r="I744" s="868"/>
    </row>
    <row r="745" spans="7:9" ht="15" customHeight="1">
      <c r="G745" s="868"/>
      <c r="H745" s="868"/>
      <c r="I745" s="868"/>
    </row>
    <row r="746" spans="7:9" ht="15" customHeight="1">
      <c r="G746" s="868"/>
      <c r="H746" s="868"/>
      <c r="I746" s="868"/>
    </row>
    <row r="747" spans="7:9" ht="15" customHeight="1">
      <c r="G747" s="868"/>
      <c r="H747" s="868"/>
      <c r="I747" s="868"/>
    </row>
    <row r="748" spans="7:9" ht="15" customHeight="1">
      <c r="G748" s="868"/>
      <c r="H748" s="868"/>
      <c r="I748" s="868"/>
    </row>
    <row r="749" spans="7:9" ht="15" customHeight="1">
      <c r="G749" s="868"/>
      <c r="H749" s="868"/>
      <c r="I749" s="868"/>
    </row>
    <row r="750" spans="7:9" ht="15" customHeight="1">
      <c r="G750" s="868"/>
      <c r="H750" s="868"/>
      <c r="I750" s="868"/>
    </row>
    <row r="751" spans="7:9" ht="15" customHeight="1">
      <c r="G751" s="868"/>
      <c r="H751" s="868"/>
      <c r="I751" s="868"/>
    </row>
    <row r="752" spans="7:9" ht="15" customHeight="1">
      <c r="G752" s="868"/>
      <c r="H752" s="868"/>
      <c r="I752" s="868"/>
    </row>
    <row r="753" spans="7:9" ht="15" customHeight="1">
      <c r="G753" s="868"/>
      <c r="H753" s="868"/>
      <c r="I753" s="868"/>
    </row>
    <row r="754" spans="7:9" ht="15" customHeight="1">
      <c r="G754" s="868"/>
      <c r="H754" s="868"/>
      <c r="I754" s="868"/>
    </row>
    <row r="755" spans="7:9" ht="15" customHeight="1">
      <c r="G755" s="868"/>
      <c r="H755" s="868"/>
      <c r="I755" s="868"/>
    </row>
    <row r="756" spans="7:9" ht="15" customHeight="1">
      <c r="G756" s="868"/>
      <c r="H756" s="868"/>
      <c r="I756" s="868"/>
    </row>
    <row r="757" spans="7:9" ht="15" customHeight="1">
      <c r="G757" s="868"/>
      <c r="H757" s="868"/>
      <c r="I757" s="868"/>
    </row>
    <row r="758" spans="7:9" ht="15" customHeight="1">
      <c r="G758" s="868"/>
      <c r="H758" s="868"/>
      <c r="I758" s="868"/>
    </row>
    <row r="759" spans="7:9" ht="15" customHeight="1">
      <c r="G759" s="868"/>
      <c r="H759" s="868"/>
      <c r="I759" s="868"/>
    </row>
    <row r="760" spans="7:9" ht="15" customHeight="1">
      <c r="G760" s="868"/>
      <c r="H760" s="868"/>
      <c r="I760" s="868"/>
    </row>
    <row r="761" spans="7:9" ht="15" customHeight="1">
      <c r="G761" s="868"/>
      <c r="H761" s="868"/>
      <c r="I761" s="868"/>
    </row>
    <row r="762" spans="7:9" ht="15" customHeight="1">
      <c r="G762" s="868"/>
      <c r="H762" s="868"/>
      <c r="I762" s="868"/>
    </row>
    <row r="763" spans="7:9" ht="15" customHeight="1">
      <c r="G763" s="868"/>
      <c r="H763" s="868"/>
      <c r="I763" s="868"/>
    </row>
    <row r="764" spans="7:9" ht="15" customHeight="1">
      <c r="G764" s="868"/>
      <c r="H764" s="868"/>
      <c r="I764" s="868"/>
    </row>
    <row r="765" spans="7:9" ht="15" customHeight="1">
      <c r="G765" s="868"/>
      <c r="H765" s="868"/>
      <c r="I765" s="868"/>
    </row>
    <row r="766" spans="7:9" ht="15" customHeight="1">
      <c r="G766" s="868"/>
      <c r="H766" s="868"/>
      <c r="I766" s="868"/>
    </row>
    <row r="767" spans="7:9" ht="15" customHeight="1">
      <c r="G767" s="868"/>
      <c r="H767" s="868"/>
      <c r="I767" s="868"/>
    </row>
    <row r="768" spans="7:9" ht="15" customHeight="1">
      <c r="G768" s="868"/>
      <c r="H768" s="868"/>
      <c r="I768" s="868"/>
    </row>
    <row r="769" spans="7:9" ht="15" customHeight="1">
      <c r="G769" s="868"/>
      <c r="H769" s="868"/>
      <c r="I769" s="868"/>
    </row>
    <row r="770" spans="7:9" ht="15" customHeight="1">
      <c r="G770" s="868"/>
      <c r="H770" s="868"/>
      <c r="I770" s="868"/>
    </row>
    <row r="771" spans="7:9" ht="15" customHeight="1">
      <c r="G771" s="868"/>
      <c r="H771" s="868"/>
      <c r="I771" s="868"/>
    </row>
    <row r="772" spans="7:9" ht="15" customHeight="1">
      <c r="G772" s="868"/>
      <c r="H772" s="868"/>
      <c r="I772" s="868"/>
    </row>
    <row r="773" spans="7:9" ht="15" customHeight="1">
      <c r="G773" s="868"/>
      <c r="H773" s="868"/>
      <c r="I773" s="868"/>
    </row>
    <row r="774" spans="7:9" ht="15" customHeight="1">
      <c r="G774" s="868"/>
      <c r="H774" s="868"/>
      <c r="I774" s="868"/>
    </row>
    <row r="775" spans="7:9" ht="15" customHeight="1">
      <c r="G775" s="868"/>
      <c r="H775" s="868"/>
      <c r="I775" s="868"/>
    </row>
    <row r="776" spans="7:9" ht="15" customHeight="1">
      <c r="G776" s="868"/>
      <c r="H776" s="868"/>
      <c r="I776" s="868"/>
    </row>
    <row r="777" spans="7:9" ht="15" customHeight="1">
      <c r="G777" s="868"/>
      <c r="H777" s="868"/>
      <c r="I777" s="868"/>
    </row>
    <row r="778" spans="7:9" ht="15" customHeight="1">
      <c r="G778" s="868"/>
      <c r="H778" s="868"/>
      <c r="I778" s="868"/>
    </row>
    <row r="779" spans="7:9" ht="15" customHeight="1">
      <c r="G779" s="868"/>
      <c r="H779" s="868"/>
      <c r="I779" s="868"/>
    </row>
    <row r="780" spans="7:9" ht="15" customHeight="1">
      <c r="G780" s="868"/>
      <c r="H780" s="868"/>
      <c r="I780" s="868"/>
    </row>
    <row r="781" spans="7:9" ht="15" customHeight="1">
      <c r="G781" s="868"/>
      <c r="H781" s="868"/>
      <c r="I781" s="868"/>
    </row>
    <row r="782" spans="7:9" ht="15" customHeight="1">
      <c r="G782" s="868"/>
      <c r="H782" s="868"/>
      <c r="I782" s="868"/>
    </row>
    <row r="783" spans="7:9" ht="15" customHeight="1">
      <c r="G783" s="868"/>
      <c r="H783" s="868"/>
      <c r="I783" s="868"/>
    </row>
    <row r="784" spans="7:9" ht="15" customHeight="1">
      <c r="G784" s="868"/>
      <c r="H784" s="868"/>
      <c r="I784" s="868"/>
    </row>
    <row r="785" spans="7:9" ht="15" customHeight="1">
      <c r="G785" s="868"/>
      <c r="H785" s="868"/>
      <c r="I785" s="868"/>
    </row>
    <row r="786" spans="7:9" ht="15" customHeight="1">
      <c r="G786" s="868"/>
      <c r="H786" s="868"/>
      <c r="I786" s="868"/>
    </row>
    <row r="787" spans="7:9" ht="15" customHeight="1">
      <c r="G787" s="868"/>
      <c r="H787" s="868"/>
      <c r="I787" s="868"/>
    </row>
    <row r="788" spans="7:9" ht="15" customHeight="1">
      <c r="G788" s="868"/>
      <c r="H788" s="868"/>
      <c r="I788" s="868"/>
    </row>
    <row r="789" spans="7:9" ht="15" customHeight="1">
      <c r="G789" s="868"/>
      <c r="H789" s="868"/>
      <c r="I789" s="868"/>
    </row>
    <row r="790" spans="7:9" ht="15" customHeight="1">
      <c r="G790" s="868"/>
      <c r="H790" s="868"/>
      <c r="I790" s="868"/>
    </row>
    <row r="791" spans="7:9" ht="15" customHeight="1">
      <c r="G791" s="868"/>
      <c r="H791" s="868"/>
      <c r="I791" s="868"/>
    </row>
    <row r="792" spans="7:9" ht="15" customHeight="1">
      <c r="G792" s="868"/>
      <c r="H792" s="868"/>
      <c r="I792" s="868"/>
    </row>
    <row r="793" spans="7:9" ht="15" customHeight="1">
      <c r="G793" s="868"/>
      <c r="H793" s="868"/>
      <c r="I793" s="868"/>
    </row>
    <row r="794" spans="7:9" ht="15" customHeight="1">
      <c r="G794" s="868"/>
      <c r="H794" s="868"/>
      <c r="I794" s="868"/>
    </row>
    <row r="795" spans="7:9" ht="15" customHeight="1">
      <c r="G795" s="868"/>
      <c r="H795" s="868"/>
      <c r="I795" s="868"/>
    </row>
    <row r="796" spans="7:9" ht="15" customHeight="1">
      <c r="G796" s="868"/>
      <c r="H796" s="868"/>
      <c r="I796" s="868"/>
    </row>
    <row r="797" spans="7:9" ht="15" customHeight="1">
      <c r="G797" s="868"/>
      <c r="H797" s="868"/>
      <c r="I797" s="868"/>
    </row>
    <row r="798" spans="7:9" ht="15" customHeight="1">
      <c r="G798" s="868"/>
      <c r="H798" s="868"/>
      <c r="I798" s="868"/>
    </row>
    <row r="799" spans="7:9" ht="15" customHeight="1">
      <c r="G799" s="868"/>
      <c r="H799" s="868"/>
      <c r="I799" s="868"/>
    </row>
    <row r="800" spans="7:9" ht="15" customHeight="1">
      <c r="G800" s="868"/>
      <c r="H800" s="868"/>
      <c r="I800" s="868"/>
    </row>
    <row r="801" spans="7:9" ht="15" customHeight="1">
      <c r="G801" s="868"/>
      <c r="H801" s="868"/>
      <c r="I801" s="868"/>
    </row>
    <row r="802" spans="7:9" ht="15" customHeight="1">
      <c r="G802" s="868"/>
      <c r="H802" s="868"/>
      <c r="I802" s="868"/>
    </row>
    <row r="803" spans="7:9" ht="15" customHeight="1">
      <c r="G803" s="868"/>
      <c r="H803" s="868"/>
      <c r="I803" s="868"/>
    </row>
    <row r="804" spans="7:9" ht="15" customHeight="1">
      <c r="G804" s="868"/>
      <c r="H804" s="868"/>
      <c r="I804" s="868"/>
    </row>
    <row r="805" spans="7:9" ht="15" customHeight="1">
      <c r="G805" s="868"/>
      <c r="H805" s="868"/>
      <c r="I805" s="868"/>
    </row>
    <row r="806" spans="7:9" ht="15" customHeight="1">
      <c r="G806" s="868"/>
      <c r="H806" s="868"/>
      <c r="I806" s="868"/>
    </row>
    <row r="807" spans="7:9" ht="15" customHeight="1">
      <c r="G807" s="868"/>
      <c r="H807" s="868"/>
      <c r="I807" s="868"/>
    </row>
    <row r="808" spans="7:9" ht="15" customHeight="1">
      <c r="G808" s="868"/>
      <c r="H808" s="868"/>
      <c r="I808" s="868"/>
    </row>
    <row r="809" spans="7:9" ht="15" customHeight="1">
      <c r="G809" s="868"/>
      <c r="H809" s="868"/>
      <c r="I809" s="868"/>
    </row>
    <row r="810" spans="7:9" ht="15" customHeight="1">
      <c r="G810" s="868"/>
      <c r="H810" s="868"/>
      <c r="I810" s="868"/>
    </row>
    <row r="811" spans="7:9" ht="15" customHeight="1">
      <c r="G811" s="868"/>
      <c r="H811" s="868"/>
      <c r="I811" s="868"/>
    </row>
    <row r="812" spans="7:9" ht="15" customHeight="1">
      <c r="G812" s="868"/>
      <c r="H812" s="868"/>
      <c r="I812" s="868"/>
    </row>
    <row r="813" spans="7:9" ht="15" customHeight="1">
      <c r="G813" s="868"/>
      <c r="H813" s="868"/>
      <c r="I813" s="868"/>
    </row>
    <row r="814" spans="7:9" ht="15" customHeight="1">
      <c r="G814" s="868"/>
      <c r="H814" s="868"/>
      <c r="I814" s="868"/>
    </row>
    <row r="815" spans="7:9" ht="15" customHeight="1">
      <c r="G815" s="868"/>
      <c r="H815" s="868"/>
      <c r="I815" s="868"/>
    </row>
    <row r="816" spans="7:9" ht="15" customHeight="1">
      <c r="G816" s="868"/>
      <c r="H816" s="868"/>
      <c r="I816" s="868"/>
    </row>
    <row r="817" spans="7:9" ht="15" customHeight="1">
      <c r="G817" s="868"/>
      <c r="H817" s="868"/>
      <c r="I817" s="868"/>
    </row>
    <row r="818" spans="7:9" ht="15" customHeight="1">
      <c r="G818" s="868"/>
      <c r="H818" s="868"/>
      <c r="I818" s="868"/>
    </row>
    <row r="819" spans="7:9" ht="15" customHeight="1">
      <c r="G819" s="868"/>
      <c r="H819" s="868"/>
      <c r="I819" s="868"/>
    </row>
    <row r="820" spans="7:9" ht="15" customHeight="1">
      <c r="G820" s="868"/>
      <c r="H820" s="868"/>
      <c r="I820" s="868"/>
    </row>
    <row r="821" spans="7:9" ht="15" customHeight="1">
      <c r="G821" s="868"/>
      <c r="H821" s="868"/>
      <c r="I821" s="868"/>
    </row>
    <row r="822" spans="7:9" ht="15" customHeight="1">
      <c r="G822" s="868"/>
      <c r="H822" s="868"/>
      <c r="I822" s="868"/>
    </row>
    <row r="823" spans="7:9" ht="15" customHeight="1">
      <c r="G823" s="868"/>
      <c r="H823" s="868"/>
      <c r="I823" s="868"/>
    </row>
    <row r="824" spans="7:9" ht="15" customHeight="1">
      <c r="G824" s="868"/>
      <c r="H824" s="868"/>
      <c r="I824" s="868"/>
    </row>
    <row r="825" spans="7:9" ht="15" customHeight="1">
      <c r="G825" s="868"/>
      <c r="H825" s="868"/>
      <c r="I825" s="868"/>
    </row>
    <row r="826" spans="7:9" ht="15" customHeight="1">
      <c r="G826" s="868"/>
      <c r="H826" s="868"/>
      <c r="I826" s="868"/>
    </row>
    <row r="827" spans="7:9" ht="15" customHeight="1">
      <c r="G827" s="868"/>
      <c r="H827" s="868"/>
      <c r="I827" s="868"/>
    </row>
    <row r="828" spans="7:9" ht="15" customHeight="1">
      <c r="G828" s="868"/>
      <c r="H828" s="868"/>
      <c r="I828" s="868"/>
    </row>
    <row r="829" spans="7:9" ht="15" customHeight="1">
      <c r="G829" s="868"/>
      <c r="H829" s="868"/>
      <c r="I829" s="868"/>
    </row>
    <row r="830" spans="7:9" ht="15" customHeight="1">
      <c r="G830" s="868"/>
      <c r="H830" s="868"/>
      <c r="I830" s="868"/>
    </row>
    <row r="831" spans="7:9" ht="15" customHeight="1">
      <c r="G831" s="868"/>
      <c r="H831" s="868"/>
      <c r="I831" s="868"/>
    </row>
    <row r="832" spans="7:9" ht="15" customHeight="1">
      <c r="G832" s="868"/>
      <c r="H832" s="868"/>
      <c r="I832" s="868"/>
    </row>
    <row r="833" spans="7:9" ht="15" customHeight="1">
      <c r="G833" s="868"/>
      <c r="H833" s="868"/>
      <c r="I833" s="868"/>
    </row>
    <row r="834" spans="7:9" ht="15" customHeight="1">
      <c r="G834" s="868"/>
      <c r="H834" s="868"/>
      <c r="I834" s="868"/>
    </row>
    <row r="835" spans="7:9" ht="15" customHeight="1">
      <c r="G835" s="868"/>
      <c r="H835" s="868"/>
      <c r="I835" s="868"/>
    </row>
    <row r="836" spans="7:9" ht="15" customHeight="1">
      <c r="G836" s="868"/>
      <c r="H836" s="868"/>
      <c r="I836" s="868"/>
    </row>
    <row r="837" spans="7:9" ht="15" customHeight="1">
      <c r="G837" s="868"/>
      <c r="H837" s="868"/>
      <c r="I837" s="868"/>
    </row>
    <row r="838" spans="7:9" ht="15" customHeight="1">
      <c r="G838" s="868"/>
      <c r="H838" s="868"/>
      <c r="I838" s="868"/>
    </row>
    <row r="839" spans="7:9" ht="15" customHeight="1">
      <c r="G839" s="868"/>
      <c r="H839" s="868"/>
      <c r="I839" s="868"/>
    </row>
    <row r="840" spans="7:9" ht="15" customHeight="1">
      <c r="G840" s="868"/>
      <c r="H840" s="868"/>
      <c r="I840" s="868"/>
    </row>
    <row r="841" spans="7:9" ht="15" customHeight="1">
      <c r="G841" s="868"/>
      <c r="H841" s="868"/>
      <c r="I841" s="868"/>
    </row>
    <row r="842" spans="7:9" ht="15" customHeight="1">
      <c r="G842" s="868"/>
      <c r="H842" s="868"/>
      <c r="I842" s="868"/>
    </row>
    <row r="843" spans="7:9" ht="15" customHeight="1">
      <c r="G843" s="868"/>
      <c r="H843" s="868"/>
      <c r="I843" s="868"/>
    </row>
    <row r="844" spans="7:9" ht="15" customHeight="1">
      <c r="G844" s="868"/>
      <c r="H844" s="868"/>
      <c r="I844" s="868"/>
    </row>
    <row r="845" spans="7:9" ht="15" customHeight="1">
      <c r="G845" s="868"/>
      <c r="H845" s="868"/>
      <c r="I845" s="868"/>
    </row>
    <row r="846" spans="7:9" ht="15" customHeight="1">
      <c r="G846" s="868"/>
      <c r="H846" s="868"/>
      <c r="I846" s="868"/>
    </row>
    <row r="847" spans="7:9" ht="15" customHeight="1">
      <c r="G847" s="868"/>
      <c r="H847" s="868"/>
      <c r="I847" s="868"/>
    </row>
    <row r="848" spans="7:9" ht="15" customHeight="1">
      <c r="G848" s="868"/>
      <c r="H848" s="868"/>
      <c r="I848" s="868"/>
    </row>
    <row r="849" spans="7:9" ht="15" customHeight="1">
      <c r="G849" s="868"/>
      <c r="H849" s="868"/>
      <c r="I849" s="868"/>
    </row>
    <row r="850" spans="7:9" ht="15" customHeight="1">
      <c r="G850" s="868"/>
      <c r="H850" s="868"/>
      <c r="I850" s="868"/>
    </row>
    <row r="851" spans="7:9" ht="15" customHeight="1">
      <c r="G851" s="868"/>
      <c r="H851" s="868"/>
      <c r="I851" s="868"/>
    </row>
    <row r="852" spans="7:9" ht="15" customHeight="1">
      <c r="G852" s="868"/>
      <c r="H852" s="868"/>
      <c r="I852" s="868"/>
    </row>
    <row r="853" spans="7:9" ht="15" customHeight="1">
      <c r="G853" s="868"/>
      <c r="H853" s="868"/>
      <c r="I853" s="868"/>
    </row>
    <row r="854" spans="7:9" ht="15" customHeight="1">
      <c r="G854" s="868"/>
      <c r="H854" s="868"/>
      <c r="I854" s="868"/>
    </row>
    <row r="855" spans="7:9" ht="15" customHeight="1">
      <c r="G855" s="868"/>
      <c r="H855" s="868"/>
      <c r="I855" s="868"/>
    </row>
    <row r="856" spans="7:9" ht="15" customHeight="1">
      <c r="G856" s="868"/>
      <c r="H856" s="868"/>
      <c r="I856" s="868"/>
    </row>
    <row r="857" spans="7:9" ht="15" customHeight="1">
      <c r="G857" s="868"/>
      <c r="H857" s="868"/>
      <c r="I857" s="868"/>
    </row>
    <row r="858" spans="7:9" ht="15" customHeight="1">
      <c r="G858" s="868"/>
      <c r="H858" s="868"/>
      <c r="I858" s="868"/>
    </row>
    <row r="859" spans="7:9" ht="15" customHeight="1">
      <c r="G859" s="868"/>
      <c r="H859" s="868"/>
      <c r="I859" s="868"/>
    </row>
    <row r="860" spans="7:9" ht="15" customHeight="1">
      <c r="G860" s="868"/>
      <c r="H860" s="868"/>
      <c r="I860" s="868"/>
    </row>
    <row r="861" spans="7:9" ht="15" customHeight="1">
      <c r="G861" s="868"/>
      <c r="H861" s="868"/>
      <c r="I861" s="868"/>
    </row>
    <row r="862" spans="7:9" ht="15" customHeight="1">
      <c r="G862" s="868"/>
      <c r="H862" s="868"/>
      <c r="I862" s="868"/>
    </row>
    <row r="863" spans="7:9" ht="15" customHeight="1">
      <c r="G863" s="868"/>
      <c r="H863" s="868"/>
      <c r="I863" s="868"/>
    </row>
    <row r="864" spans="7:9" ht="15" customHeight="1">
      <c r="G864" s="868"/>
      <c r="H864" s="868"/>
      <c r="I864" s="868"/>
    </row>
    <row r="865" spans="7:9" ht="15" customHeight="1">
      <c r="G865" s="868"/>
      <c r="H865" s="868"/>
      <c r="I865" s="868"/>
    </row>
    <row r="866" spans="7:9" ht="15" customHeight="1">
      <c r="G866" s="868"/>
      <c r="H866" s="868"/>
      <c r="I866" s="868"/>
    </row>
    <row r="867" spans="7:9" ht="15" customHeight="1">
      <c r="G867" s="868"/>
      <c r="H867" s="868"/>
      <c r="I867" s="868"/>
    </row>
    <row r="868" spans="7:9" ht="15" customHeight="1">
      <c r="G868" s="868"/>
      <c r="H868" s="868"/>
      <c r="I868" s="868"/>
    </row>
    <row r="869" spans="7:9" ht="15" customHeight="1">
      <c r="G869" s="868"/>
      <c r="H869" s="868"/>
      <c r="I869" s="868"/>
    </row>
    <row r="870" spans="7:9" ht="15" customHeight="1">
      <c r="G870" s="868"/>
      <c r="H870" s="868"/>
      <c r="I870" s="868"/>
    </row>
    <row r="871" spans="7:9" ht="15" customHeight="1">
      <c r="G871" s="868"/>
      <c r="H871" s="868"/>
      <c r="I871" s="868"/>
    </row>
    <row r="872" spans="7:9" ht="15" customHeight="1">
      <c r="G872" s="868"/>
      <c r="H872" s="868"/>
      <c r="I872" s="868"/>
    </row>
    <row r="873" spans="7:9" ht="15" customHeight="1">
      <c r="G873" s="868"/>
      <c r="H873" s="868"/>
      <c r="I873" s="868"/>
    </row>
    <row r="874" spans="7:9" ht="15" customHeight="1">
      <c r="G874" s="868"/>
      <c r="H874" s="868"/>
      <c r="I874" s="868"/>
    </row>
    <row r="875" spans="7:9" ht="15" customHeight="1">
      <c r="G875" s="868"/>
      <c r="H875" s="868"/>
      <c r="I875" s="868"/>
    </row>
    <row r="876" spans="7:9" ht="15" customHeight="1">
      <c r="G876" s="868"/>
      <c r="H876" s="868"/>
      <c r="I876" s="868"/>
    </row>
    <row r="877" spans="7:9" ht="15" customHeight="1">
      <c r="G877" s="868"/>
      <c r="H877" s="868"/>
      <c r="I877" s="868"/>
    </row>
    <row r="878" spans="7:9" ht="15" customHeight="1">
      <c r="G878" s="868"/>
      <c r="H878" s="868"/>
      <c r="I878" s="868"/>
    </row>
    <row r="879" spans="7:9" ht="15" customHeight="1">
      <c r="G879" s="868"/>
      <c r="H879" s="868"/>
      <c r="I879" s="868"/>
    </row>
    <row r="880" spans="7:9" ht="15" customHeight="1">
      <c r="G880" s="868"/>
      <c r="H880" s="868"/>
      <c r="I880" s="868"/>
    </row>
    <row r="881" spans="7:9" ht="15" customHeight="1">
      <c r="G881" s="868"/>
      <c r="H881" s="868"/>
      <c r="I881" s="868"/>
    </row>
    <row r="882" spans="7:9" ht="15" customHeight="1">
      <c r="G882" s="868"/>
      <c r="H882" s="868"/>
      <c r="I882" s="868"/>
    </row>
    <row r="883" spans="7:9" ht="15" customHeight="1">
      <c r="G883" s="868"/>
      <c r="H883" s="868"/>
      <c r="I883" s="868"/>
    </row>
    <row r="884" spans="7:9" ht="15" customHeight="1">
      <c r="G884" s="868"/>
      <c r="H884" s="868"/>
      <c r="I884" s="868"/>
    </row>
    <row r="885" spans="7:9" ht="15" customHeight="1">
      <c r="G885" s="868"/>
      <c r="H885" s="868"/>
      <c r="I885" s="868"/>
    </row>
    <row r="886" spans="7:9" ht="15" customHeight="1">
      <c r="G886" s="868"/>
      <c r="H886" s="868"/>
      <c r="I886" s="868"/>
    </row>
    <row r="887" spans="7:9" ht="15" customHeight="1">
      <c r="G887" s="868"/>
      <c r="H887" s="868"/>
      <c r="I887" s="868"/>
    </row>
    <row r="888" spans="7:9" ht="15" customHeight="1">
      <c r="G888" s="868"/>
      <c r="H888" s="868"/>
      <c r="I888" s="868"/>
    </row>
    <row r="889" spans="7:9" ht="15" customHeight="1">
      <c r="G889" s="868"/>
      <c r="H889" s="868"/>
      <c r="I889" s="868"/>
    </row>
    <row r="890" spans="7:9" ht="15" customHeight="1">
      <c r="G890" s="868"/>
      <c r="H890" s="868"/>
      <c r="I890" s="868"/>
    </row>
    <row r="891" spans="7:9" ht="15" customHeight="1">
      <c r="G891" s="868"/>
      <c r="H891" s="868"/>
      <c r="I891" s="868"/>
    </row>
    <row r="892" spans="7:9" ht="15" customHeight="1">
      <c r="G892" s="868"/>
      <c r="H892" s="868"/>
      <c r="I892" s="868"/>
    </row>
    <row r="893" spans="7:9" ht="15" customHeight="1">
      <c r="G893" s="868"/>
      <c r="H893" s="868"/>
      <c r="I893" s="868"/>
    </row>
    <row r="894" spans="7:9" ht="15" customHeight="1">
      <c r="G894" s="868"/>
      <c r="H894" s="868"/>
      <c r="I894" s="868"/>
    </row>
    <row r="895" spans="7:9" ht="15" customHeight="1">
      <c r="G895" s="868"/>
      <c r="H895" s="868"/>
      <c r="I895" s="868"/>
    </row>
    <row r="896" spans="7:9" ht="15" customHeight="1">
      <c r="G896" s="868"/>
      <c r="H896" s="868"/>
      <c r="I896" s="868"/>
    </row>
    <row r="897" spans="7:9" ht="15" customHeight="1">
      <c r="G897" s="868"/>
      <c r="H897" s="868"/>
      <c r="I897" s="868"/>
    </row>
    <row r="898" spans="7:9" ht="15" customHeight="1">
      <c r="G898" s="868"/>
      <c r="H898" s="868"/>
      <c r="I898" s="868"/>
    </row>
    <row r="899" spans="7:9" ht="15" customHeight="1">
      <c r="G899" s="868"/>
      <c r="H899" s="868"/>
      <c r="I899" s="868"/>
    </row>
    <row r="900" spans="7:9" ht="15" customHeight="1">
      <c r="G900" s="868"/>
      <c r="H900" s="868"/>
      <c r="I900" s="868"/>
    </row>
    <row r="901" spans="7:9" ht="15" customHeight="1">
      <c r="G901" s="868"/>
      <c r="H901" s="868"/>
      <c r="I901" s="868"/>
    </row>
    <row r="902" spans="7:9" ht="15" customHeight="1">
      <c r="G902" s="868"/>
      <c r="H902" s="868"/>
      <c r="I902" s="868"/>
    </row>
    <row r="903" spans="7:9" ht="15" customHeight="1">
      <c r="G903" s="868"/>
      <c r="H903" s="868"/>
      <c r="I903" s="868"/>
    </row>
    <row r="904" spans="7:9" ht="15" customHeight="1">
      <c r="G904" s="868"/>
      <c r="H904" s="868"/>
      <c r="I904" s="868"/>
    </row>
    <row r="905" spans="7:9" ht="15" customHeight="1">
      <c r="G905" s="868"/>
      <c r="H905" s="868"/>
      <c r="I905" s="868"/>
    </row>
    <row r="906" spans="7:9" ht="15" customHeight="1">
      <c r="G906" s="868"/>
      <c r="H906" s="868"/>
      <c r="I906" s="868"/>
    </row>
    <row r="907" spans="7:9" ht="15" customHeight="1">
      <c r="G907" s="868"/>
      <c r="H907" s="868"/>
      <c r="I907" s="868"/>
    </row>
    <row r="908" spans="7:9" ht="15" customHeight="1">
      <c r="G908" s="868"/>
      <c r="H908" s="868"/>
      <c r="I908" s="868"/>
    </row>
    <row r="909" spans="7:9" ht="15" customHeight="1">
      <c r="G909" s="868"/>
      <c r="H909" s="868"/>
      <c r="I909" s="868"/>
    </row>
    <row r="910" spans="7:9" ht="15" customHeight="1">
      <c r="G910" s="868"/>
      <c r="H910" s="868"/>
      <c r="I910" s="868"/>
    </row>
    <row r="911" spans="7:9" ht="15" customHeight="1">
      <c r="G911" s="868"/>
      <c r="H911" s="868"/>
      <c r="I911" s="868"/>
    </row>
    <row r="912" spans="7:9" ht="15" customHeight="1">
      <c r="G912" s="868"/>
      <c r="H912" s="868"/>
      <c r="I912" s="868"/>
    </row>
    <row r="913" spans="7:9" ht="15" customHeight="1">
      <c r="G913" s="868"/>
      <c r="H913" s="868"/>
      <c r="I913" s="868"/>
    </row>
    <row r="914" spans="7:9" ht="15" customHeight="1">
      <c r="G914" s="868"/>
      <c r="H914" s="868"/>
      <c r="I914" s="868"/>
    </row>
    <row r="915" spans="7:9" ht="15" customHeight="1">
      <c r="G915" s="868"/>
      <c r="H915" s="868"/>
      <c r="I915" s="868"/>
    </row>
    <row r="916" spans="7:9" ht="15" customHeight="1">
      <c r="G916" s="868"/>
      <c r="H916" s="868"/>
      <c r="I916" s="868"/>
    </row>
    <row r="917" spans="7:9" ht="15" customHeight="1">
      <c r="G917" s="868"/>
      <c r="H917" s="868"/>
      <c r="I917" s="868"/>
    </row>
    <row r="918" spans="7:9" ht="15" customHeight="1">
      <c r="G918" s="868"/>
      <c r="H918" s="868"/>
      <c r="I918" s="868"/>
    </row>
    <row r="919" spans="7:9" ht="15" customHeight="1">
      <c r="G919" s="868"/>
      <c r="H919" s="868"/>
      <c r="I919" s="868"/>
    </row>
    <row r="920" spans="7:9" ht="15" customHeight="1">
      <c r="G920" s="868"/>
      <c r="H920" s="868"/>
      <c r="I920" s="868"/>
    </row>
    <row r="921" spans="7:9" ht="15" customHeight="1">
      <c r="G921" s="868"/>
      <c r="H921" s="868"/>
      <c r="I921" s="868"/>
    </row>
    <row r="922" spans="7:9" ht="15" customHeight="1">
      <c r="G922" s="868"/>
      <c r="H922" s="868"/>
      <c r="I922" s="868"/>
    </row>
    <row r="923" spans="7:9" ht="15" customHeight="1">
      <c r="G923" s="868"/>
      <c r="H923" s="868"/>
      <c r="I923" s="868"/>
    </row>
    <row r="924" spans="7:9" ht="15" customHeight="1">
      <c r="G924" s="868"/>
      <c r="H924" s="868"/>
      <c r="I924" s="868"/>
    </row>
    <row r="925" spans="7:9" ht="15" customHeight="1">
      <c r="G925" s="868"/>
      <c r="H925" s="868"/>
      <c r="I925" s="868"/>
    </row>
    <row r="926" spans="7:9" ht="15" customHeight="1">
      <c r="G926" s="868"/>
      <c r="H926" s="868"/>
      <c r="I926" s="868"/>
    </row>
    <row r="927" spans="7:9" ht="15" customHeight="1">
      <c r="G927" s="868"/>
      <c r="H927" s="868"/>
      <c r="I927" s="868"/>
    </row>
    <row r="928" spans="7:9" ht="15" customHeight="1">
      <c r="G928" s="868"/>
      <c r="H928" s="868"/>
      <c r="I928" s="868"/>
    </row>
    <row r="929" spans="7:9" ht="15" customHeight="1">
      <c r="G929" s="868"/>
      <c r="H929" s="868"/>
      <c r="I929" s="868"/>
    </row>
    <row r="930" spans="7:9" ht="15" customHeight="1">
      <c r="G930" s="868"/>
      <c r="H930" s="868"/>
      <c r="I930" s="868"/>
    </row>
    <row r="931" spans="7:9" ht="15" customHeight="1">
      <c r="G931" s="868"/>
      <c r="H931" s="868"/>
      <c r="I931" s="868"/>
    </row>
    <row r="932" spans="7:9" ht="15" customHeight="1">
      <c r="G932" s="868"/>
      <c r="H932" s="868"/>
      <c r="I932" s="868"/>
    </row>
    <row r="933" spans="7:9" ht="15" customHeight="1">
      <c r="G933" s="868"/>
      <c r="H933" s="868"/>
      <c r="I933" s="868"/>
    </row>
    <row r="934" spans="7:9" ht="15" customHeight="1">
      <c r="G934" s="868"/>
      <c r="H934" s="868"/>
      <c r="I934" s="868"/>
    </row>
    <row r="935" spans="7:9" ht="15" customHeight="1">
      <c r="G935" s="868"/>
      <c r="H935" s="868"/>
      <c r="I935" s="868"/>
    </row>
    <row r="936" spans="7:9" ht="15" customHeight="1">
      <c r="G936" s="868"/>
      <c r="H936" s="868"/>
      <c r="I936" s="868"/>
    </row>
    <row r="937" spans="7:9" ht="15" customHeight="1">
      <c r="G937" s="868"/>
      <c r="H937" s="868"/>
      <c r="I937" s="868"/>
    </row>
    <row r="938" spans="7:9" ht="15" customHeight="1">
      <c r="G938" s="868"/>
      <c r="H938" s="868"/>
      <c r="I938" s="868"/>
    </row>
    <row r="939" spans="7:9" ht="15" customHeight="1">
      <c r="G939" s="868"/>
      <c r="H939" s="868"/>
      <c r="I939" s="868"/>
    </row>
    <row r="940" spans="7:9" ht="15" customHeight="1">
      <c r="G940" s="868"/>
      <c r="H940" s="868"/>
      <c r="I940" s="868"/>
    </row>
    <row r="941" spans="7:9" ht="15" customHeight="1">
      <c r="G941" s="868"/>
      <c r="H941" s="868"/>
      <c r="I941" s="868"/>
    </row>
    <row r="942" spans="7:9" ht="15" customHeight="1">
      <c r="G942" s="868"/>
      <c r="H942" s="868"/>
      <c r="I942" s="868"/>
    </row>
    <row r="943" spans="7:9" ht="15" customHeight="1">
      <c r="G943" s="868"/>
      <c r="H943" s="868"/>
      <c r="I943" s="868"/>
    </row>
    <row r="944" spans="7:9" ht="15" customHeight="1">
      <c r="G944" s="868"/>
      <c r="H944" s="868"/>
      <c r="I944" s="868"/>
    </row>
    <row r="945" spans="7:9" ht="15" customHeight="1">
      <c r="G945" s="868"/>
      <c r="H945" s="868"/>
      <c r="I945" s="868"/>
    </row>
    <row r="946" spans="7:9" ht="15" customHeight="1">
      <c r="G946" s="868"/>
      <c r="H946" s="868"/>
      <c r="I946" s="868"/>
    </row>
    <row r="947" spans="7:9" ht="15" customHeight="1">
      <c r="G947" s="868"/>
      <c r="H947" s="868"/>
      <c r="I947" s="868"/>
    </row>
    <row r="948" spans="7:9" ht="15" customHeight="1">
      <c r="G948" s="868"/>
      <c r="H948" s="868"/>
      <c r="I948" s="868"/>
    </row>
    <row r="949" spans="7:9" ht="15" customHeight="1">
      <c r="G949" s="868"/>
      <c r="H949" s="868"/>
      <c r="I949" s="868"/>
    </row>
    <row r="950" spans="7:9" ht="15" customHeight="1">
      <c r="G950" s="868"/>
      <c r="H950" s="868"/>
      <c r="I950" s="868"/>
    </row>
    <row r="951" spans="7:9" ht="15" customHeight="1">
      <c r="G951" s="868"/>
      <c r="H951" s="868"/>
      <c r="I951" s="868"/>
    </row>
    <row r="952" spans="7:9" ht="15" customHeight="1">
      <c r="G952" s="868"/>
      <c r="H952" s="868"/>
      <c r="I952" s="868"/>
    </row>
    <row r="953" spans="7:9" ht="15" customHeight="1">
      <c r="G953" s="868"/>
      <c r="H953" s="868"/>
      <c r="I953" s="868"/>
    </row>
    <row r="954" spans="7:9" ht="15" customHeight="1">
      <c r="G954" s="868"/>
      <c r="H954" s="868"/>
      <c r="I954" s="868"/>
    </row>
    <row r="955" spans="7:9" ht="15" customHeight="1">
      <c r="G955" s="868"/>
      <c r="H955" s="868"/>
      <c r="I955" s="868"/>
    </row>
    <row r="956" spans="7:9" ht="15" customHeight="1">
      <c r="G956" s="868"/>
      <c r="H956" s="868"/>
      <c r="I956" s="868"/>
    </row>
    <row r="957" spans="7:9" ht="15" customHeight="1">
      <c r="G957" s="868"/>
      <c r="H957" s="868"/>
      <c r="I957" s="868"/>
    </row>
    <row r="958" spans="7:9" ht="15" customHeight="1">
      <c r="G958" s="868"/>
      <c r="H958" s="868"/>
      <c r="I958" s="868"/>
    </row>
    <row r="959" spans="7:9" ht="15" customHeight="1">
      <c r="G959" s="868"/>
      <c r="H959" s="868"/>
      <c r="I959" s="868"/>
    </row>
    <row r="960" spans="7:9" ht="15" customHeight="1">
      <c r="G960" s="868"/>
      <c r="H960" s="868"/>
      <c r="I960" s="868"/>
    </row>
    <row r="961" spans="7:9" ht="15" customHeight="1">
      <c r="G961" s="868"/>
      <c r="H961" s="868"/>
      <c r="I961" s="868"/>
    </row>
    <row r="962" spans="7:9" ht="15" customHeight="1">
      <c r="G962" s="868"/>
      <c r="H962" s="868"/>
      <c r="I962" s="868"/>
    </row>
    <row r="963" spans="7:9" ht="15" customHeight="1">
      <c r="G963" s="868"/>
      <c r="H963" s="868"/>
      <c r="I963" s="868"/>
    </row>
    <row r="964" spans="7:9" ht="15" customHeight="1">
      <c r="G964" s="868"/>
      <c r="H964" s="868"/>
      <c r="I964" s="868"/>
    </row>
    <row r="965" spans="7:9" ht="15" customHeight="1">
      <c r="G965" s="868"/>
      <c r="H965" s="868"/>
      <c r="I965" s="868"/>
    </row>
    <row r="966" spans="7:9" ht="15" customHeight="1">
      <c r="G966" s="868"/>
      <c r="H966" s="868"/>
      <c r="I966" s="868"/>
    </row>
    <row r="967" spans="7:9" ht="15" customHeight="1">
      <c r="G967" s="868"/>
      <c r="H967" s="868"/>
      <c r="I967" s="868"/>
    </row>
    <row r="968" spans="7:9" ht="15" customHeight="1">
      <c r="G968" s="868"/>
      <c r="H968" s="868"/>
      <c r="I968" s="868"/>
    </row>
    <row r="969" spans="7:9" ht="15" customHeight="1">
      <c r="G969" s="868"/>
      <c r="H969" s="868"/>
      <c r="I969" s="868"/>
    </row>
    <row r="970" spans="7:9" ht="15" customHeight="1">
      <c r="G970" s="868"/>
      <c r="H970" s="868"/>
      <c r="I970" s="868"/>
    </row>
    <row r="971" spans="7:9" ht="15" customHeight="1">
      <c r="G971" s="868"/>
      <c r="H971" s="868"/>
      <c r="I971" s="868"/>
    </row>
    <row r="972" spans="7:9" ht="15" customHeight="1">
      <c r="G972" s="868"/>
      <c r="H972" s="868"/>
      <c r="I972" s="868"/>
    </row>
    <row r="973" spans="7:9" ht="15" customHeight="1">
      <c r="G973" s="868"/>
      <c r="H973" s="868"/>
      <c r="I973" s="868"/>
    </row>
    <row r="974" spans="7:9" ht="15" customHeight="1">
      <c r="G974" s="868"/>
      <c r="H974" s="868"/>
      <c r="I974" s="868"/>
    </row>
    <row r="975" spans="7:9" ht="15" customHeight="1">
      <c r="G975" s="868"/>
      <c r="H975" s="868"/>
      <c r="I975" s="868"/>
    </row>
    <row r="976" spans="7:9" ht="15" customHeight="1">
      <c r="G976" s="868"/>
      <c r="H976" s="868"/>
      <c r="I976" s="868"/>
    </row>
    <row r="977" spans="7:9" ht="15" customHeight="1">
      <c r="G977" s="868"/>
      <c r="H977" s="868"/>
      <c r="I977" s="868"/>
    </row>
    <row r="978" spans="7:9" ht="15" customHeight="1">
      <c r="G978" s="868"/>
      <c r="H978" s="868"/>
      <c r="I978" s="868"/>
    </row>
    <row r="979" spans="7:9" ht="15" customHeight="1">
      <c r="G979" s="868"/>
      <c r="H979" s="868"/>
      <c r="I979" s="868"/>
    </row>
    <row r="980" spans="7:9" ht="15" customHeight="1">
      <c r="G980" s="868"/>
      <c r="H980" s="868"/>
      <c r="I980" s="868"/>
    </row>
    <row r="981" spans="7:9" ht="15" customHeight="1">
      <c r="G981" s="868"/>
      <c r="H981" s="868"/>
      <c r="I981" s="868"/>
    </row>
    <row r="982" spans="7:9" ht="15" customHeight="1">
      <c r="G982" s="868"/>
      <c r="H982" s="868"/>
      <c r="I982" s="868"/>
    </row>
    <row r="983" spans="7:9" ht="15" customHeight="1">
      <c r="G983" s="868"/>
      <c r="H983" s="868"/>
      <c r="I983" s="868"/>
    </row>
    <row r="984" spans="7:9" ht="15" customHeight="1">
      <c r="G984" s="868"/>
      <c r="H984" s="868"/>
      <c r="I984" s="868"/>
    </row>
    <row r="985" spans="7:9" ht="15" customHeight="1">
      <c r="G985" s="868"/>
      <c r="H985" s="868"/>
      <c r="I985" s="868"/>
    </row>
    <row r="986" spans="7:9" ht="15" customHeight="1">
      <c r="G986" s="868"/>
      <c r="H986" s="868"/>
      <c r="I986" s="868"/>
    </row>
    <row r="987" spans="7:9" ht="15" customHeight="1">
      <c r="G987" s="868"/>
      <c r="H987" s="868"/>
      <c r="I987" s="868"/>
    </row>
    <row r="988" spans="7:9" ht="15" customHeight="1">
      <c r="G988" s="868"/>
      <c r="H988" s="868"/>
      <c r="I988" s="868"/>
    </row>
    <row r="989" spans="7:9" ht="15" customHeight="1">
      <c r="G989" s="868"/>
      <c r="H989" s="868"/>
      <c r="I989" s="868"/>
    </row>
    <row r="990" spans="7:9" ht="15" customHeight="1">
      <c r="G990" s="868"/>
      <c r="H990" s="868"/>
      <c r="I990" s="868"/>
    </row>
    <row r="991" spans="7:9" ht="15" customHeight="1">
      <c r="G991" s="868"/>
      <c r="H991" s="868"/>
      <c r="I991" s="868"/>
    </row>
    <row r="992" spans="7:9" ht="15" customHeight="1">
      <c r="G992" s="868"/>
      <c r="H992" s="868"/>
      <c r="I992" s="868"/>
    </row>
    <row r="993" spans="7:9" ht="15" customHeight="1">
      <c r="G993" s="868"/>
      <c r="H993" s="868"/>
      <c r="I993" s="868"/>
    </row>
    <row r="994" spans="7:9" ht="15" customHeight="1">
      <c r="G994" s="868"/>
      <c r="H994" s="868"/>
      <c r="I994" s="868"/>
    </row>
    <row r="995" spans="7:9" ht="15" customHeight="1">
      <c r="G995" s="868"/>
      <c r="H995" s="868"/>
      <c r="I995" s="868"/>
    </row>
    <row r="996" spans="7:9" ht="15" customHeight="1">
      <c r="G996" s="868"/>
      <c r="H996" s="868"/>
      <c r="I996" s="868"/>
    </row>
    <row r="997" spans="7:9" ht="15" customHeight="1">
      <c r="G997" s="868"/>
      <c r="H997" s="868"/>
      <c r="I997" s="868"/>
    </row>
    <row r="998" spans="7:9" ht="15" customHeight="1">
      <c r="G998" s="868"/>
      <c r="H998" s="868"/>
      <c r="I998" s="868"/>
    </row>
    <row r="999" spans="7:9" ht="15" customHeight="1">
      <c r="G999" s="868"/>
      <c r="H999" s="868"/>
      <c r="I999" s="868"/>
    </row>
    <row r="1000" spans="7:9" ht="15" customHeight="1">
      <c r="G1000" s="868"/>
      <c r="H1000" s="868"/>
      <c r="I1000" s="868"/>
    </row>
    <row r="1001" spans="7:9" ht="15" customHeight="1">
      <c r="G1001" s="868"/>
      <c r="H1001" s="868"/>
      <c r="I1001" s="868"/>
    </row>
    <row r="1002" spans="7:9" ht="15" customHeight="1">
      <c r="G1002" s="868"/>
      <c r="H1002" s="868"/>
      <c r="I1002" s="868"/>
    </row>
    <row r="1003" spans="7:9" ht="15" customHeight="1">
      <c r="G1003" s="868"/>
      <c r="H1003" s="868"/>
      <c r="I1003" s="868"/>
    </row>
    <row r="1004" spans="7:9" ht="15" customHeight="1">
      <c r="G1004" s="868"/>
      <c r="H1004" s="868"/>
      <c r="I1004" s="868"/>
    </row>
    <row r="1005" spans="7:9" ht="15" customHeight="1">
      <c r="G1005" s="868"/>
      <c r="H1005" s="868"/>
      <c r="I1005" s="868"/>
    </row>
    <row r="1006" spans="7:9" ht="15" customHeight="1">
      <c r="G1006" s="868"/>
      <c r="H1006" s="868"/>
      <c r="I1006" s="868"/>
    </row>
    <row r="1007" spans="7:9" ht="15" customHeight="1">
      <c r="G1007" s="868"/>
      <c r="H1007" s="868"/>
      <c r="I1007" s="868"/>
    </row>
    <row r="1008" spans="7:9" ht="15" customHeight="1">
      <c r="G1008" s="868"/>
      <c r="H1008" s="868"/>
      <c r="I1008" s="868"/>
    </row>
    <row r="1009" spans="7:9" ht="15" customHeight="1">
      <c r="G1009" s="868"/>
      <c r="H1009" s="868"/>
      <c r="I1009" s="868"/>
    </row>
    <row r="1010" spans="7:9" ht="15" customHeight="1">
      <c r="G1010" s="868"/>
      <c r="H1010" s="868"/>
      <c r="I1010" s="868"/>
    </row>
    <row r="1011" spans="7:9" ht="15" customHeight="1">
      <c r="G1011" s="868"/>
      <c r="H1011" s="868"/>
      <c r="I1011" s="868"/>
    </row>
    <row r="1012" spans="7:9" ht="15" customHeight="1">
      <c r="G1012" s="868"/>
      <c r="H1012" s="868"/>
      <c r="I1012" s="868"/>
    </row>
    <row r="1013" spans="7:9" ht="15" customHeight="1">
      <c r="G1013" s="868"/>
      <c r="H1013" s="868"/>
      <c r="I1013" s="868"/>
    </row>
    <row r="1014" spans="7:9" ht="15" customHeight="1">
      <c r="G1014" s="868"/>
      <c r="H1014" s="868"/>
      <c r="I1014" s="868"/>
    </row>
    <row r="1015" spans="7:9" ht="15" customHeight="1">
      <c r="G1015" s="868"/>
      <c r="H1015" s="868"/>
      <c r="I1015" s="868"/>
    </row>
    <row r="1016" spans="7:9" ht="15" customHeight="1">
      <c r="G1016" s="868"/>
      <c r="H1016" s="868"/>
      <c r="I1016" s="868"/>
    </row>
    <row r="1017" spans="7:9" ht="15" customHeight="1">
      <c r="G1017" s="868"/>
      <c r="H1017" s="868"/>
      <c r="I1017" s="868"/>
    </row>
    <row r="1018" spans="7:9" ht="15" customHeight="1">
      <c r="G1018" s="868"/>
      <c r="H1018" s="868"/>
      <c r="I1018" s="868"/>
    </row>
    <row r="1019" spans="7:9" ht="15" customHeight="1">
      <c r="G1019" s="868"/>
      <c r="H1019" s="868"/>
      <c r="I1019" s="868"/>
    </row>
    <row r="1020" spans="7:9" ht="15" customHeight="1">
      <c r="G1020" s="868"/>
      <c r="H1020" s="868"/>
      <c r="I1020" s="868"/>
    </row>
    <row r="1021" spans="7:9" ht="15" customHeight="1">
      <c r="G1021" s="868"/>
      <c r="H1021" s="868"/>
      <c r="I1021" s="868"/>
    </row>
    <row r="1022" spans="7:9" ht="15" customHeight="1">
      <c r="G1022" s="868"/>
      <c r="H1022" s="868"/>
      <c r="I1022" s="868"/>
    </row>
    <row r="1023" spans="7:9" ht="15" customHeight="1">
      <c r="G1023" s="868"/>
      <c r="H1023" s="868"/>
      <c r="I1023" s="868"/>
    </row>
    <row r="1024" spans="7:9" ht="15" customHeight="1">
      <c r="G1024" s="868"/>
      <c r="H1024" s="868"/>
      <c r="I1024" s="868"/>
    </row>
  </sheetData>
  <mergeCells count="40">
    <mergeCell ref="V5:W5"/>
    <mergeCell ref="E5:E7"/>
    <mergeCell ref="F5:F7"/>
    <mergeCell ref="G5:G7"/>
    <mergeCell ref="H5:H7"/>
    <mergeCell ref="I5:I7"/>
    <mergeCell ref="J5:K5"/>
    <mergeCell ref="L5:M5"/>
    <mergeCell ref="N5:O5"/>
    <mergeCell ref="P5:Q5"/>
    <mergeCell ref="R5:S5"/>
    <mergeCell ref="T5:U5"/>
    <mergeCell ref="AP5:AP7"/>
    <mergeCell ref="X5:Y5"/>
    <mergeCell ref="Z5:AA5"/>
    <mergeCell ref="AB5:AC5"/>
    <mergeCell ref="AD5:AE5"/>
    <mergeCell ref="AF5:AG5"/>
    <mergeCell ref="AH5:AI5"/>
    <mergeCell ref="AJ6:AK6"/>
    <mergeCell ref="AB6:AC6"/>
    <mergeCell ref="AD6:AE6"/>
    <mergeCell ref="AF6:AG6"/>
    <mergeCell ref="AH6:AI6"/>
    <mergeCell ref="AQ5:AQ7"/>
    <mergeCell ref="AR5:AR7"/>
    <mergeCell ref="J6:K6"/>
    <mergeCell ref="L6:M6"/>
    <mergeCell ref="N6:O6"/>
    <mergeCell ref="P6:Q6"/>
    <mergeCell ref="R6:S6"/>
    <mergeCell ref="T6:U6"/>
    <mergeCell ref="V6:W6"/>
    <mergeCell ref="X6:Y6"/>
    <mergeCell ref="AJ5:AK5"/>
    <mergeCell ref="AL5:AL7"/>
    <mergeCell ref="AM5:AM7"/>
    <mergeCell ref="AN5:AN7"/>
    <mergeCell ref="AO5:AO7"/>
    <mergeCell ref="Z6:AA6"/>
  </mergeCells>
  <conditionalFormatting sqref="J5:AK6">
    <cfRule type="expression" dxfId="3" priority="3">
      <formula>J$5="Minggu"</formula>
    </cfRule>
  </conditionalFormatting>
  <conditionalFormatting sqref="J8:AK34">
    <cfRule type="expression" dxfId="2" priority="4">
      <formula>ISODD(column)</formula>
    </cfRule>
  </conditionalFormatting>
  <conditionalFormatting sqref="AN36:AP37">
    <cfRule type="notContainsBlanks" dxfId="1" priority="1">
      <formula>LEN(TRIM(AN36))&gt;0</formula>
    </cfRule>
  </conditionalFormatting>
  <conditionalFormatting sqref="AR4:AR1024">
    <cfRule type="cellIs" dxfId="0" priority="2" operator="lessThan">
      <formula>0</formula>
    </cfRule>
  </conditionalFormatting>
  <dataValidations count="2">
    <dataValidation type="list" allowBlank="1" showDropDown="1" showErrorMessage="1" sqref="J8:J34 L8:L34 N8:N34 P8:P34 R8:R34 T8:T34 V8:V34 X8:X34 Z8:Z34 AB8:AB34 AD8:AD34 AF8:AF34 AH8:AH34 AJ8:AJ34" xr:uid="{D4AAD8D6-D94C-4858-AD60-27B46FB8C279}">
      <formula1>"1,0,5,0"</formula1>
    </dataValidation>
    <dataValidation type="list" allowBlank="1" showDropDown="1" showErrorMessage="1" sqref="K8:K34 M8:M34 O8:O34 Q8:Q34 S8:S34 U8:U34 W8:W34 Y8:Y34 AA8:AA34 AC8:AC34 AE8:AE34 AG8:AG34 AI8:AI34 AK8:AK34" xr:uid="{12B07F2E-E76D-46BA-91F3-516B73E7CEF3}">
      <formula1>"0,1,2,3,4,5,6,7,8"</formula1>
    </dataValidation>
  </dataValidations>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B9EB3-F504-4996-95CB-4F276705107C}">
  <sheetPr codeName="Sheet20"/>
  <dimension ref="A1:Q58"/>
  <sheetViews>
    <sheetView showGridLines="0" showRowColHeaders="0" zoomScale="75" zoomScaleNormal="75" workbookViewId="0">
      <selection activeCell="S29" sqref="S29"/>
    </sheetView>
  </sheetViews>
  <sheetFormatPr defaultRowHeight="14.4"/>
  <cols>
    <col min="1" max="3" width="10.77734375" style="612" customWidth="1"/>
    <col min="4" max="4" width="3.77734375" customWidth="1"/>
    <col min="15" max="15" width="4.6640625" customWidth="1"/>
    <col min="16" max="16" width="4.6640625" style="1092" customWidth="1"/>
  </cols>
  <sheetData>
    <row r="1" spans="5:17" s="612" customFormat="1">
      <c r="P1" s="1094"/>
    </row>
    <row r="2" spans="5:17" s="612" customFormat="1" ht="17.399999999999999">
      <c r="E2" s="937" t="s">
        <v>2400</v>
      </c>
      <c r="P2" s="1094"/>
    </row>
    <row r="3" spans="5:17" s="612" customFormat="1">
      <c r="P3" s="1094"/>
    </row>
    <row r="7" spans="5:17">
      <c r="P7" s="1092">
        <v>1</v>
      </c>
      <c r="Q7" t="s">
        <v>1987</v>
      </c>
    </row>
    <row r="8" spans="5:17">
      <c r="P8" s="1092">
        <v>2</v>
      </c>
      <c r="Q8" t="s">
        <v>2526</v>
      </c>
    </row>
    <row r="9" spans="5:17">
      <c r="P9" s="1092">
        <v>3</v>
      </c>
      <c r="Q9" t="s">
        <v>1988</v>
      </c>
    </row>
    <row r="11" spans="5:17">
      <c r="P11" s="1095" t="s">
        <v>2531</v>
      </c>
      <c r="Q11" s="167" t="s">
        <v>2530</v>
      </c>
    </row>
    <row r="12" spans="5:17">
      <c r="P12" s="1093" t="s">
        <v>2474</v>
      </c>
      <c r="Q12" t="s">
        <v>1990</v>
      </c>
    </row>
    <row r="13" spans="5:17">
      <c r="P13" s="1093" t="s">
        <v>2475</v>
      </c>
      <c r="Q13" t="s">
        <v>2527</v>
      </c>
    </row>
    <row r="14" spans="5:17">
      <c r="P14" s="1093"/>
      <c r="Q14" t="s">
        <v>2528</v>
      </c>
    </row>
    <row r="15" spans="5:17">
      <c r="P15" s="1093"/>
      <c r="Q15" t="s">
        <v>2529</v>
      </c>
    </row>
    <row r="17" spans="1:17">
      <c r="P17" s="1095" t="s">
        <v>2534</v>
      </c>
      <c r="Q17" s="167" t="s">
        <v>2532</v>
      </c>
    </row>
    <row r="18" spans="1:17">
      <c r="P18" s="1093" t="s">
        <v>2474</v>
      </c>
      <c r="Q18" t="s">
        <v>1989</v>
      </c>
    </row>
    <row r="19" spans="1:17">
      <c r="P19" s="1093" t="s">
        <v>2475</v>
      </c>
      <c r="Q19" t="s">
        <v>2533</v>
      </c>
    </row>
    <row r="21" spans="1:17">
      <c r="A21" s="1096" t="s">
        <v>2381</v>
      </c>
      <c r="B21" s="1096"/>
      <c r="C21" s="1096"/>
      <c r="P21" s="1095" t="s">
        <v>2539</v>
      </c>
      <c r="Q21" s="167" t="s">
        <v>2535</v>
      </c>
    </row>
    <row r="22" spans="1:17">
      <c r="P22" s="1093" t="s">
        <v>2474</v>
      </c>
      <c r="Q22" t="s">
        <v>1991</v>
      </c>
    </row>
    <row r="23" spans="1:17">
      <c r="P23" s="1093" t="s">
        <v>2475</v>
      </c>
      <c r="Q23" t="s">
        <v>2536</v>
      </c>
    </row>
    <row r="24" spans="1:17">
      <c r="P24" s="1093" t="s">
        <v>2476</v>
      </c>
      <c r="Q24" t="s">
        <v>2537</v>
      </c>
    </row>
    <row r="25" spans="1:17">
      <c r="P25" s="1093"/>
      <c r="Q25" t="s">
        <v>1992</v>
      </c>
    </row>
    <row r="26" spans="1:17">
      <c r="P26" s="1093" t="s">
        <v>2477</v>
      </c>
      <c r="Q26" t="s">
        <v>2538</v>
      </c>
    </row>
    <row r="27" spans="1:17">
      <c r="P27" s="1093"/>
      <c r="Q27" t="s">
        <v>1993</v>
      </c>
    </row>
    <row r="29" spans="1:17">
      <c r="P29" s="1095" t="s">
        <v>2541</v>
      </c>
      <c r="Q29" s="167" t="s">
        <v>1994</v>
      </c>
    </row>
    <row r="30" spans="1:17">
      <c r="P30" s="1093" t="s">
        <v>2474</v>
      </c>
      <c r="Q30" t="s">
        <v>1995</v>
      </c>
    </row>
    <row r="31" spans="1:17">
      <c r="P31" s="1093" t="s">
        <v>2475</v>
      </c>
      <c r="Q31" t="s">
        <v>2540</v>
      </c>
    </row>
    <row r="32" spans="1:17">
      <c r="Q32" t="s">
        <v>1996</v>
      </c>
    </row>
    <row r="34" spans="16:17">
      <c r="P34" s="1095" t="s">
        <v>2543</v>
      </c>
      <c r="Q34" s="167" t="s">
        <v>1997</v>
      </c>
    </row>
    <row r="35" spans="16:17">
      <c r="P35" s="1093" t="s">
        <v>2474</v>
      </c>
      <c r="Q35" t="s">
        <v>1998</v>
      </c>
    </row>
    <row r="36" spans="16:17">
      <c r="P36" s="1093" t="s">
        <v>2475</v>
      </c>
      <c r="Q36" t="s">
        <v>2542</v>
      </c>
    </row>
    <row r="38" spans="16:17">
      <c r="P38" s="1095" t="s">
        <v>2546</v>
      </c>
      <c r="Q38" s="167" t="s">
        <v>1999</v>
      </c>
    </row>
    <row r="39" spans="16:17">
      <c r="P39" s="1093" t="s">
        <v>2474</v>
      </c>
      <c r="Q39" t="s">
        <v>2000</v>
      </c>
    </row>
    <row r="40" spans="16:17">
      <c r="P40" s="1093" t="s">
        <v>2475</v>
      </c>
      <c r="Q40" t="s">
        <v>2544</v>
      </c>
    </row>
    <row r="41" spans="16:17">
      <c r="P41" s="1093" t="s">
        <v>2476</v>
      </c>
      <c r="Q41" t="s">
        <v>2545</v>
      </c>
    </row>
    <row r="43" spans="16:17">
      <c r="P43" s="1095" t="s">
        <v>2543</v>
      </c>
      <c r="Q43" s="167" t="s">
        <v>2001</v>
      </c>
    </row>
    <row r="44" spans="16:17">
      <c r="P44" s="1093" t="s">
        <v>2474</v>
      </c>
      <c r="Q44" t="s">
        <v>2547</v>
      </c>
    </row>
    <row r="45" spans="16:17">
      <c r="P45" s="1093" t="s">
        <v>2475</v>
      </c>
      <c r="Q45" t="s">
        <v>2548</v>
      </c>
    </row>
    <row r="46" spans="16:17">
      <c r="P46" s="1093"/>
      <c r="Q46" t="s">
        <v>2549</v>
      </c>
    </row>
    <row r="47" spans="16:17">
      <c r="P47" s="1093" t="s">
        <v>2476</v>
      </c>
      <c r="Q47" t="s">
        <v>2550</v>
      </c>
    </row>
    <row r="48" spans="16:17">
      <c r="P48" s="1093"/>
      <c r="Q48" t="s">
        <v>2002</v>
      </c>
    </row>
    <row r="50" spans="16:17">
      <c r="P50" s="1095" t="s">
        <v>2546</v>
      </c>
      <c r="Q50" s="167" t="s">
        <v>2003</v>
      </c>
    </row>
    <row r="51" spans="16:17">
      <c r="P51" s="1093" t="s">
        <v>2474</v>
      </c>
      <c r="Q51" t="s">
        <v>2551</v>
      </c>
    </row>
    <row r="52" spans="16:17">
      <c r="P52" s="1093"/>
      <c r="Q52" t="s">
        <v>2552</v>
      </c>
    </row>
    <row r="53" spans="16:17">
      <c r="P53" s="1093"/>
      <c r="Q53" t="s">
        <v>2004</v>
      </c>
    </row>
    <row r="54" spans="16:17">
      <c r="P54" s="1093" t="s">
        <v>2475</v>
      </c>
      <c r="Q54" t="s">
        <v>2553</v>
      </c>
    </row>
    <row r="55" spans="16:17">
      <c r="P55" s="1093"/>
      <c r="Q55" t="s">
        <v>2554</v>
      </c>
    </row>
    <row r="56" spans="16:17">
      <c r="P56" s="1093"/>
      <c r="Q56" t="s">
        <v>2005</v>
      </c>
    </row>
    <row r="57" spans="16:17">
      <c r="P57" s="1093" t="s">
        <v>2476</v>
      </c>
      <c r="Q57" t="s">
        <v>2555</v>
      </c>
    </row>
    <row r="58" spans="16:17">
      <c r="P58" s="1093"/>
      <c r="Q58" t="s">
        <v>2006</v>
      </c>
    </row>
  </sheetData>
  <mergeCells count="1">
    <mergeCell ref="A21:C21"/>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HOME</vt:lpstr>
      <vt:lpstr>DATA</vt:lpstr>
      <vt:lpstr>AHSP</vt:lpstr>
      <vt:lpstr>HSP</vt:lpstr>
      <vt:lpstr>BAHAN</vt:lpstr>
      <vt:lpstr>UPAH</vt:lpstr>
      <vt:lpstr>HITUNG VOLUME</vt:lpstr>
      <vt:lpstr>HITUNG RAB</vt:lpstr>
      <vt:lpstr>REKAPITULASI</vt:lpstr>
      <vt:lpstr>REKAP VOLUME</vt:lpstr>
      <vt:lpstr>REKAP RAB</vt:lpstr>
      <vt:lpstr>REKAP PEKERJA</vt:lpstr>
      <vt:lpstr>PERH. TULANGAN</vt:lpstr>
      <vt:lpstr>BOBOT PEKERJAAN</vt:lpstr>
      <vt:lpstr>KURVA-S</vt:lpstr>
      <vt:lpstr>RAB SMKK</vt:lpstr>
      <vt:lpstr>DOKUMEN</vt:lpstr>
      <vt:lpstr>PENAWARAN</vt:lpstr>
      <vt:lpstr>C. C. O</vt:lpstr>
      <vt:lpstr>ABSENSI PEKERJA</vt:lpstr>
      <vt:lpstr>PANDUAN</vt:lpstr>
      <vt:lpstr>AHSP</vt:lpstr>
      <vt:lpstr>Bahan</vt:lpstr>
      <vt:lpstr>k_tlg_kolom_1515</vt:lpstr>
      <vt:lpstr>k_tlg_sloof_d10</vt:lpstr>
      <vt:lpstr>PENAWARAN!Print_Area</vt:lpstr>
      <vt:lpstr>RekapVolume</vt:lpstr>
      <vt:lpstr>Upah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Wafiq Rahadianto</cp:lastModifiedBy>
  <cp:lastPrinted>2023-01-02T21:53:26Z</cp:lastPrinted>
  <dcterms:created xsi:type="dcterms:W3CDTF">2015-06-05T18:17:20Z</dcterms:created>
  <dcterms:modified xsi:type="dcterms:W3CDTF">2026-04-27T06:57:05Z</dcterms:modified>
</cp:coreProperties>
</file>